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wl.sharepoint.com/sites/GRP-APACRegionalCompetenceCenterTeam-PerformanceReport/Shared Documents/SSC Performance Dashboard/New SSC Performance App - Sept2025/"/>
    </mc:Choice>
  </mc:AlternateContent>
  <xr:revisionPtr revIDLastSave="2113" documentId="11_72F70FB0CE6A7E2C08F5934437211F893CED4083" xr6:coauthVersionLast="47" xr6:coauthVersionMax="47" xr10:uidLastSave="{82839E7B-0A43-48B5-9027-C68775CD2CA2}"/>
  <bookViews>
    <workbookView xWindow="-120" yWindow="-120" windowWidth="29040" windowHeight="15720" activeTab="5" xr2:uid="{00000000-000D-0000-FFFF-FFFF00000000}"/>
    <workbookView xWindow="28680" yWindow="-120" windowWidth="29040" windowHeight="15720" activeTab="7" xr2:uid="{4EE248B7-70DA-458C-BE8E-8DCC4F75B141}"/>
  </bookViews>
  <sheets>
    <sheet name="Monthly Full Calculations" sheetId="6" r:id="rId1"/>
    <sheet name="FTE Sheet" sheetId="7" r:id="rId2"/>
    <sheet name="Daily Raw Data" sheetId="8" state="hidden" r:id="rId3"/>
    <sheet name="Function Info" sheetId="3" r:id="rId4"/>
    <sheet name="workspaceAnalysis" sheetId="13" state="hidden" r:id="rId5"/>
    <sheet name="Standard Working Days" sheetId="10" r:id="rId6"/>
    <sheet name="Productivity Baseline" sheetId="12" state="hidden" r:id="rId7"/>
    <sheet name="Analysis" sheetId="4" r:id="rId8"/>
    <sheet name="Active Service Delivery" sheetId="9" state="hidden" r:id="rId9"/>
    <sheet name="Dataset Tracker" sheetId="11" state="hidden" r:id="rId10"/>
  </sheets>
  <definedNames>
    <definedName name="_xlnm._FilterDatabase" localSheetId="0" hidden="1">'Monthly Full Calculations'!$A$1:$N$165</definedName>
    <definedName name="ExternalData_1" localSheetId="6" hidden="1">'Productivity Baseline'!$A$1:$G$32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F5" i="4" a="1"/>
  <c r="F5" i="4" s="1"/>
  <c r="E13" i="12"/>
  <c r="D13" i="12"/>
  <c r="C13" i="12"/>
  <c r="E12" i="12" l="1"/>
  <c r="D12" i="12"/>
  <c r="C12" i="12"/>
  <c r="E11" i="12"/>
  <c r="L384" i="6" s="1" a="1"/>
  <c r="L384" i="6" s="1"/>
  <c r="D11" i="12"/>
  <c r="C11" i="12"/>
  <c r="H12" i="12"/>
  <c r="H11" i="12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D164" i="6"/>
  <c r="D163" i="6"/>
  <c r="D162" i="6"/>
  <c r="D161" i="6"/>
  <c r="D160" i="6"/>
  <c r="D159" i="6"/>
  <c r="D158" i="6"/>
  <c r="D157" i="6"/>
  <c r="I384" i="6" a="1"/>
  <c r="I384" i="6" s="1"/>
  <c r="H384" i="6" a="1"/>
  <c r="H384" i="6" s="1"/>
  <c r="I383" i="6" a="1"/>
  <c r="I383" i="6" s="1"/>
  <c r="H383" i="6" a="1"/>
  <c r="H383" i="6" s="1"/>
  <c r="I382" i="6" a="1"/>
  <c r="I382" i="6" s="1"/>
  <c r="H382" i="6" a="1"/>
  <c r="H382" i="6" s="1"/>
  <c r="I381" i="6" a="1"/>
  <c r="I381" i="6" s="1"/>
  <c r="H381" i="6" a="1"/>
  <c r="H381" i="6" s="1"/>
  <c r="I380" i="6" a="1"/>
  <c r="I380" i="6" s="1"/>
  <c r="H380" i="6" a="1"/>
  <c r="H380" i="6" s="1"/>
  <c r="I379" i="6" a="1"/>
  <c r="I379" i="6" s="1"/>
  <c r="H379" i="6" a="1"/>
  <c r="H379" i="6" s="1"/>
  <c r="I378" i="6" a="1"/>
  <c r="I378" i="6" s="1"/>
  <c r="H378" i="6" a="1"/>
  <c r="H378" i="6" s="1"/>
  <c r="I377" i="6" a="1"/>
  <c r="I377" i="6" s="1"/>
  <c r="H377" i="6" a="1"/>
  <c r="H377" i="6" s="1"/>
  <c r="I376" i="6" a="1"/>
  <c r="I376" i="6" s="1"/>
  <c r="H376" i="6" a="1"/>
  <c r="H376" i="6" s="1"/>
  <c r="I375" i="6" a="1"/>
  <c r="I375" i="6" s="1"/>
  <c r="H375" i="6" a="1"/>
  <c r="H375" i="6" s="1"/>
  <c r="I374" i="6" a="1"/>
  <c r="I374" i="6" s="1"/>
  <c r="H374" i="6" a="1"/>
  <c r="H374" i="6" s="1"/>
  <c r="I373" i="6" a="1"/>
  <c r="I373" i="6" s="1"/>
  <c r="H373" i="6" a="1"/>
  <c r="H373" i="6" s="1"/>
  <c r="I372" i="6" a="1"/>
  <c r="I372" i="6" s="1"/>
  <c r="H372" i="6" a="1"/>
  <c r="H372" i="6" s="1"/>
  <c r="I371" i="6" a="1"/>
  <c r="I371" i="6" s="1"/>
  <c r="H371" i="6" a="1"/>
  <c r="H371" i="6" s="1"/>
  <c r="I370" i="6" a="1"/>
  <c r="I370" i="6" s="1"/>
  <c r="H370" i="6" a="1"/>
  <c r="H370" i="6" s="1"/>
  <c r="I369" i="6" a="1"/>
  <c r="I369" i="6" s="1"/>
  <c r="H369" i="6" a="1"/>
  <c r="H369" i="6" s="1"/>
  <c r="I368" i="6" a="1"/>
  <c r="I368" i="6" s="1"/>
  <c r="H368" i="6" a="1"/>
  <c r="H368" i="6" s="1"/>
  <c r="I367" i="6" a="1"/>
  <c r="I367" i="6" s="1"/>
  <c r="H367" i="6" a="1"/>
  <c r="H367" i="6" s="1"/>
  <c r="I366" i="6" a="1"/>
  <c r="I366" i="6" s="1"/>
  <c r="H366" i="6" a="1"/>
  <c r="H366" i="6" s="1"/>
  <c r="I365" i="6" a="1"/>
  <c r="I365" i="6" s="1"/>
  <c r="H365" i="6" a="1"/>
  <c r="H365" i="6" s="1"/>
  <c r="I364" i="6" a="1"/>
  <c r="I364" i="6" s="1"/>
  <c r="H364" i="6" a="1"/>
  <c r="H364" i="6" s="1"/>
  <c r="I363" i="6" a="1"/>
  <c r="I363" i="6" s="1"/>
  <c r="H363" i="6" a="1"/>
  <c r="H363" i="6" s="1"/>
  <c r="I362" i="6" a="1"/>
  <c r="I362" i="6" s="1"/>
  <c r="H362" i="6" a="1"/>
  <c r="H362" i="6" s="1"/>
  <c r="I361" i="6" a="1"/>
  <c r="I361" i="6" s="1"/>
  <c r="H361" i="6" a="1"/>
  <c r="H361" i="6" s="1"/>
  <c r="L382" i="6" a="1"/>
  <c r="L382" i="6" s="1"/>
  <c r="L380" i="6" a="1"/>
  <c r="L380" i="6" s="1"/>
  <c r="L378" i="6" a="1"/>
  <c r="L378" i="6" s="1"/>
  <c r="L376" i="6" a="1"/>
  <c r="L376" i="6" s="1"/>
  <c r="L374" i="6" a="1"/>
  <c r="L374" i="6" s="1"/>
  <c r="L372" i="6" a="1"/>
  <c r="L372" i="6" s="1"/>
  <c r="L371" i="6" a="1"/>
  <c r="L371" i="6" s="1"/>
  <c r="L370" i="6" a="1"/>
  <c r="L370" i="6" s="1"/>
  <c r="L369" i="6" a="1"/>
  <c r="L369" i="6" s="1"/>
  <c r="L368" i="6" a="1"/>
  <c r="L368" i="6" s="1"/>
  <c r="L367" i="6" a="1"/>
  <c r="L367" i="6" s="1"/>
  <c r="L366" i="6" a="1"/>
  <c r="L366" i="6" s="1"/>
  <c r="L365" i="6" a="1"/>
  <c r="L365" i="6" s="1"/>
  <c r="L364" i="6" a="1"/>
  <c r="L364" i="6" s="1"/>
  <c r="L363" i="6" a="1"/>
  <c r="L363" i="6" s="1"/>
  <c r="L362" i="6" a="1"/>
  <c r="L362" i="6" s="1"/>
  <c r="L361" i="6" a="1"/>
  <c r="L361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 s="1"/>
  <c r="F380" i="6" a="1"/>
  <c r="F380" i="6" s="1"/>
  <c r="F381" i="6" a="1"/>
  <c r="F381" i="6" s="1"/>
  <c r="F382" i="6" a="1"/>
  <c r="F382" i="6" s="1"/>
  <c r="F383" i="6" a="1"/>
  <c r="F383" i="6" s="1"/>
  <c r="F384" i="6" a="1"/>
  <c r="F384" i="6" s="1"/>
  <c r="G374" i="6" a="1"/>
  <c r="G374" i="6" s="1"/>
  <c r="G375" i="6" a="1"/>
  <c r="G375" i="6" s="1"/>
  <c r="G376" i="6" a="1"/>
  <c r="G376" i="6" s="1"/>
  <c r="G377" i="6" a="1"/>
  <c r="G377" i="6" s="1"/>
  <c r="G378" i="6" a="1"/>
  <c r="G378" i="6" s="1"/>
  <c r="G379" i="6" a="1"/>
  <c r="G379" i="6" s="1"/>
  <c r="G380" i="6" a="1"/>
  <c r="G380" i="6" s="1"/>
  <c r="G381" i="6" a="1"/>
  <c r="G381" i="6" s="1"/>
  <c r="G382" i="6" a="1"/>
  <c r="G382" i="6" s="1"/>
  <c r="G383" i="6" a="1"/>
  <c r="G383" i="6" s="1"/>
  <c r="G384" i="6" a="1"/>
  <c r="G384" i="6" s="1"/>
  <c r="N374" i="6"/>
  <c r="N375" i="6"/>
  <c r="N376" i="6"/>
  <c r="N377" i="6"/>
  <c r="N378" i="6"/>
  <c r="N379" i="6"/>
  <c r="N380" i="6"/>
  <c r="N381" i="6"/>
  <c r="N382" i="6"/>
  <c r="N383" i="6"/>
  <c r="N384" i="6"/>
  <c r="F373" i="6" a="1"/>
  <c r="F373" i="6" s="1"/>
  <c r="G373" i="6" a="1"/>
  <c r="G373" i="6" s="1"/>
  <c r="N373" i="6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0" i="6" a="1"/>
  <c r="F370" i="6" s="1"/>
  <c r="F371" i="6" a="1"/>
  <c r="F371" i="6" s="1"/>
  <c r="F372" i="6" a="1"/>
  <c r="F372" i="6" s="1"/>
  <c r="G362" i="6" a="1"/>
  <c r="G362" i="6" s="1"/>
  <c r="G363" i="6" a="1"/>
  <c r="G363" i="6" s="1"/>
  <c r="G364" i="6" a="1"/>
  <c r="G364" i="6" s="1"/>
  <c r="G365" i="6" a="1"/>
  <c r="G365" i="6" s="1"/>
  <c r="G366" i="6" a="1"/>
  <c r="G366" i="6" s="1"/>
  <c r="G367" i="6" a="1"/>
  <c r="G367" i="6" s="1"/>
  <c r="G368" i="6" a="1"/>
  <c r="G368" i="6" s="1"/>
  <c r="G369" i="6" a="1"/>
  <c r="G369" i="6" s="1"/>
  <c r="G370" i="6" a="1"/>
  <c r="G370" i="6" s="1"/>
  <c r="G371" i="6" a="1"/>
  <c r="G371" i="6" s="1"/>
  <c r="G372" i="6" a="1"/>
  <c r="G372" i="6" s="1"/>
  <c r="N362" i="6"/>
  <c r="N363" i="6"/>
  <c r="N364" i="6"/>
  <c r="N365" i="6"/>
  <c r="N366" i="6"/>
  <c r="N367" i="6"/>
  <c r="N368" i="6"/>
  <c r="N369" i="6"/>
  <c r="N370" i="6"/>
  <c r="N371" i="6"/>
  <c r="N372" i="6"/>
  <c r="F361" i="6" a="1"/>
  <c r="F361" i="6" s="1"/>
  <c r="G361" i="6" a="1"/>
  <c r="G361" i="6" s="1"/>
  <c r="N361" i="6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398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74" i="7"/>
  <c r="E4" i="12"/>
  <c r="L115" i="6" s="1" a="1"/>
  <c r="L115" i="6" s="1"/>
  <c r="E3" i="12"/>
  <c r="D3" i="12"/>
  <c r="C3" i="12"/>
  <c r="H5" i="12"/>
  <c r="L360" i="6" a="1"/>
  <c r="L360" i="6" s="1"/>
  <c r="L359" i="6" a="1"/>
  <c r="L359" i="6" s="1"/>
  <c r="L358" i="6" a="1"/>
  <c r="L358" i="6" s="1"/>
  <c r="L357" i="6" a="1"/>
  <c r="L357" i="6" s="1"/>
  <c r="L356" i="6" a="1"/>
  <c r="L356" i="6" s="1"/>
  <c r="L355" i="6" a="1"/>
  <c r="L355" i="6" s="1"/>
  <c r="L354" i="6" a="1"/>
  <c r="L354" i="6" s="1"/>
  <c r="L353" i="6" a="1"/>
  <c r="L353" i="6" s="1"/>
  <c r="L352" i="6" a="1"/>
  <c r="L352" i="6" s="1"/>
  <c r="L351" i="6" a="1"/>
  <c r="L351" i="6" s="1"/>
  <c r="L350" i="6" a="1"/>
  <c r="L350" i="6" s="1"/>
  <c r="L349" i="6" a="1"/>
  <c r="L349" i="6" s="1"/>
  <c r="L336" i="6" a="1"/>
  <c r="L336" i="6" s="1"/>
  <c r="L335" i="6" a="1"/>
  <c r="L335" i="6" s="1"/>
  <c r="L334" i="6" a="1"/>
  <c r="L334" i="6" s="1"/>
  <c r="L333" i="6" a="1"/>
  <c r="L333" i="6" s="1"/>
  <c r="L332" i="6" a="1"/>
  <c r="L332" i="6" s="1"/>
  <c r="L331" i="6" a="1"/>
  <c r="L331" i="6" s="1"/>
  <c r="L330" i="6" a="1"/>
  <c r="L330" i="6" s="1"/>
  <c r="L329" i="6" a="1"/>
  <c r="L329" i="6" s="1"/>
  <c r="L328" i="6" a="1"/>
  <c r="L328" i="6" s="1"/>
  <c r="L327" i="6" a="1"/>
  <c r="L327" i="6" s="1"/>
  <c r="L326" i="6" a="1"/>
  <c r="L326" i="6" s="1"/>
  <c r="L325" i="6" a="1"/>
  <c r="L325" i="6" s="1"/>
  <c r="L324" i="6" a="1"/>
  <c r="L324" i="6" s="1"/>
  <c r="L323" i="6" a="1"/>
  <c r="L323" i="6" s="1"/>
  <c r="L322" i="6" a="1"/>
  <c r="L322" i="6" s="1"/>
  <c r="L321" i="6" a="1"/>
  <c r="L321" i="6" s="1"/>
  <c r="L320" i="6" a="1"/>
  <c r="L320" i="6" s="1"/>
  <c r="L319" i="6" a="1"/>
  <c r="L319" i="6" s="1"/>
  <c r="L318" i="6" a="1"/>
  <c r="L318" i="6" s="1"/>
  <c r="L317" i="6" a="1"/>
  <c r="L317" i="6" s="1"/>
  <c r="L316" i="6" a="1"/>
  <c r="L316" i="6" s="1"/>
  <c r="L315" i="6" a="1"/>
  <c r="L315" i="6" s="1"/>
  <c r="L314" i="6" a="1"/>
  <c r="L314" i="6" s="1"/>
  <c r="L313" i="6" a="1"/>
  <c r="L313" i="6" s="1"/>
  <c r="L312" i="6" a="1"/>
  <c r="L312" i="6" s="1"/>
  <c r="L311" i="6" a="1"/>
  <c r="L311" i="6" s="1"/>
  <c r="L310" i="6" a="1"/>
  <c r="L310" i="6" s="1"/>
  <c r="L309" i="6" a="1"/>
  <c r="L309" i="6" s="1"/>
  <c r="L308" i="6" a="1"/>
  <c r="L308" i="6" s="1"/>
  <c r="L307" i="6" a="1"/>
  <c r="L307" i="6" s="1"/>
  <c r="L306" i="6" a="1"/>
  <c r="L306" i="6" s="1"/>
  <c r="L305" i="6" a="1"/>
  <c r="L305" i="6" s="1"/>
  <c r="L304" i="6" a="1"/>
  <c r="L304" i="6" s="1"/>
  <c r="L303" i="6" a="1"/>
  <c r="L303" i="6" s="1"/>
  <c r="L302" i="6" a="1"/>
  <c r="L302" i="6" s="1"/>
  <c r="L301" i="6" a="1"/>
  <c r="L301" i="6" s="1"/>
  <c r="L288" i="6" a="1"/>
  <c r="L288" i="6" s="1"/>
  <c r="L287" i="6" a="1"/>
  <c r="L287" i="6" s="1"/>
  <c r="L286" i="6" a="1"/>
  <c r="L286" i="6" s="1"/>
  <c r="L285" i="6" a="1"/>
  <c r="L285" i="6" s="1"/>
  <c r="L284" i="6" a="1"/>
  <c r="L284" i="6" s="1"/>
  <c r="L283" i="6" a="1"/>
  <c r="L283" i="6" s="1"/>
  <c r="L282" i="6" a="1"/>
  <c r="L282" i="6" s="1"/>
  <c r="L281" i="6" a="1"/>
  <c r="L281" i="6" s="1"/>
  <c r="L280" i="6" a="1"/>
  <c r="L280" i="6" s="1"/>
  <c r="L279" i="6" a="1"/>
  <c r="L279" i="6" s="1"/>
  <c r="L278" i="6" a="1"/>
  <c r="L278" i="6" s="1"/>
  <c r="L277" i="6" a="1"/>
  <c r="L277" i="6" s="1"/>
  <c r="L276" i="6" a="1"/>
  <c r="L276" i="6" s="1"/>
  <c r="L275" i="6" a="1"/>
  <c r="L275" i="6" s="1"/>
  <c r="L274" i="6" a="1"/>
  <c r="L274" i="6" s="1"/>
  <c r="L273" i="6" a="1"/>
  <c r="L273" i="6" s="1"/>
  <c r="L272" i="6" a="1"/>
  <c r="L272" i="6" s="1"/>
  <c r="L271" i="6" a="1"/>
  <c r="L271" i="6" s="1"/>
  <c r="L270" i="6" a="1"/>
  <c r="L270" i="6" s="1"/>
  <c r="L269" i="6" a="1"/>
  <c r="L269" i="6" s="1"/>
  <c r="L268" i="6" a="1"/>
  <c r="L268" i="6" s="1"/>
  <c r="L267" i="6" a="1"/>
  <c r="L267" i="6" s="1"/>
  <c r="L266" i="6" a="1"/>
  <c r="L266" i="6" s="1"/>
  <c r="L265" i="6" a="1"/>
  <c r="L265" i="6" s="1"/>
  <c r="L240" i="6" a="1"/>
  <c r="L240" i="6" s="1"/>
  <c r="L239" i="6" a="1"/>
  <c r="L239" i="6" s="1"/>
  <c r="L238" i="6" a="1"/>
  <c r="L238" i="6" s="1"/>
  <c r="L237" i="6" a="1"/>
  <c r="L237" i="6" s="1"/>
  <c r="L236" i="6" a="1"/>
  <c r="L236" i="6" s="1"/>
  <c r="L235" i="6" a="1"/>
  <c r="L235" i="6" s="1"/>
  <c r="L234" i="6" a="1"/>
  <c r="L234" i="6" s="1"/>
  <c r="L233" i="6" a="1"/>
  <c r="L233" i="6" s="1"/>
  <c r="L232" i="6" a="1"/>
  <c r="L232" i="6" s="1"/>
  <c r="L231" i="6" a="1"/>
  <c r="L231" i="6" s="1"/>
  <c r="L230" i="6" a="1"/>
  <c r="L230" i="6" s="1"/>
  <c r="L229" i="6" a="1"/>
  <c r="L229" i="6" s="1"/>
  <c r="L180" i="6" a="1"/>
  <c r="L180" i="6" s="1"/>
  <c r="L179" i="6" a="1"/>
  <c r="L179" i="6" s="1"/>
  <c r="L178" i="6" a="1"/>
  <c r="L178" i="6" s="1"/>
  <c r="L177" i="6" a="1"/>
  <c r="L177" i="6" s="1"/>
  <c r="L176" i="6" a="1"/>
  <c r="L176" i="6" s="1"/>
  <c r="L175" i="6" a="1"/>
  <c r="L175" i="6" s="1"/>
  <c r="L174" i="6" a="1"/>
  <c r="L174" i="6" s="1"/>
  <c r="L173" i="6" a="1"/>
  <c r="L173" i="6" s="1"/>
  <c r="L172" i="6" a="1"/>
  <c r="L172" i="6" s="1"/>
  <c r="L171" i="6" a="1"/>
  <c r="L171" i="6" s="1"/>
  <c r="L170" i="6" a="1"/>
  <c r="L170" i="6" s="1"/>
  <c r="L169" i="6" a="1"/>
  <c r="L169" i="6" s="1"/>
  <c r="L168" i="6" a="1"/>
  <c r="L168" i="6" s="1"/>
  <c r="L167" i="6" a="1"/>
  <c r="L167" i="6" s="1"/>
  <c r="L166" i="6" a="1"/>
  <c r="L166" i="6" s="1"/>
  <c r="L165" i="6" a="1"/>
  <c r="L165" i="6" s="1"/>
  <c r="L164" i="6" a="1"/>
  <c r="L164" i="6" s="1"/>
  <c r="L163" i="6" a="1"/>
  <c r="L163" i="6" s="1"/>
  <c r="L162" i="6" a="1"/>
  <c r="L162" i="6" s="1"/>
  <c r="L161" i="6" a="1"/>
  <c r="L161" i="6" s="1"/>
  <c r="L160" i="6" a="1"/>
  <c r="L160" i="6" s="1"/>
  <c r="L159" i="6" a="1"/>
  <c r="L159" i="6" s="1"/>
  <c r="L158" i="6" a="1"/>
  <c r="L158" i="6" s="1"/>
  <c r="L157" i="6" a="1"/>
  <c r="L157" i="6" s="1"/>
  <c r="L156" i="6" a="1"/>
  <c r="L156" i="6" s="1"/>
  <c r="L155" i="6" a="1"/>
  <c r="L155" i="6" s="1"/>
  <c r="L154" i="6" a="1"/>
  <c r="L154" i="6" s="1"/>
  <c r="L153" i="6" a="1"/>
  <c r="L153" i="6" s="1"/>
  <c r="L152" i="6" a="1"/>
  <c r="L152" i="6" s="1"/>
  <c r="L151" i="6" a="1"/>
  <c r="L151" i="6" s="1"/>
  <c r="L150" i="6" a="1"/>
  <c r="L150" i="6" s="1"/>
  <c r="L149" i="6" a="1"/>
  <c r="L149" i="6" s="1"/>
  <c r="L148" i="6" a="1"/>
  <c r="L148" i="6" s="1"/>
  <c r="L147" i="6" a="1"/>
  <c r="L147" i="6" s="1"/>
  <c r="L146" i="6" a="1"/>
  <c r="L146" i="6" s="1"/>
  <c r="L145" i="6" a="1"/>
  <c r="L145" i="6" s="1"/>
  <c r="L132" i="6" a="1"/>
  <c r="L132" i="6" s="1"/>
  <c r="L131" i="6" a="1"/>
  <c r="L131" i="6" s="1"/>
  <c r="L130" i="6" a="1"/>
  <c r="L130" i="6" s="1"/>
  <c r="L129" i="6" a="1"/>
  <c r="L129" i="6" s="1"/>
  <c r="L128" i="6" a="1"/>
  <c r="L128" i="6" s="1"/>
  <c r="L127" i="6" a="1"/>
  <c r="L127" i="6" s="1"/>
  <c r="L126" i="6" a="1"/>
  <c r="L126" i="6" s="1"/>
  <c r="L125" i="6" a="1"/>
  <c r="L125" i="6" s="1"/>
  <c r="L124" i="6" a="1"/>
  <c r="L124" i="6" s="1"/>
  <c r="L123" i="6" a="1"/>
  <c r="L123" i="6" s="1"/>
  <c r="L122" i="6" a="1"/>
  <c r="L122" i="6" s="1"/>
  <c r="L121" i="6" a="1"/>
  <c r="L121" i="6" s="1"/>
  <c r="L118" i="6" a="1"/>
  <c r="L118" i="6" s="1"/>
  <c r="L117" i="6" a="1"/>
  <c r="L117" i="6" s="1"/>
  <c r="L116" i="6" a="1"/>
  <c r="L116" i="6" s="1"/>
  <c r="L108" i="6" a="1"/>
  <c r="L108" i="6" s="1"/>
  <c r="L107" i="6" a="1"/>
  <c r="L107" i="6" s="1"/>
  <c r="L106" i="6" a="1"/>
  <c r="L106" i="6" s="1"/>
  <c r="L105" i="6" a="1"/>
  <c r="L105" i="6" s="1"/>
  <c r="L104" i="6" a="1"/>
  <c r="L104" i="6" s="1"/>
  <c r="L103" i="6" a="1"/>
  <c r="L103" i="6" s="1"/>
  <c r="L102" i="6" a="1"/>
  <c r="L102" i="6" s="1"/>
  <c r="L101" i="6" a="1"/>
  <c r="L101" i="6" s="1"/>
  <c r="L100" i="6" a="1"/>
  <c r="L100" i="6" s="1"/>
  <c r="L99" i="6" a="1"/>
  <c r="L99" i="6" s="1"/>
  <c r="L98" i="6" a="1"/>
  <c r="L98" i="6" s="1"/>
  <c r="L97" i="6" a="1"/>
  <c r="L97" i="6" s="1"/>
  <c r="I360" i="6" a="1"/>
  <c r="I360" i="6" s="1"/>
  <c r="H360" i="6" a="1"/>
  <c r="H360" i="6" s="1"/>
  <c r="I359" i="6" a="1"/>
  <c r="I359" i="6" s="1"/>
  <c r="H359" i="6" a="1"/>
  <c r="H359" i="6" s="1"/>
  <c r="I358" i="6" a="1"/>
  <c r="I358" i="6" s="1"/>
  <c r="H358" i="6" a="1"/>
  <c r="H358" i="6" s="1"/>
  <c r="I357" i="6" a="1"/>
  <c r="I357" i="6" s="1"/>
  <c r="H357" i="6" a="1"/>
  <c r="H357" i="6" s="1"/>
  <c r="I356" i="6" a="1"/>
  <c r="I356" i="6" s="1"/>
  <c r="H356" i="6" a="1"/>
  <c r="H356" i="6" s="1"/>
  <c r="I355" i="6" a="1"/>
  <c r="I355" i="6" s="1"/>
  <c r="H355" i="6" a="1"/>
  <c r="H355" i="6" s="1"/>
  <c r="I354" i="6" a="1"/>
  <c r="I354" i="6" s="1"/>
  <c r="H354" i="6" a="1"/>
  <c r="H354" i="6" s="1"/>
  <c r="I353" i="6" a="1"/>
  <c r="I353" i="6" s="1"/>
  <c r="H353" i="6" a="1"/>
  <c r="H353" i="6" s="1"/>
  <c r="I352" i="6" a="1"/>
  <c r="I352" i="6" s="1"/>
  <c r="H352" i="6" a="1"/>
  <c r="H352" i="6" s="1"/>
  <c r="I351" i="6" a="1"/>
  <c r="I351" i="6" s="1"/>
  <c r="H351" i="6" a="1"/>
  <c r="H351" i="6" s="1"/>
  <c r="I350" i="6" a="1"/>
  <c r="I350" i="6" s="1"/>
  <c r="H350" i="6" a="1"/>
  <c r="H350" i="6" s="1"/>
  <c r="I349" i="6" a="1"/>
  <c r="I349" i="6" s="1"/>
  <c r="H349" i="6" a="1"/>
  <c r="H349" i="6" s="1"/>
  <c r="I348" i="6" a="1"/>
  <c r="I348" i="6" s="1"/>
  <c r="H348" i="6" a="1"/>
  <c r="H348" i="6" s="1"/>
  <c r="I347" i="6" a="1"/>
  <c r="I347" i="6" s="1"/>
  <c r="H347" i="6" a="1"/>
  <c r="H347" i="6" s="1"/>
  <c r="I346" i="6" a="1"/>
  <c r="I346" i="6" s="1"/>
  <c r="H346" i="6" a="1"/>
  <c r="H346" i="6" s="1"/>
  <c r="I345" i="6" a="1"/>
  <c r="I345" i="6" s="1"/>
  <c r="H345" i="6" a="1"/>
  <c r="H345" i="6" s="1"/>
  <c r="I344" i="6" a="1"/>
  <c r="I344" i="6" s="1"/>
  <c r="H344" i="6" a="1"/>
  <c r="H344" i="6" s="1"/>
  <c r="I343" i="6" a="1"/>
  <c r="I343" i="6" s="1"/>
  <c r="H343" i="6" a="1"/>
  <c r="H343" i="6" s="1"/>
  <c r="I342" i="6" a="1"/>
  <c r="I342" i="6" s="1"/>
  <c r="H342" i="6" a="1"/>
  <c r="H342" i="6" s="1"/>
  <c r="I341" i="6" a="1"/>
  <c r="I341" i="6" s="1"/>
  <c r="H341" i="6" a="1"/>
  <c r="H341" i="6" s="1"/>
  <c r="I340" i="6" a="1"/>
  <c r="I340" i="6" s="1"/>
  <c r="H340" i="6" a="1"/>
  <c r="H340" i="6" s="1"/>
  <c r="I339" i="6" a="1"/>
  <c r="I339" i="6" s="1"/>
  <c r="H339" i="6" a="1"/>
  <c r="H339" i="6" s="1"/>
  <c r="I338" i="6" a="1"/>
  <c r="I338" i="6" s="1"/>
  <c r="H338" i="6" a="1"/>
  <c r="H338" i="6" s="1"/>
  <c r="I337" i="6" a="1"/>
  <c r="I337" i="6" s="1"/>
  <c r="H337" i="6" a="1"/>
  <c r="H337" i="6" s="1"/>
  <c r="I336" i="6" a="1"/>
  <c r="I336" i="6" s="1"/>
  <c r="H336" i="6" a="1"/>
  <c r="H336" i="6" s="1"/>
  <c r="I335" i="6" a="1"/>
  <c r="I335" i="6" s="1"/>
  <c r="H335" i="6" a="1"/>
  <c r="H335" i="6" s="1"/>
  <c r="I334" i="6" a="1"/>
  <c r="I334" i="6" s="1"/>
  <c r="H334" i="6" a="1"/>
  <c r="H334" i="6" s="1"/>
  <c r="I333" i="6" a="1"/>
  <c r="I333" i="6" s="1"/>
  <c r="H333" i="6" a="1"/>
  <c r="H333" i="6" s="1"/>
  <c r="I332" i="6" a="1"/>
  <c r="I332" i="6" s="1"/>
  <c r="H332" i="6" a="1"/>
  <c r="H332" i="6" s="1"/>
  <c r="I331" i="6" a="1"/>
  <c r="I331" i="6" s="1"/>
  <c r="H331" i="6" a="1"/>
  <c r="H331" i="6" s="1"/>
  <c r="I330" i="6" a="1"/>
  <c r="I330" i="6" s="1"/>
  <c r="H330" i="6" a="1"/>
  <c r="H330" i="6" s="1"/>
  <c r="I329" i="6" a="1"/>
  <c r="I329" i="6" s="1"/>
  <c r="H329" i="6" a="1"/>
  <c r="H329" i="6" s="1"/>
  <c r="I328" i="6" a="1"/>
  <c r="I328" i="6" s="1"/>
  <c r="H328" i="6" a="1"/>
  <c r="H328" i="6" s="1"/>
  <c r="I327" i="6" a="1"/>
  <c r="I327" i="6" s="1"/>
  <c r="H327" i="6" a="1"/>
  <c r="H327" i="6" s="1"/>
  <c r="I326" i="6" a="1"/>
  <c r="I326" i="6" s="1"/>
  <c r="H326" i="6" a="1"/>
  <c r="H326" i="6" s="1"/>
  <c r="I325" i="6" a="1"/>
  <c r="I325" i="6" s="1"/>
  <c r="H325" i="6" a="1"/>
  <c r="H325" i="6" s="1"/>
  <c r="I324" i="6" a="1"/>
  <c r="I324" i="6" s="1"/>
  <c r="H324" i="6" a="1"/>
  <c r="H324" i="6" s="1"/>
  <c r="I323" i="6" a="1"/>
  <c r="I323" i="6" s="1"/>
  <c r="H323" i="6" a="1"/>
  <c r="H323" i="6" s="1"/>
  <c r="I322" i="6" a="1"/>
  <c r="I322" i="6" s="1"/>
  <c r="H322" i="6" a="1"/>
  <c r="H322" i="6" s="1"/>
  <c r="I321" i="6" a="1"/>
  <c r="I321" i="6" s="1"/>
  <c r="H321" i="6" a="1"/>
  <c r="H321" i="6" s="1"/>
  <c r="I320" i="6" a="1"/>
  <c r="I320" i="6" s="1"/>
  <c r="H320" i="6" a="1"/>
  <c r="H320" i="6" s="1"/>
  <c r="I319" i="6" a="1"/>
  <c r="I319" i="6" s="1"/>
  <c r="H319" i="6" a="1"/>
  <c r="H319" i="6" s="1"/>
  <c r="I318" i="6" a="1"/>
  <c r="I318" i="6" s="1"/>
  <c r="H318" i="6" a="1"/>
  <c r="H318" i="6" s="1"/>
  <c r="I317" i="6" a="1"/>
  <c r="I317" i="6" s="1"/>
  <c r="H317" i="6" a="1"/>
  <c r="H317" i="6" s="1"/>
  <c r="I316" i="6" a="1"/>
  <c r="I316" i="6" s="1"/>
  <c r="H316" i="6" a="1"/>
  <c r="H316" i="6" s="1"/>
  <c r="I315" i="6" a="1"/>
  <c r="I315" i="6" s="1"/>
  <c r="H315" i="6" a="1"/>
  <c r="H315" i="6" s="1"/>
  <c r="I314" i="6" a="1"/>
  <c r="I314" i="6" s="1"/>
  <c r="H314" i="6" a="1"/>
  <c r="H314" i="6" s="1"/>
  <c r="I313" i="6" a="1"/>
  <c r="I313" i="6" s="1"/>
  <c r="H313" i="6" a="1"/>
  <c r="H313" i="6" s="1"/>
  <c r="I312" i="6" a="1"/>
  <c r="I312" i="6" s="1"/>
  <c r="H312" i="6" a="1"/>
  <c r="H312" i="6" s="1"/>
  <c r="I311" i="6" a="1"/>
  <c r="I311" i="6" s="1"/>
  <c r="H311" i="6" a="1"/>
  <c r="H311" i="6" s="1"/>
  <c r="I310" i="6" a="1"/>
  <c r="I310" i="6" s="1"/>
  <c r="H310" i="6" a="1"/>
  <c r="H310" i="6" s="1"/>
  <c r="I309" i="6" a="1"/>
  <c r="I309" i="6" s="1"/>
  <c r="H309" i="6" a="1"/>
  <c r="H309" i="6" s="1"/>
  <c r="I308" i="6" a="1"/>
  <c r="I308" i="6" s="1"/>
  <c r="H308" i="6" a="1"/>
  <c r="H308" i="6" s="1"/>
  <c r="I307" i="6" a="1"/>
  <c r="I307" i="6" s="1"/>
  <c r="H307" i="6" a="1"/>
  <c r="H307" i="6" s="1"/>
  <c r="I306" i="6" a="1"/>
  <c r="I306" i="6" s="1"/>
  <c r="H306" i="6" a="1"/>
  <c r="H306" i="6" s="1"/>
  <c r="I305" i="6" a="1"/>
  <c r="I305" i="6" s="1"/>
  <c r="H305" i="6" a="1"/>
  <c r="H305" i="6" s="1"/>
  <c r="I304" i="6" a="1"/>
  <c r="I304" i="6" s="1"/>
  <c r="H304" i="6" a="1"/>
  <c r="H304" i="6" s="1"/>
  <c r="I303" i="6" a="1"/>
  <c r="I303" i="6" s="1"/>
  <c r="H303" i="6" a="1"/>
  <c r="H303" i="6" s="1"/>
  <c r="I302" i="6" a="1"/>
  <c r="I302" i="6" s="1"/>
  <c r="H302" i="6" a="1"/>
  <c r="H302" i="6" s="1"/>
  <c r="I301" i="6" a="1"/>
  <c r="I301" i="6" s="1"/>
  <c r="H301" i="6" a="1"/>
  <c r="H301" i="6" s="1"/>
  <c r="I300" i="6" a="1"/>
  <c r="I300" i="6" s="1"/>
  <c r="H300" i="6" a="1"/>
  <c r="H300" i="6" s="1"/>
  <c r="I299" i="6" a="1"/>
  <c r="I299" i="6" s="1"/>
  <c r="H299" i="6" a="1"/>
  <c r="H299" i="6" s="1"/>
  <c r="I298" i="6" a="1"/>
  <c r="I298" i="6" s="1"/>
  <c r="H298" i="6" a="1"/>
  <c r="H298" i="6" s="1"/>
  <c r="I297" i="6" a="1"/>
  <c r="I297" i="6" s="1"/>
  <c r="H297" i="6" a="1"/>
  <c r="H297" i="6" s="1"/>
  <c r="I296" i="6" a="1"/>
  <c r="I296" i="6" s="1"/>
  <c r="H296" i="6" a="1"/>
  <c r="H296" i="6" s="1"/>
  <c r="I295" i="6" a="1"/>
  <c r="I295" i="6" s="1"/>
  <c r="H295" i="6" a="1"/>
  <c r="H295" i="6" s="1"/>
  <c r="I294" i="6" a="1"/>
  <c r="I294" i="6" s="1"/>
  <c r="H294" i="6" a="1"/>
  <c r="H294" i="6" s="1"/>
  <c r="I293" i="6" a="1"/>
  <c r="I293" i="6" s="1"/>
  <c r="H293" i="6" a="1"/>
  <c r="H293" i="6" s="1"/>
  <c r="I292" i="6" a="1"/>
  <c r="I292" i="6" s="1"/>
  <c r="H292" i="6" a="1"/>
  <c r="H292" i="6" s="1"/>
  <c r="I291" i="6" a="1"/>
  <c r="I291" i="6" s="1"/>
  <c r="H291" i="6" a="1"/>
  <c r="H291" i="6" s="1"/>
  <c r="I290" i="6" a="1"/>
  <c r="I290" i="6" s="1"/>
  <c r="H290" i="6" a="1"/>
  <c r="H290" i="6" s="1"/>
  <c r="I289" i="6" a="1"/>
  <c r="I289" i="6" s="1"/>
  <c r="H289" i="6" a="1"/>
  <c r="H289" i="6" s="1"/>
  <c r="I288" i="6" a="1"/>
  <c r="I288" i="6" s="1"/>
  <c r="H288" i="6" a="1"/>
  <c r="H288" i="6" s="1"/>
  <c r="I287" i="6" a="1"/>
  <c r="I287" i="6" s="1"/>
  <c r="H287" i="6" a="1"/>
  <c r="H287" i="6" s="1"/>
  <c r="I286" i="6" a="1"/>
  <c r="I286" i="6" s="1"/>
  <c r="H286" i="6" a="1"/>
  <c r="H286" i="6" s="1"/>
  <c r="I285" i="6" a="1"/>
  <c r="I285" i="6" s="1"/>
  <c r="H285" i="6" a="1"/>
  <c r="H285" i="6" s="1"/>
  <c r="I284" i="6" a="1"/>
  <c r="I284" i="6" s="1"/>
  <c r="H284" i="6" a="1"/>
  <c r="H284" i="6" s="1"/>
  <c r="I283" i="6" a="1"/>
  <c r="I283" i="6" s="1"/>
  <c r="H283" i="6" a="1"/>
  <c r="H283" i="6" s="1"/>
  <c r="I282" i="6" a="1"/>
  <c r="I282" i="6" s="1"/>
  <c r="H282" i="6" a="1"/>
  <c r="H282" i="6" s="1"/>
  <c r="I281" i="6" a="1"/>
  <c r="I281" i="6" s="1"/>
  <c r="H281" i="6" a="1"/>
  <c r="H281" i="6" s="1"/>
  <c r="I280" i="6" a="1"/>
  <c r="I280" i="6" s="1"/>
  <c r="H280" i="6" a="1"/>
  <c r="H280" i="6" s="1"/>
  <c r="I279" i="6" a="1"/>
  <c r="I279" i="6" s="1"/>
  <c r="H279" i="6" a="1"/>
  <c r="H279" i="6" s="1"/>
  <c r="I278" i="6" a="1"/>
  <c r="I278" i="6" s="1"/>
  <c r="H278" i="6" a="1"/>
  <c r="H278" i="6" s="1"/>
  <c r="I277" i="6" a="1"/>
  <c r="I277" i="6" s="1"/>
  <c r="H277" i="6" a="1"/>
  <c r="H277" i="6" s="1"/>
  <c r="I276" i="6" a="1"/>
  <c r="I276" i="6" s="1"/>
  <c r="H276" i="6" a="1"/>
  <c r="H276" i="6" s="1"/>
  <c r="I275" i="6" a="1"/>
  <c r="I275" i="6" s="1"/>
  <c r="H275" i="6" a="1"/>
  <c r="H275" i="6" s="1"/>
  <c r="I274" i="6" a="1"/>
  <c r="I274" i="6" s="1"/>
  <c r="H274" i="6" a="1"/>
  <c r="H274" i="6" s="1"/>
  <c r="I273" i="6" a="1"/>
  <c r="I273" i="6" s="1"/>
  <c r="H273" i="6" a="1"/>
  <c r="H273" i="6" s="1"/>
  <c r="I272" i="6" a="1"/>
  <c r="I272" i="6" s="1"/>
  <c r="H272" i="6" a="1"/>
  <c r="H272" i="6" s="1"/>
  <c r="I271" i="6" a="1"/>
  <c r="I271" i="6" s="1"/>
  <c r="H271" i="6" a="1"/>
  <c r="H271" i="6" s="1"/>
  <c r="I270" i="6" a="1"/>
  <c r="I270" i="6" s="1"/>
  <c r="H270" i="6" a="1"/>
  <c r="H270" i="6" s="1"/>
  <c r="I269" i="6" a="1"/>
  <c r="I269" i="6" s="1"/>
  <c r="H269" i="6" a="1"/>
  <c r="H269" i="6" s="1"/>
  <c r="I268" i="6" a="1"/>
  <c r="I268" i="6" s="1"/>
  <c r="H268" i="6" a="1"/>
  <c r="H268" i="6" s="1"/>
  <c r="I267" i="6" a="1"/>
  <c r="I267" i="6" s="1"/>
  <c r="H267" i="6" a="1"/>
  <c r="H267" i="6" s="1"/>
  <c r="I266" i="6" a="1"/>
  <c r="I266" i="6" s="1"/>
  <c r="H266" i="6" a="1"/>
  <c r="H266" i="6" s="1"/>
  <c r="I265" i="6" a="1"/>
  <c r="I265" i="6" s="1"/>
  <c r="H265" i="6" a="1"/>
  <c r="H265" i="6" s="1"/>
  <c r="I264" i="6" a="1"/>
  <c r="I264" i="6" s="1"/>
  <c r="H264" i="6" a="1"/>
  <c r="H264" i="6" s="1"/>
  <c r="I263" i="6" a="1"/>
  <c r="I263" i="6" s="1"/>
  <c r="H263" i="6" a="1"/>
  <c r="H263" i="6" s="1"/>
  <c r="I262" i="6" a="1"/>
  <c r="I262" i="6" s="1"/>
  <c r="H262" i="6" a="1"/>
  <c r="H262" i="6" s="1"/>
  <c r="I261" i="6" a="1"/>
  <c r="I261" i="6" s="1"/>
  <c r="H261" i="6" a="1"/>
  <c r="H261" i="6" s="1"/>
  <c r="I260" i="6" a="1"/>
  <c r="I260" i="6" s="1"/>
  <c r="H260" i="6" a="1"/>
  <c r="H260" i="6" s="1"/>
  <c r="I259" i="6" a="1"/>
  <c r="I259" i="6" s="1"/>
  <c r="H259" i="6" a="1"/>
  <c r="H259" i="6" s="1"/>
  <c r="I258" i="6" a="1"/>
  <c r="I258" i="6" s="1"/>
  <c r="H258" i="6" a="1"/>
  <c r="H258" i="6" s="1"/>
  <c r="I257" i="6" a="1"/>
  <c r="I257" i="6" s="1"/>
  <c r="H257" i="6" a="1"/>
  <c r="H257" i="6" s="1"/>
  <c r="I256" i="6" a="1"/>
  <c r="I256" i="6" s="1"/>
  <c r="H256" i="6" a="1"/>
  <c r="H256" i="6" s="1"/>
  <c r="I255" i="6" a="1"/>
  <c r="I255" i="6" s="1"/>
  <c r="H255" i="6" a="1"/>
  <c r="H255" i="6" s="1"/>
  <c r="I254" i="6" a="1"/>
  <c r="I254" i="6" s="1"/>
  <c r="H254" i="6" a="1"/>
  <c r="H254" i="6" s="1"/>
  <c r="I253" i="6" a="1"/>
  <c r="I253" i="6" s="1"/>
  <c r="H253" i="6" a="1"/>
  <c r="H253" i="6" s="1"/>
  <c r="I252" i="6" a="1"/>
  <c r="I252" i="6" s="1"/>
  <c r="H252" i="6" a="1"/>
  <c r="H252" i="6" s="1"/>
  <c r="I251" i="6" a="1"/>
  <c r="I251" i="6" s="1"/>
  <c r="H251" i="6" a="1"/>
  <c r="H251" i="6" s="1"/>
  <c r="I250" i="6" a="1"/>
  <c r="I250" i="6" s="1"/>
  <c r="H250" i="6" a="1"/>
  <c r="H250" i="6" s="1"/>
  <c r="I249" i="6" a="1"/>
  <c r="I249" i="6" s="1"/>
  <c r="H249" i="6" a="1"/>
  <c r="H249" i="6" s="1"/>
  <c r="I248" i="6" a="1"/>
  <c r="I248" i="6" s="1"/>
  <c r="H248" i="6" a="1"/>
  <c r="H248" i="6" s="1"/>
  <c r="I247" i="6" a="1"/>
  <c r="I247" i="6" s="1"/>
  <c r="H247" i="6" a="1"/>
  <c r="H247" i="6" s="1"/>
  <c r="I246" i="6" a="1"/>
  <c r="I246" i="6" s="1"/>
  <c r="H246" i="6" a="1"/>
  <c r="H246" i="6" s="1"/>
  <c r="I245" i="6" a="1"/>
  <c r="I245" i="6" s="1"/>
  <c r="H245" i="6" a="1"/>
  <c r="H245" i="6" s="1"/>
  <c r="I244" i="6" a="1"/>
  <c r="I244" i="6" s="1"/>
  <c r="H244" i="6" a="1"/>
  <c r="H244" i="6" s="1"/>
  <c r="I243" i="6" a="1"/>
  <c r="I243" i="6" s="1"/>
  <c r="H243" i="6" a="1"/>
  <c r="H243" i="6" s="1"/>
  <c r="I242" i="6" a="1"/>
  <c r="I242" i="6" s="1"/>
  <c r="H242" i="6" a="1"/>
  <c r="H242" i="6" s="1"/>
  <c r="I241" i="6" a="1"/>
  <c r="I241" i="6" s="1"/>
  <c r="H241" i="6" a="1"/>
  <c r="H241" i="6" s="1"/>
  <c r="I240" i="6" a="1"/>
  <c r="I240" i="6" s="1"/>
  <c r="H240" i="6" a="1"/>
  <c r="H240" i="6" s="1"/>
  <c r="I239" i="6" a="1"/>
  <c r="I239" i="6" s="1"/>
  <c r="H239" i="6" a="1"/>
  <c r="H239" i="6" s="1"/>
  <c r="I238" i="6" a="1"/>
  <c r="I238" i="6" s="1"/>
  <c r="H238" i="6" a="1"/>
  <c r="H238" i="6" s="1"/>
  <c r="I237" i="6" a="1"/>
  <c r="I237" i="6" s="1"/>
  <c r="H237" i="6" a="1"/>
  <c r="H237" i="6" s="1"/>
  <c r="I236" i="6" a="1"/>
  <c r="I236" i="6" s="1"/>
  <c r="H236" i="6" a="1"/>
  <c r="H236" i="6" s="1"/>
  <c r="I235" i="6" a="1"/>
  <c r="I235" i="6" s="1"/>
  <c r="H235" i="6" a="1"/>
  <c r="H235" i="6" s="1"/>
  <c r="I234" i="6" a="1"/>
  <c r="I234" i="6" s="1"/>
  <c r="H234" i="6" a="1"/>
  <c r="H234" i="6" s="1"/>
  <c r="I233" i="6" a="1"/>
  <c r="I233" i="6" s="1"/>
  <c r="H233" i="6" a="1"/>
  <c r="H233" i="6" s="1"/>
  <c r="I232" i="6" a="1"/>
  <c r="I232" i="6" s="1"/>
  <c r="H232" i="6" a="1"/>
  <c r="H232" i="6" s="1"/>
  <c r="I231" i="6" a="1"/>
  <c r="I231" i="6" s="1"/>
  <c r="H231" i="6" a="1"/>
  <c r="H231" i="6" s="1"/>
  <c r="I230" i="6" a="1"/>
  <c r="I230" i="6" s="1"/>
  <c r="H230" i="6" a="1"/>
  <c r="H230" i="6" s="1"/>
  <c r="I229" i="6" a="1"/>
  <c r="I229" i="6" s="1"/>
  <c r="H229" i="6" a="1"/>
  <c r="H229" i="6" s="1"/>
  <c r="I228" i="6" a="1"/>
  <c r="I228" i="6" s="1"/>
  <c r="H228" i="6" a="1"/>
  <c r="H228" i="6" s="1"/>
  <c r="I227" i="6" a="1"/>
  <c r="I227" i="6" s="1"/>
  <c r="H227" i="6" a="1"/>
  <c r="H227" i="6" s="1"/>
  <c r="I226" i="6" a="1"/>
  <c r="I226" i="6" s="1"/>
  <c r="H226" i="6" a="1"/>
  <c r="H226" i="6" s="1"/>
  <c r="I225" i="6" a="1"/>
  <c r="I225" i="6" s="1"/>
  <c r="H225" i="6" a="1"/>
  <c r="H225" i="6" s="1"/>
  <c r="I224" i="6" a="1"/>
  <c r="I224" i="6" s="1"/>
  <c r="H224" i="6" a="1"/>
  <c r="H224" i="6" s="1"/>
  <c r="I223" i="6" a="1"/>
  <c r="I223" i="6" s="1"/>
  <c r="H223" i="6" a="1"/>
  <c r="H223" i="6" s="1"/>
  <c r="I222" i="6" a="1"/>
  <c r="I222" i="6" s="1"/>
  <c r="H222" i="6" a="1"/>
  <c r="H222" i="6" s="1"/>
  <c r="I221" i="6" a="1"/>
  <c r="I221" i="6" s="1"/>
  <c r="H221" i="6" a="1"/>
  <c r="H221" i="6" s="1"/>
  <c r="I220" i="6" a="1"/>
  <c r="I220" i="6" s="1"/>
  <c r="H220" i="6" a="1"/>
  <c r="H220" i="6" s="1"/>
  <c r="I219" i="6" a="1"/>
  <c r="I219" i="6" s="1"/>
  <c r="H219" i="6" a="1"/>
  <c r="H219" i="6" s="1"/>
  <c r="I218" i="6" a="1"/>
  <c r="I218" i="6" s="1"/>
  <c r="H218" i="6" a="1"/>
  <c r="H218" i="6" s="1"/>
  <c r="I217" i="6" a="1"/>
  <c r="I217" i="6" s="1"/>
  <c r="H217" i="6" a="1"/>
  <c r="H217" i="6" s="1"/>
  <c r="I216" i="6" a="1"/>
  <c r="I216" i="6" s="1"/>
  <c r="H216" i="6" a="1"/>
  <c r="H216" i="6" s="1"/>
  <c r="I215" i="6" a="1"/>
  <c r="I215" i="6" s="1"/>
  <c r="H215" i="6" a="1"/>
  <c r="H215" i="6" s="1"/>
  <c r="I214" i="6" a="1"/>
  <c r="I214" i="6" s="1"/>
  <c r="H214" i="6" a="1"/>
  <c r="H214" i="6" s="1"/>
  <c r="I213" i="6" a="1"/>
  <c r="I213" i="6" s="1"/>
  <c r="H213" i="6" a="1"/>
  <c r="H213" i="6" s="1"/>
  <c r="I212" i="6" a="1"/>
  <c r="I212" i="6" s="1"/>
  <c r="H212" i="6" a="1"/>
  <c r="H212" i="6" s="1"/>
  <c r="I211" i="6" a="1"/>
  <c r="I211" i="6" s="1"/>
  <c r="H211" i="6" a="1"/>
  <c r="H211" i="6" s="1"/>
  <c r="I210" i="6" a="1"/>
  <c r="I210" i="6" s="1"/>
  <c r="H210" i="6" a="1"/>
  <c r="H210" i="6" s="1"/>
  <c r="I209" i="6" a="1"/>
  <c r="I209" i="6" s="1"/>
  <c r="H209" i="6" a="1"/>
  <c r="H209" i="6" s="1"/>
  <c r="I208" i="6" a="1"/>
  <c r="I208" i="6" s="1"/>
  <c r="H208" i="6" a="1"/>
  <c r="H208" i="6" s="1"/>
  <c r="I207" i="6" a="1"/>
  <c r="I207" i="6" s="1"/>
  <c r="H207" i="6" a="1"/>
  <c r="H207" i="6" s="1"/>
  <c r="I206" i="6" a="1"/>
  <c r="I206" i="6" s="1"/>
  <c r="H206" i="6" a="1"/>
  <c r="H206" i="6" s="1"/>
  <c r="I205" i="6" a="1"/>
  <c r="I205" i="6" s="1"/>
  <c r="H205" i="6" a="1"/>
  <c r="H205" i="6" s="1"/>
  <c r="I204" i="6" a="1"/>
  <c r="I204" i="6" s="1"/>
  <c r="H204" i="6" a="1"/>
  <c r="H204" i="6" s="1"/>
  <c r="I203" i="6" a="1"/>
  <c r="I203" i="6" s="1"/>
  <c r="H203" i="6" a="1"/>
  <c r="H203" i="6" s="1"/>
  <c r="I202" i="6" a="1"/>
  <c r="I202" i="6" s="1"/>
  <c r="H202" i="6" a="1"/>
  <c r="H202" i="6" s="1"/>
  <c r="I201" i="6" a="1"/>
  <c r="I201" i="6" s="1"/>
  <c r="H201" i="6" a="1"/>
  <c r="H201" i="6" s="1"/>
  <c r="I200" i="6" a="1"/>
  <c r="I200" i="6" s="1"/>
  <c r="H200" i="6" a="1"/>
  <c r="H200" i="6" s="1"/>
  <c r="I199" i="6" a="1"/>
  <c r="I199" i="6" s="1"/>
  <c r="H199" i="6" a="1"/>
  <c r="H199" i="6" s="1"/>
  <c r="I198" i="6" a="1"/>
  <c r="I198" i="6" s="1"/>
  <c r="H198" i="6" a="1"/>
  <c r="H198" i="6" s="1"/>
  <c r="I197" i="6" a="1"/>
  <c r="I197" i="6" s="1"/>
  <c r="H197" i="6" a="1"/>
  <c r="H197" i="6" s="1"/>
  <c r="I196" i="6" a="1"/>
  <c r="I196" i="6" s="1"/>
  <c r="H196" i="6" a="1"/>
  <c r="H196" i="6" s="1"/>
  <c r="I195" i="6" a="1"/>
  <c r="I195" i="6" s="1"/>
  <c r="H195" i="6" a="1"/>
  <c r="H195" i="6" s="1"/>
  <c r="I194" i="6" a="1"/>
  <c r="I194" i="6" s="1"/>
  <c r="H194" i="6" a="1"/>
  <c r="H194" i="6" s="1"/>
  <c r="I193" i="6" a="1"/>
  <c r="I193" i="6" s="1"/>
  <c r="H193" i="6" a="1"/>
  <c r="H193" i="6" s="1"/>
  <c r="I192" i="6" a="1"/>
  <c r="I192" i="6" s="1"/>
  <c r="H192" i="6" a="1"/>
  <c r="H192" i="6" s="1"/>
  <c r="I191" i="6" a="1"/>
  <c r="I191" i="6" s="1"/>
  <c r="H191" i="6" a="1"/>
  <c r="H191" i="6" s="1"/>
  <c r="I190" i="6" a="1"/>
  <c r="I190" i="6" s="1"/>
  <c r="H190" i="6" a="1"/>
  <c r="H190" i="6" s="1"/>
  <c r="I189" i="6" a="1"/>
  <c r="I189" i="6" s="1"/>
  <c r="H189" i="6" a="1"/>
  <c r="H189" i="6" s="1"/>
  <c r="I188" i="6" a="1"/>
  <c r="I188" i="6" s="1"/>
  <c r="H188" i="6" a="1"/>
  <c r="H188" i="6" s="1"/>
  <c r="I187" i="6" a="1"/>
  <c r="I187" i="6" s="1"/>
  <c r="H187" i="6" a="1"/>
  <c r="H187" i="6" s="1"/>
  <c r="I186" i="6" a="1"/>
  <c r="I186" i="6" s="1"/>
  <c r="H186" i="6" a="1"/>
  <c r="H186" i="6" s="1"/>
  <c r="I185" i="6" a="1"/>
  <c r="I185" i="6" s="1"/>
  <c r="H185" i="6" a="1"/>
  <c r="H185" i="6" s="1"/>
  <c r="I184" i="6" a="1"/>
  <c r="I184" i="6" s="1"/>
  <c r="H184" i="6" a="1"/>
  <c r="H184" i="6" s="1"/>
  <c r="I183" i="6" a="1"/>
  <c r="I183" i="6" s="1"/>
  <c r="H183" i="6" a="1"/>
  <c r="H183" i="6" s="1"/>
  <c r="I182" i="6" a="1"/>
  <c r="I182" i="6" s="1"/>
  <c r="H182" i="6" a="1"/>
  <c r="H182" i="6" s="1"/>
  <c r="I181" i="6" a="1"/>
  <c r="I181" i="6" s="1"/>
  <c r="H181" i="6" a="1"/>
  <c r="H181" i="6" s="1"/>
  <c r="I180" i="6" a="1"/>
  <c r="I180" i="6" s="1"/>
  <c r="H180" i="6" a="1"/>
  <c r="H180" i="6" s="1"/>
  <c r="I179" i="6" a="1"/>
  <c r="I179" i="6" s="1"/>
  <c r="H179" i="6" a="1"/>
  <c r="H179" i="6" s="1"/>
  <c r="I178" i="6" a="1"/>
  <c r="I178" i="6" s="1"/>
  <c r="H178" i="6" a="1"/>
  <c r="H178" i="6" s="1"/>
  <c r="I177" i="6" a="1"/>
  <c r="I177" i="6" s="1"/>
  <c r="H177" i="6" a="1"/>
  <c r="H177" i="6" s="1"/>
  <c r="I176" i="6" a="1"/>
  <c r="I176" i="6" s="1"/>
  <c r="H176" i="6" a="1"/>
  <c r="H176" i="6" s="1"/>
  <c r="I175" i="6" a="1"/>
  <c r="I175" i="6" s="1"/>
  <c r="H175" i="6" a="1"/>
  <c r="H175" i="6" s="1"/>
  <c r="I174" i="6" a="1"/>
  <c r="I174" i="6" s="1"/>
  <c r="H174" i="6" a="1"/>
  <c r="H174" i="6" s="1"/>
  <c r="I173" i="6" a="1"/>
  <c r="I173" i="6" s="1"/>
  <c r="H173" i="6" a="1"/>
  <c r="H173" i="6" s="1"/>
  <c r="I172" i="6" a="1"/>
  <c r="I172" i="6" s="1"/>
  <c r="H172" i="6" a="1"/>
  <c r="H172" i="6" s="1"/>
  <c r="I171" i="6" a="1"/>
  <c r="I171" i="6" s="1"/>
  <c r="H171" i="6" a="1"/>
  <c r="H171" i="6" s="1"/>
  <c r="I170" i="6" a="1"/>
  <c r="I170" i="6" s="1"/>
  <c r="H170" i="6" a="1"/>
  <c r="H170" i="6" s="1"/>
  <c r="I169" i="6" a="1"/>
  <c r="I169" i="6" s="1"/>
  <c r="H169" i="6" a="1"/>
  <c r="H169" i="6" s="1"/>
  <c r="I168" i="6" a="1"/>
  <c r="I168" i="6" s="1"/>
  <c r="H168" i="6" a="1"/>
  <c r="H168" i="6" s="1"/>
  <c r="I167" i="6" a="1"/>
  <c r="I167" i="6" s="1"/>
  <c r="H167" i="6" a="1"/>
  <c r="H167" i="6" s="1"/>
  <c r="I166" i="6" a="1"/>
  <c r="I166" i="6" s="1"/>
  <c r="H166" i="6" a="1"/>
  <c r="H166" i="6" s="1"/>
  <c r="I165" i="6" a="1"/>
  <c r="I165" i="6" s="1"/>
  <c r="H165" i="6" a="1"/>
  <c r="H165" i="6" s="1"/>
  <c r="I164" i="6" a="1"/>
  <c r="I164" i="6" s="1"/>
  <c r="H164" i="6" a="1"/>
  <c r="H164" i="6" s="1"/>
  <c r="I163" i="6" a="1"/>
  <c r="I163" i="6" s="1"/>
  <c r="H163" i="6" a="1"/>
  <c r="H163" i="6" s="1"/>
  <c r="I162" i="6" a="1"/>
  <c r="I162" i="6" s="1"/>
  <c r="H162" i="6" a="1"/>
  <c r="H162" i="6" s="1"/>
  <c r="I161" i="6" a="1"/>
  <c r="I161" i="6" s="1"/>
  <c r="H161" i="6" a="1"/>
  <c r="H161" i="6" s="1"/>
  <c r="I160" i="6" a="1"/>
  <c r="I160" i="6" s="1"/>
  <c r="H160" i="6" a="1"/>
  <c r="H160" i="6" s="1"/>
  <c r="I159" i="6" a="1"/>
  <c r="I159" i="6" s="1"/>
  <c r="H159" i="6" a="1"/>
  <c r="H159" i="6" s="1"/>
  <c r="I158" i="6" a="1"/>
  <c r="I158" i="6" s="1"/>
  <c r="H158" i="6" a="1"/>
  <c r="H158" i="6" s="1"/>
  <c r="I157" i="6" a="1"/>
  <c r="I157" i="6" s="1"/>
  <c r="H157" i="6" a="1"/>
  <c r="H157" i="6" s="1"/>
  <c r="I156" i="6" a="1"/>
  <c r="I156" i="6" s="1"/>
  <c r="H156" i="6" a="1"/>
  <c r="H156" i="6" s="1"/>
  <c r="I155" i="6" a="1"/>
  <c r="I155" i="6" s="1"/>
  <c r="H155" i="6" a="1"/>
  <c r="H155" i="6" s="1"/>
  <c r="I154" i="6" a="1"/>
  <c r="I154" i="6" s="1"/>
  <c r="H154" i="6" a="1"/>
  <c r="H154" i="6" s="1"/>
  <c r="I153" i="6" a="1"/>
  <c r="I153" i="6" s="1"/>
  <c r="H153" i="6" a="1"/>
  <c r="H153" i="6" s="1"/>
  <c r="I152" i="6" a="1"/>
  <c r="I152" i="6" s="1"/>
  <c r="H152" i="6" a="1"/>
  <c r="H152" i="6" s="1"/>
  <c r="I151" i="6" a="1"/>
  <c r="I151" i="6" s="1"/>
  <c r="H151" i="6" a="1"/>
  <c r="H151" i="6" s="1"/>
  <c r="I150" i="6" a="1"/>
  <c r="I150" i="6" s="1"/>
  <c r="H150" i="6" a="1"/>
  <c r="H150" i="6" s="1"/>
  <c r="I149" i="6" a="1"/>
  <c r="I149" i="6" s="1"/>
  <c r="H149" i="6" a="1"/>
  <c r="H149" i="6" s="1"/>
  <c r="I148" i="6" a="1"/>
  <c r="I148" i="6" s="1"/>
  <c r="H148" i="6" a="1"/>
  <c r="H148" i="6" s="1"/>
  <c r="I147" i="6" a="1"/>
  <c r="I147" i="6" s="1"/>
  <c r="H147" i="6" a="1"/>
  <c r="H147" i="6" s="1"/>
  <c r="I146" i="6" a="1"/>
  <c r="I146" i="6" s="1"/>
  <c r="H146" i="6" a="1"/>
  <c r="H146" i="6" s="1"/>
  <c r="I145" i="6" a="1"/>
  <c r="I145" i="6" s="1"/>
  <c r="H145" i="6" a="1"/>
  <c r="H145" i="6" s="1"/>
  <c r="I144" i="6" a="1"/>
  <c r="I144" i="6" s="1"/>
  <c r="H144" i="6" a="1"/>
  <c r="H144" i="6" s="1"/>
  <c r="I143" i="6" a="1"/>
  <c r="I143" i="6" s="1"/>
  <c r="H143" i="6" a="1"/>
  <c r="H143" i="6" s="1"/>
  <c r="I142" i="6" a="1"/>
  <c r="I142" i="6" s="1"/>
  <c r="H142" i="6" a="1"/>
  <c r="H142" i="6" s="1"/>
  <c r="I141" i="6" a="1"/>
  <c r="I141" i="6" s="1"/>
  <c r="H141" i="6" a="1"/>
  <c r="H141" i="6" s="1"/>
  <c r="I140" i="6" a="1"/>
  <c r="I140" i="6" s="1"/>
  <c r="H140" i="6" a="1"/>
  <c r="H140" i="6" s="1"/>
  <c r="I139" i="6" a="1"/>
  <c r="I139" i="6" s="1"/>
  <c r="H139" i="6" a="1"/>
  <c r="H139" i="6" s="1"/>
  <c r="I138" i="6" a="1"/>
  <c r="I138" i="6" s="1"/>
  <c r="H138" i="6" a="1"/>
  <c r="H138" i="6" s="1"/>
  <c r="I137" i="6" a="1"/>
  <c r="I137" i="6" s="1"/>
  <c r="H137" i="6" a="1"/>
  <c r="H137" i="6" s="1"/>
  <c r="I136" i="6" a="1"/>
  <c r="I136" i="6" s="1"/>
  <c r="H136" i="6" a="1"/>
  <c r="H136" i="6" s="1"/>
  <c r="I135" i="6" a="1"/>
  <c r="I135" i="6" s="1"/>
  <c r="H135" i="6" a="1"/>
  <c r="H135" i="6" s="1"/>
  <c r="I134" i="6" a="1"/>
  <c r="I134" i="6" s="1"/>
  <c r="H134" i="6" a="1"/>
  <c r="H134" i="6" s="1"/>
  <c r="I133" i="6" a="1"/>
  <c r="I133" i="6" s="1"/>
  <c r="H133" i="6" a="1"/>
  <c r="H133" i="6" s="1"/>
  <c r="I132" i="6" a="1"/>
  <c r="I132" i="6" s="1"/>
  <c r="H132" i="6" a="1"/>
  <c r="H132" i="6" s="1"/>
  <c r="I131" i="6" a="1"/>
  <c r="I131" i="6" s="1"/>
  <c r="H131" i="6" a="1"/>
  <c r="H131" i="6" s="1"/>
  <c r="I130" i="6" a="1"/>
  <c r="I130" i="6" s="1"/>
  <c r="H130" i="6" a="1"/>
  <c r="H130" i="6" s="1"/>
  <c r="I129" i="6" a="1"/>
  <c r="I129" i="6" s="1"/>
  <c r="H129" i="6" a="1"/>
  <c r="H129" i="6" s="1"/>
  <c r="I128" i="6" a="1"/>
  <c r="I128" i="6" s="1"/>
  <c r="H128" i="6" a="1"/>
  <c r="H128" i="6" s="1"/>
  <c r="I127" i="6" a="1"/>
  <c r="I127" i="6" s="1"/>
  <c r="H127" i="6" a="1"/>
  <c r="H127" i="6" s="1"/>
  <c r="I126" i="6" a="1"/>
  <c r="I126" i="6" s="1"/>
  <c r="H126" i="6" a="1"/>
  <c r="H126" i="6" s="1"/>
  <c r="I125" i="6" a="1"/>
  <c r="I125" i="6" s="1"/>
  <c r="H125" i="6" a="1"/>
  <c r="H125" i="6" s="1"/>
  <c r="I124" i="6" a="1"/>
  <c r="I124" i="6" s="1"/>
  <c r="H124" i="6" a="1"/>
  <c r="H124" i="6" s="1"/>
  <c r="I123" i="6" a="1"/>
  <c r="I123" i="6" s="1"/>
  <c r="H123" i="6" a="1"/>
  <c r="H123" i="6" s="1"/>
  <c r="I122" i="6" a="1"/>
  <c r="I122" i="6" s="1"/>
  <c r="H122" i="6" a="1"/>
  <c r="H122" i="6" s="1"/>
  <c r="I121" i="6" a="1"/>
  <c r="I121" i="6" s="1"/>
  <c r="H121" i="6" a="1"/>
  <c r="H121" i="6" s="1"/>
  <c r="I120" i="6" a="1"/>
  <c r="I120" i="6" s="1"/>
  <c r="H120" i="6" a="1"/>
  <c r="H120" i="6" s="1"/>
  <c r="I119" i="6" a="1"/>
  <c r="I119" i="6" s="1"/>
  <c r="H119" i="6" a="1"/>
  <c r="H119" i="6" s="1"/>
  <c r="I118" i="6" a="1"/>
  <c r="I118" i="6" s="1"/>
  <c r="H118" i="6" a="1"/>
  <c r="H118" i="6" s="1"/>
  <c r="I117" i="6" a="1"/>
  <c r="I117" i="6" s="1"/>
  <c r="H117" i="6" a="1"/>
  <c r="H117" i="6" s="1"/>
  <c r="I116" i="6" a="1"/>
  <c r="I116" i="6" s="1"/>
  <c r="H116" i="6" a="1"/>
  <c r="H116" i="6" s="1"/>
  <c r="I115" i="6" a="1"/>
  <c r="I115" i="6" s="1"/>
  <c r="H115" i="6" a="1"/>
  <c r="H115" i="6" s="1"/>
  <c r="I114" i="6" a="1"/>
  <c r="I114" i="6" s="1"/>
  <c r="H114" i="6" a="1"/>
  <c r="H114" i="6" s="1"/>
  <c r="I113" i="6" a="1"/>
  <c r="I113" i="6" s="1"/>
  <c r="H113" i="6" a="1"/>
  <c r="H113" i="6" s="1"/>
  <c r="I112" i="6" a="1"/>
  <c r="I112" i="6" s="1"/>
  <c r="H112" i="6" a="1"/>
  <c r="H112" i="6" s="1"/>
  <c r="I111" i="6" a="1"/>
  <c r="I111" i="6" s="1"/>
  <c r="H111" i="6" a="1"/>
  <c r="H111" i="6" s="1"/>
  <c r="I110" i="6" a="1"/>
  <c r="I110" i="6" s="1"/>
  <c r="H110" i="6" a="1"/>
  <c r="H110" i="6" s="1"/>
  <c r="I109" i="6" a="1"/>
  <c r="I109" i="6" s="1"/>
  <c r="H109" i="6" a="1"/>
  <c r="H109" i="6" s="1"/>
  <c r="I108" i="6" a="1"/>
  <c r="I108" i="6" s="1"/>
  <c r="H108" i="6" a="1"/>
  <c r="H108" i="6" s="1"/>
  <c r="I107" i="6" a="1"/>
  <c r="I107" i="6" s="1"/>
  <c r="H107" i="6" a="1"/>
  <c r="H107" i="6" s="1"/>
  <c r="I106" i="6" a="1"/>
  <c r="I106" i="6" s="1"/>
  <c r="H106" i="6" a="1"/>
  <c r="H106" i="6" s="1"/>
  <c r="I105" i="6" a="1"/>
  <c r="I105" i="6" s="1"/>
  <c r="H105" i="6" a="1"/>
  <c r="H105" i="6" s="1"/>
  <c r="I104" i="6" a="1"/>
  <c r="I104" i="6" s="1"/>
  <c r="H104" i="6" a="1"/>
  <c r="H104" i="6" s="1"/>
  <c r="I103" i="6" a="1"/>
  <c r="I103" i="6" s="1"/>
  <c r="H103" i="6" a="1"/>
  <c r="H103" i="6" s="1"/>
  <c r="I102" i="6" a="1"/>
  <c r="I102" i="6" s="1"/>
  <c r="H102" i="6" a="1"/>
  <c r="H102" i="6" s="1"/>
  <c r="I101" i="6" a="1"/>
  <c r="I101" i="6" s="1"/>
  <c r="H101" i="6" a="1"/>
  <c r="H101" i="6" s="1"/>
  <c r="I100" i="6" a="1"/>
  <c r="I100" i="6" s="1"/>
  <c r="H100" i="6" a="1"/>
  <c r="H100" i="6" s="1"/>
  <c r="I99" i="6" a="1"/>
  <c r="I99" i="6" s="1"/>
  <c r="H99" i="6" a="1"/>
  <c r="H99" i="6" s="1"/>
  <c r="I98" i="6" a="1"/>
  <c r="I98" i="6" s="1"/>
  <c r="H98" i="6" a="1"/>
  <c r="H98" i="6" s="1"/>
  <c r="I97" i="6" a="1"/>
  <c r="I97" i="6" s="1"/>
  <c r="H97" i="6" a="1"/>
  <c r="H97" i="6" s="1"/>
  <c r="D350" i="6"/>
  <c r="E356" i="6"/>
  <c r="E355" i="6"/>
  <c r="E354" i="6"/>
  <c r="E353" i="6"/>
  <c r="E352" i="6"/>
  <c r="E351" i="6"/>
  <c r="E350" i="6"/>
  <c r="E349" i="6"/>
  <c r="D349" i="6"/>
  <c r="D356" i="6"/>
  <c r="D355" i="6"/>
  <c r="D354" i="6"/>
  <c r="D353" i="6"/>
  <c r="D352" i="6"/>
  <c r="D351" i="6"/>
  <c r="F350" i="6" a="1"/>
  <c r="F350" i="6" s="1"/>
  <c r="F351" i="6" a="1"/>
  <c r="F351" i="6" s="1"/>
  <c r="F352" i="6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a="1"/>
  <c r="F360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 s="1"/>
  <c r="G356" i="6" a="1"/>
  <c r="G356" i="6" s="1"/>
  <c r="G357" i="6" a="1"/>
  <c r="G357" i="6" s="1"/>
  <c r="G358" i="6" a="1"/>
  <c r="G358" i="6" s="1"/>
  <c r="G359" i="6" a="1"/>
  <c r="G359" i="6" s="1"/>
  <c r="G360" i="6" a="1"/>
  <c r="G360" i="6" s="1"/>
  <c r="N357" i="6"/>
  <c r="N358" i="6"/>
  <c r="N359" i="6"/>
  <c r="N360" i="6"/>
  <c r="F349" i="6" a="1"/>
  <c r="F349" i="6" s="1"/>
  <c r="G349" i="6" a="1"/>
  <c r="G349" i="6" s="1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50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26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02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278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54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30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06" i="7"/>
  <c r="G348" i="6" a="1"/>
  <c r="G348" i="6" s="1"/>
  <c r="F348" i="6" a="1"/>
  <c r="F348" i="6" s="1"/>
  <c r="G347" i="6" a="1"/>
  <c r="G347" i="6" s="1"/>
  <c r="F347" i="6" a="1"/>
  <c r="F347" i="6" s="1"/>
  <c r="G346" i="6" a="1"/>
  <c r="G346" i="6" s="1"/>
  <c r="F346" i="6" a="1"/>
  <c r="F346" i="6" s="1"/>
  <c r="G345" i="6" a="1"/>
  <c r="G345" i="6" s="1"/>
  <c r="F345" i="6" a="1"/>
  <c r="F345" i="6" s="1"/>
  <c r="G344" i="6" a="1"/>
  <c r="G344" i="6" s="1"/>
  <c r="F344" i="6" a="1"/>
  <c r="F344" i="6" s="1"/>
  <c r="G343" i="6" a="1"/>
  <c r="G343" i="6" s="1"/>
  <c r="F343" i="6" a="1"/>
  <c r="F343" i="6" s="1"/>
  <c r="G342" i="6" a="1"/>
  <c r="G342" i="6" s="1"/>
  <c r="F342" i="6" a="1"/>
  <c r="F342" i="6" s="1"/>
  <c r="G341" i="6" a="1"/>
  <c r="G341" i="6" s="1"/>
  <c r="F341" i="6" a="1"/>
  <c r="F341" i="6" s="1"/>
  <c r="G340" i="6" a="1"/>
  <c r="G340" i="6" s="1"/>
  <c r="F340" i="6" a="1"/>
  <c r="F340" i="6" s="1"/>
  <c r="G339" i="6" a="1"/>
  <c r="G339" i="6" s="1"/>
  <c r="F339" i="6" a="1"/>
  <c r="F339" i="6" s="1"/>
  <c r="G338" i="6" a="1"/>
  <c r="G338" i="6" s="1"/>
  <c r="F338" i="6" a="1"/>
  <c r="F338" i="6" s="1"/>
  <c r="G337" i="6" a="1"/>
  <c r="G337" i="6" s="1"/>
  <c r="F337" i="6" a="1"/>
  <c r="F337" i="6" s="1"/>
  <c r="G336" i="6" a="1"/>
  <c r="G336" i="6" s="1"/>
  <c r="F336" i="6" a="1"/>
  <c r="F336" i="6" s="1"/>
  <c r="G335" i="6" a="1"/>
  <c r="G335" i="6" s="1"/>
  <c r="F335" i="6" a="1"/>
  <c r="F335" i="6" s="1"/>
  <c r="G334" i="6" a="1"/>
  <c r="G334" i="6" s="1"/>
  <c r="F334" i="6" a="1"/>
  <c r="F334" i="6" s="1"/>
  <c r="G333" i="6" a="1"/>
  <c r="G333" i="6" s="1"/>
  <c r="F333" i="6" a="1"/>
  <c r="F333" i="6" s="1"/>
  <c r="G332" i="6" a="1"/>
  <c r="G332" i="6" s="1"/>
  <c r="F332" i="6" a="1"/>
  <c r="F332" i="6" s="1"/>
  <c r="G331" i="6" a="1"/>
  <c r="G331" i="6" s="1"/>
  <c r="F331" i="6" a="1"/>
  <c r="F331" i="6" s="1"/>
  <c r="G330" i="6" a="1"/>
  <c r="G330" i="6" s="1"/>
  <c r="F330" i="6" a="1"/>
  <c r="F330" i="6" s="1"/>
  <c r="G329" i="6" a="1"/>
  <c r="G329" i="6" s="1"/>
  <c r="F329" i="6" a="1"/>
  <c r="F329" i="6" s="1"/>
  <c r="G328" i="6" a="1"/>
  <c r="G328" i="6" s="1"/>
  <c r="F328" i="6" a="1"/>
  <c r="F328" i="6" s="1"/>
  <c r="G327" i="6" a="1"/>
  <c r="G327" i="6" s="1"/>
  <c r="F327" i="6" a="1"/>
  <c r="F327" i="6" s="1"/>
  <c r="G326" i="6" a="1"/>
  <c r="G326" i="6" s="1"/>
  <c r="F326" i="6" a="1"/>
  <c r="F326" i="6" s="1"/>
  <c r="G325" i="6" a="1"/>
  <c r="G325" i="6" s="1"/>
  <c r="F325" i="6" a="1"/>
  <c r="F325" i="6" s="1"/>
  <c r="G324" i="6" a="1"/>
  <c r="G324" i="6" s="1"/>
  <c r="F324" i="6" a="1"/>
  <c r="F324" i="6" s="1"/>
  <c r="G323" i="6" a="1"/>
  <c r="G323" i="6" s="1"/>
  <c r="F323" i="6" a="1"/>
  <c r="F323" i="6" s="1"/>
  <c r="G322" i="6" a="1"/>
  <c r="G322" i="6" s="1"/>
  <c r="F322" i="6" a="1"/>
  <c r="F322" i="6" s="1"/>
  <c r="G321" i="6" a="1"/>
  <c r="G321" i="6" s="1"/>
  <c r="F321" i="6" a="1"/>
  <c r="F321" i="6" s="1"/>
  <c r="G320" i="6" a="1"/>
  <c r="G320" i="6" s="1"/>
  <c r="F320" i="6" a="1"/>
  <c r="F320" i="6" s="1"/>
  <c r="G319" i="6" a="1"/>
  <c r="G319" i="6" s="1"/>
  <c r="F319" i="6" a="1"/>
  <c r="F319" i="6" s="1"/>
  <c r="G318" i="6" a="1"/>
  <c r="G318" i="6" s="1"/>
  <c r="F318" i="6" a="1"/>
  <c r="F318" i="6" s="1"/>
  <c r="G317" i="6" a="1"/>
  <c r="G317" i="6" s="1"/>
  <c r="F317" i="6" a="1"/>
  <c r="F317" i="6" s="1"/>
  <c r="G316" i="6" a="1"/>
  <c r="G316" i="6" s="1"/>
  <c r="F316" i="6" a="1"/>
  <c r="F316" i="6" s="1"/>
  <c r="G315" i="6" a="1"/>
  <c r="G315" i="6" s="1"/>
  <c r="F315" i="6" a="1"/>
  <c r="F315" i="6" s="1"/>
  <c r="G314" i="6" a="1"/>
  <c r="G314" i="6" s="1"/>
  <c r="F314" i="6" a="1"/>
  <c r="F314" i="6" s="1"/>
  <c r="G313" i="6" a="1"/>
  <c r="G313" i="6" s="1"/>
  <c r="F313" i="6" a="1"/>
  <c r="F313" i="6" s="1"/>
  <c r="G312" i="6" a="1"/>
  <c r="G312" i="6" s="1"/>
  <c r="F312" i="6" a="1"/>
  <c r="F312" i="6" s="1"/>
  <c r="G311" i="6" a="1"/>
  <c r="G311" i="6" s="1"/>
  <c r="F311" i="6" a="1"/>
  <c r="F311" i="6" s="1"/>
  <c r="G310" i="6" a="1"/>
  <c r="G310" i="6" s="1"/>
  <c r="F310" i="6" a="1"/>
  <c r="F310" i="6" s="1"/>
  <c r="G309" i="6" a="1"/>
  <c r="G309" i="6" s="1"/>
  <c r="F309" i="6" a="1"/>
  <c r="F309" i="6" s="1"/>
  <c r="G308" i="6" a="1"/>
  <c r="G308" i="6" s="1"/>
  <c r="F308" i="6" a="1"/>
  <c r="F308" i="6" s="1"/>
  <c r="G307" i="6" a="1"/>
  <c r="G307" i="6" s="1"/>
  <c r="F307" i="6" a="1"/>
  <c r="F307" i="6" s="1"/>
  <c r="G306" i="6" a="1"/>
  <c r="G306" i="6" s="1"/>
  <c r="F306" i="6" a="1"/>
  <c r="F306" i="6" s="1"/>
  <c r="G305" i="6" a="1"/>
  <c r="G305" i="6" s="1"/>
  <c r="F305" i="6" a="1"/>
  <c r="F305" i="6" s="1"/>
  <c r="G304" i="6" a="1"/>
  <c r="G304" i="6" s="1"/>
  <c r="F304" i="6" a="1"/>
  <c r="F304" i="6" s="1"/>
  <c r="G303" i="6" a="1"/>
  <c r="G303" i="6" s="1"/>
  <c r="F303" i="6" a="1"/>
  <c r="F303" i="6" s="1"/>
  <c r="G302" i="6" a="1"/>
  <c r="G302" i="6" s="1"/>
  <c r="F302" i="6" a="1"/>
  <c r="F302" i="6" s="1"/>
  <c r="G301" i="6" a="1"/>
  <c r="G301" i="6" s="1"/>
  <c r="F301" i="6" a="1"/>
  <c r="F301" i="6" s="1"/>
  <c r="G300" i="6" a="1"/>
  <c r="G300" i="6" s="1"/>
  <c r="F300" i="6" a="1"/>
  <c r="F300" i="6" s="1"/>
  <c r="G299" i="6" a="1"/>
  <c r="G299" i="6" s="1"/>
  <c r="F299" i="6" a="1"/>
  <c r="F299" i="6" s="1"/>
  <c r="G298" i="6" a="1"/>
  <c r="G298" i="6" s="1"/>
  <c r="F298" i="6" a="1"/>
  <c r="F298" i="6" s="1"/>
  <c r="G297" i="6" a="1"/>
  <c r="G297" i="6" s="1"/>
  <c r="F297" i="6" a="1"/>
  <c r="F297" i="6" s="1"/>
  <c r="G296" i="6" a="1"/>
  <c r="G296" i="6" s="1"/>
  <c r="F296" i="6" a="1"/>
  <c r="F296" i="6" s="1"/>
  <c r="G295" i="6" a="1"/>
  <c r="G295" i="6" s="1"/>
  <c r="F295" i="6" a="1"/>
  <c r="F295" i="6" s="1"/>
  <c r="G294" i="6" a="1"/>
  <c r="G294" i="6" s="1"/>
  <c r="F294" i="6" a="1"/>
  <c r="F294" i="6" s="1"/>
  <c r="G293" i="6" a="1"/>
  <c r="G293" i="6" s="1"/>
  <c r="F293" i="6" a="1"/>
  <c r="F293" i="6" s="1"/>
  <c r="G292" i="6" a="1"/>
  <c r="G292" i="6" s="1"/>
  <c r="F292" i="6" a="1"/>
  <c r="F292" i="6" s="1"/>
  <c r="G291" i="6" a="1"/>
  <c r="G291" i="6" s="1"/>
  <c r="F291" i="6" a="1"/>
  <c r="F291" i="6" s="1"/>
  <c r="G290" i="6" a="1"/>
  <c r="G290" i="6" s="1"/>
  <c r="F290" i="6" a="1"/>
  <c r="F290" i="6" s="1"/>
  <c r="G289" i="6" a="1"/>
  <c r="G289" i="6" s="1"/>
  <c r="F289" i="6" a="1"/>
  <c r="F289" i="6" s="1"/>
  <c r="G288" i="6" a="1"/>
  <c r="G288" i="6" s="1"/>
  <c r="F288" i="6" a="1"/>
  <c r="F288" i="6" s="1"/>
  <c r="G287" i="6" a="1"/>
  <c r="G287" i="6" s="1"/>
  <c r="F287" i="6" a="1"/>
  <c r="F287" i="6" s="1"/>
  <c r="G286" i="6" a="1"/>
  <c r="G286" i="6" s="1"/>
  <c r="F286" i="6" a="1"/>
  <c r="F286" i="6" s="1"/>
  <c r="G285" i="6" a="1"/>
  <c r="G285" i="6" s="1"/>
  <c r="F285" i="6" a="1"/>
  <c r="F285" i="6" s="1"/>
  <c r="G284" i="6" a="1"/>
  <c r="G284" i="6" s="1"/>
  <c r="F284" i="6" a="1"/>
  <c r="F284" i="6" s="1"/>
  <c r="G283" i="6" a="1"/>
  <c r="G283" i="6" s="1"/>
  <c r="F283" i="6" a="1"/>
  <c r="F283" i="6" s="1"/>
  <c r="G282" i="6" a="1"/>
  <c r="G282" i="6" s="1"/>
  <c r="F282" i="6" a="1"/>
  <c r="F282" i="6" s="1"/>
  <c r="G281" i="6" a="1"/>
  <c r="G281" i="6" s="1"/>
  <c r="F281" i="6" a="1"/>
  <c r="F281" i="6" s="1"/>
  <c r="G280" i="6" a="1"/>
  <c r="G280" i="6" s="1"/>
  <c r="F280" i="6" a="1"/>
  <c r="F280" i="6" s="1"/>
  <c r="G279" i="6" a="1"/>
  <c r="G279" i="6" s="1"/>
  <c r="F279" i="6" a="1"/>
  <c r="F279" i="6" s="1"/>
  <c r="G278" i="6" a="1"/>
  <c r="G278" i="6" s="1"/>
  <c r="F278" i="6" a="1"/>
  <c r="F278" i="6" s="1"/>
  <c r="G277" i="6" a="1"/>
  <c r="G277" i="6" s="1"/>
  <c r="F277" i="6" a="1"/>
  <c r="F277" i="6" s="1"/>
  <c r="G276" i="6" a="1"/>
  <c r="G276" i="6" s="1"/>
  <c r="F276" i="6" a="1"/>
  <c r="F276" i="6" s="1"/>
  <c r="G275" i="6" a="1"/>
  <c r="G275" i="6" s="1"/>
  <c r="F275" i="6" a="1"/>
  <c r="F275" i="6" s="1"/>
  <c r="G274" i="6" a="1"/>
  <c r="G274" i="6" s="1"/>
  <c r="F274" i="6" a="1"/>
  <c r="F274" i="6" s="1"/>
  <c r="G273" i="6" a="1"/>
  <c r="G273" i="6" s="1"/>
  <c r="F273" i="6" a="1"/>
  <c r="F273" i="6" s="1"/>
  <c r="G272" i="6" a="1"/>
  <c r="G272" i="6" s="1"/>
  <c r="F272" i="6" a="1"/>
  <c r="F272" i="6" s="1"/>
  <c r="G271" i="6" a="1"/>
  <c r="G271" i="6" s="1"/>
  <c r="F271" i="6" a="1"/>
  <c r="F271" i="6" s="1"/>
  <c r="G270" i="6" a="1"/>
  <c r="G270" i="6" s="1"/>
  <c r="F270" i="6" a="1"/>
  <c r="F270" i="6" s="1"/>
  <c r="G269" i="6" a="1"/>
  <c r="G269" i="6" s="1"/>
  <c r="F269" i="6" a="1"/>
  <c r="F269" i="6" s="1"/>
  <c r="G268" i="6" a="1"/>
  <c r="G268" i="6" s="1"/>
  <c r="F268" i="6" a="1"/>
  <c r="F268" i="6" s="1"/>
  <c r="G267" i="6" a="1"/>
  <c r="G267" i="6" s="1"/>
  <c r="F267" i="6" a="1"/>
  <c r="F267" i="6" s="1"/>
  <c r="G266" i="6" a="1"/>
  <c r="G266" i="6" s="1"/>
  <c r="F266" i="6" a="1"/>
  <c r="F266" i="6" s="1"/>
  <c r="G265" i="6" a="1"/>
  <c r="G265" i="6" s="1"/>
  <c r="F265" i="6" a="1"/>
  <c r="F265" i="6" s="1"/>
  <c r="G264" i="6" a="1"/>
  <c r="G264" i="6" s="1"/>
  <c r="F264" i="6" a="1"/>
  <c r="F264" i="6" s="1"/>
  <c r="G263" i="6" a="1"/>
  <c r="G263" i="6" s="1"/>
  <c r="F263" i="6" a="1"/>
  <c r="F263" i="6" s="1"/>
  <c r="G262" i="6" a="1"/>
  <c r="G262" i="6" s="1"/>
  <c r="F262" i="6" a="1"/>
  <c r="F262" i="6" s="1"/>
  <c r="G261" i="6" a="1"/>
  <c r="G261" i="6" s="1"/>
  <c r="F261" i="6" a="1"/>
  <c r="F261" i="6" s="1"/>
  <c r="G260" i="6" a="1"/>
  <c r="G260" i="6" s="1"/>
  <c r="F260" i="6" a="1"/>
  <c r="F260" i="6" s="1"/>
  <c r="G259" i="6" a="1"/>
  <c r="G259" i="6" s="1"/>
  <c r="F259" i="6" a="1"/>
  <c r="F259" i="6" s="1"/>
  <c r="G258" i="6" a="1"/>
  <c r="G258" i="6" s="1"/>
  <c r="F258" i="6" a="1"/>
  <c r="F258" i="6" s="1"/>
  <c r="G257" i="6" a="1"/>
  <c r="G257" i="6" s="1"/>
  <c r="F257" i="6" a="1"/>
  <c r="F257" i="6" s="1"/>
  <c r="G256" i="6" a="1"/>
  <c r="G256" i="6" s="1"/>
  <c r="F256" i="6" a="1"/>
  <c r="F256" i="6" s="1"/>
  <c r="G255" i="6" a="1"/>
  <c r="G255" i="6" s="1"/>
  <c r="F255" i="6" a="1"/>
  <c r="F255" i="6" s="1"/>
  <c r="G254" i="6" a="1"/>
  <c r="G254" i="6" s="1"/>
  <c r="F254" i="6" a="1"/>
  <c r="F254" i="6" s="1"/>
  <c r="G253" i="6" a="1"/>
  <c r="G253" i="6" s="1"/>
  <c r="F253" i="6" a="1"/>
  <c r="F253" i="6" s="1"/>
  <c r="G252" i="6" a="1"/>
  <c r="G252" i="6" s="1"/>
  <c r="F252" i="6" a="1"/>
  <c r="F252" i="6" s="1"/>
  <c r="G251" i="6" a="1"/>
  <c r="G251" i="6" s="1"/>
  <c r="F251" i="6" a="1"/>
  <c r="F251" i="6" s="1"/>
  <c r="G250" i="6" a="1"/>
  <c r="G250" i="6" s="1"/>
  <c r="F250" i="6" a="1"/>
  <c r="F250" i="6" s="1"/>
  <c r="G249" i="6" a="1"/>
  <c r="G249" i="6" s="1"/>
  <c r="F249" i="6" a="1"/>
  <c r="F249" i="6" s="1"/>
  <c r="G248" i="6" a="1"/>
  <c r="G248" i="6" s="1"/>
  <c r="F248" i="6" a="1"/>
  <c r="F248" i="6" s="1"/>
  <c r="G247" i="6" a="1"/>
  <c r="G247" i="6" s="1"/>
  <c r="F247" i="6" a="1"/>
  <c r="F247" i="6" s="1"/>
  <c r="G246" i="6" a="1"/>
  <c r="G246" i="6" s="1"/>
  <c r="F246" i="6" a="1"/>
  <c r="F246" i="6" s="1"/>
  <c r="G245" i="6" a="1"/>
  <c r="G245" i="6" s="1"/>
  <c r="F245" i="6" a="1"/>
  <c r="F245" i="6" s="1"/>
  <c r="G244" i="6" a="1"/>
  <c r="G244" i="6" s="1"/>
  <c r="F244" i="6" a="1"/>
  <c r="F244" i="6" s="1"/>
  <c r="G243" i="6" a="1"/>
  <c r="G243" i="6" s="1"/>
  <c r="F243" i="6" a="1"/>
  <c r="F243" i="6" s="1"/>
  <c r="G242" i="6" a="1"/>
  <c r="G242" i="6" s="1"/>
  <c r="F242" i="6" a="1"/>
  <c r="F242" i="6" s="1"/>
  <c r="G241" i="6" a="1"/>
  <c r="G241" i="6" s="1"/>
  <c r="F241" i="6" a="1"/>
  <c r="F241" i="6" s="1"/>
  <c r="G240" i="6" a="1"/>
  <c r="G240" i="6" s="1"/>
  <c r="F240" i="6" a="1"/>
  <c r="F240" i="6" s="1"/>
  <c r="G239" i="6" a="1"/>
  <c r="G239" i="6" s="1"/>
  <c r="F239" i="6" a="1"/>
  <c r="F239" i="6" s="1"/>
  <c r="G238" i="6" a="1"/>
  <c r="G238" i="6" s="1"/>
  <c r="F238" i="6" a="1"/>
  <c r="F238" i="6" s="1"/>
  <c r="G237" i="6" a="1"/>
  <c r="G237" i="6" s="1"/>
  <c r="F237" i="6" a="1"/>
  <c r="F237" i="6" s="1"/>
  <c r="G236" i="6" a="1"/>
  <c r="G236" i="6" s="1"/>
  <c r="F236" i="6" a="1"/>
  <c r="F236" i="6" s="1"/>
  <c r="G235" i="6" a="1"/>
  <c r="G235" i="6" s="1"/>
  <c r="F235" i="6" a="1"/>
  <c r="F235" i="6" s="1"/>
  <c r="G234" i="6" a="1"/>
  <c r="G234" i="6" s="1"/>
  <c r="F234" i="6" a="1"/>
  <c r="F234" i="6" s="1"/>
  <c r="G233" i="6" a="1"/>
  <c r="G233" i="6" s="1"/>
  <c r="F233" i="6" a="1"/>
  <c r="F233" i="6" s="1"/>
  <c r="G232" i="6" a="1"/>
  <c r="G232" i="6" s="1"/>
  <c r="F232" i="6" a="1"/>
  <c r="F232" i="6" s="1"/>
  <c r="G231" i="6" a="1"/>
  <c r="G231" i="6" s="1"/>
  <c r="F231" i="6" a="1"/>
  <c r="F231" i="6" s="1"/>
  <c r="G230" i="6" a="1"/>
  <c r="G230" i="6" s="1"/>
  <c r="F230" i="6" a="1"/>
  <c r="F230" i="6" s="1"/>
  <c r="G229" i="6" a="1"/>
  <c r="G229" i="6" s="1"/>
  <c r="F229" i="6" a="1"/>
  <c r="F229" i="6" s="1"/>
  <c r="G228" i="6" a="1"/>
  <c r="G228" i="6" s="1"/>
  <c r="F228" i="6" a="1"/>
  <c r="F228" i="6" s="1"/>
  <c r="G227" i="6" a="1"/>
  <c r="G227" i="6" s="1"/>
  <c r="F227" i="6" a="1"/>
  <c r="F227" i="6" s="1"/>
  <c r="G226" i="6" a="1"/>
  <c r="G226" i="6" s="1"/>
  <c r="F226" i="6" a="1"/>
  <c r="F226" i="6" s="1"/>
  <c r="G225" i="6" a="1"/>
  <c r="G225" i="6" s="1"/>
  <c r="F225" i="6" a="1"/>
  <c r="F225" i="6" s="1"/>
  <c r="G224" i="6" a="1"/>
  <c r="G224" i="6" s="1"/>
  <c r="F224" i="6" a="1"/>
  <c r="F224" i="6" s="1"/>
  <c r="G223" i="6" a="1"/>
  <c r="G223" i="6" s="1"/>
  <c r="F223" i="6" a="1"/>
  <c r="F223" i="6" s="1"/>
  <c r="G222" i="6" a="1"/>
  <c r="G222" i="6" s="1"/>
  <c r="F222" i="6" a="1"/>
  <c r="F222" i="6" s="1"/>
  <c r="G221" i="6" a="1"/>
  <c r="G221" i="6" s="1"/>
  <c r="F221" i="6" a="1"/>
  <c r="F221" i="6" s="1"/>
  <c r="G220" i="6" a="1"/>
  <c r="G220" i="6" s="1"/>
  <c r="F220" i="6" a="1"/>
  <c r="F220" i="6" s="1"/>
  <c r="G219" i="6" a="1"/>
  <c r="G219" i="6" s="1"/>
  <c r="F219" i="6" a="1"/>
  <c r="F219" i="6" s="1"/>
  <c r="G218" i="6" a="1"/>
  <c r="G218" i="6" s="1"/>
  <c r="F218" i="6" a="1"/>
  <c r="F218" i="6" s="1"/>
  <c r="G217" i="6" a="1"/>
  <c r="G217" i="6" s="1"/>
  <c r="F217" i="6" a="1"/>
  <c r="F217" i="6" s="1"/>
  <c r="G216" i="6" a="1"/>
  <c r="G216" i="6" s="1"/>
  <c r="F216" i="6" a="1"/>
  <c r="F216" i="6" s="1"/>
  <c r="G215" i="6" a="1"/>
  <c r="G215" i="6" s="1"/>
  <c r="F215" i="6" a="1"/>
  <c r="F215" i="6" s="1"/>
  <c r="G214" i="6" a="1"/>
  <c r="G214" i="6" s="1"/>
  <c r="F214" i="6" a="1"/>
  <c r="F214" i="6" s="1"/>
  <c r="G213" i="6" a="1"/>
  <c r="G213" i="6" s="1"/>
  <c r="F213" i="6" a="1"/>
  <c r="F213" i="6" s="1"/>
  <c r="G212" i="6" a="1"/>
  <c r="G212" i="6" s="1"/>
  <c r="F212" i="6" a="1"/>
  <c r="F212" i="6" s="1"/>
  <c r="G211" i="6" a="1"/>
  <c r="G211" i="6" s="1"/>
  <c r="F211" i="6" a="1"/>
  <c r="F211" i="6" s="1"/>
  <c r="G210" i="6" a="1"/>
  <c r="G210" i="6" s="1"/>
  <c r="F210" i="6" a="1"/>
  <c r="F210" i="6" s="1"/>
  <c r="G209" i="6" a="1"/>
  <c r="G209" i="6" s="1"/>
  <c r="F209" i="6" a="1"/>
  <c r="F209" i="6" s="1"/>
  <c r="G208" i="6" a="1"/>
  <c r="G208" i="6" s="1"/>
  <c r="F208" i="6" a="1"/>
  <c r="F208" i="6" s="1"/>
  <c r="G207" i="6" a="1"/>
  <c r="G207" i="6" s="1"/>
  <c r="F207" i="6" a="1"/>
  <c r="F207" i="6" s="1"/>
  <c r="G206" i="6" a="1"/>
  <c r="G206" i="6" s="1"/>
  <c r="F206" i="6" a="1"/>
  <c r="F206" i="6" s="1"/>
  <c r="G205" i="6" a="1"/>
  <c r="G205" i="6" s="1"/>
  <c r="F205" i="6" a="1"/>
  <c r="F205" i="6" s="1"/>
  <c r="G204" i="6" a="1"/>
  <c r="G204" i="6" s="1"/>
  <c r="F204" i="6" a="1"/>
  <c r="F204" i="6" s="1"/>
  <c r="G203" i="6" a="1"/>
  <c r="G203" i="6" s="1"/>
  <c r="F203" i="6" a="1"/>
  <c r="F203" i="6" s="1"/>
  <c r="G202" i="6" a="1"/>
  <c r="G202" i="6" s="1"/>
  <c r="F202" i="6" a="1"/>
  <c r="F202" i="6" s="1"/>
  <c r="G201" i="6" a="1"/>
  <c r="G201" i="6" s="1"/>
  <c r="F201" i="6" a="1"/>
  <c r="F201" i="6" s="1"/>
  <c r="G200" i="6" a="1"/>
  <c r="G200" i="6" s="1"/>
  <c r="F200" i="6" a="1"/>
  <c r="F200" i="6" s="1"/>
  <c r="G199" i="6" a="1"/>
  <c r="G199" i="6" s="1"/>
  <c r="F199" i="6" a="1"/>
  <c r="F199" i="6" s="1"/>
  <c r="G198" i="6" a="1"/>
  <c r="G198" i="6" s="1"/>
  <c r="F198" i="6" a="1"/>
  <c r="F198" i="6" s="1"/>
  <c r="G197" i="6" a="1"/>
  <c r="G197" i="6" s="1"/>
  <c r="F197" i="6" a="1"/>
  <c r="F197" i="6" s="1"/>
  <c r="G196" i="6" a="1"/>
  <c r="G196" i="6" s="1"/>
  <c r="F196" i="6" a="1"/>
  <c r="F196" i="6" s="1"/>
  <c r="G195" i="6" a="1"/>
  <c r="G195" i="6" s="1"/>
  <c r="F195" i="6" a="1"/>
  <c r="F195" i="6" s="1"/>
  <c r="G194" i="6" a="1"/>
  <c r="G194" i="6" s="1"/>
  <c r="F194" i="6" a="1"/>
  <c r="F194" i="6" s="1"/>
  <c r="G193" i="6" a="1"/>
  <c r="G193" i="6" s="1"/>
  <c r="F193" i="6" a="1"/>
  <c r="F193" i="6" s="1"/>
  <c r="G192" i="6" a="1"/>
  <c r="G192" i="6" s="1"/>
  <c r="F192" i="6" a="1"/>
  <c r="F192" i="6" s="1"/>
  <c r="G191" i="6" a="1"/>
  <c r="G191" i="6" s="1"/>
  <c r="F191" i="6" a="1"/>
  <c r="F191" i="6" s="1"/>
  <c r="G190" i="6" a="1"/>
  <c r="G190" i="6" s="1"/>
  <c r="F190" i="6" a="1"/>
  <c r="F190" i="6" s="1"/>
  <c r="G189" i="6" a="1"/>
  <c r="G189" i="6" s="1"/>
  <c r="F189" i="6" a="1"/>
  <c r="F189" i="6" s="1"/>
  <c r="G188" i="6" a="1"/>
  <c r="G188" i="6" s="1"/>
  <c r="F188" i="6" a="1"/>
  <c r="F188" i="6" s="1"/>
  <c r="G187" i="6" a="1"/>
  <c r="G187" i="6" s="1"/>
  <c r="F187" i="6" a="1"/>
  <c r="F187" i="6" s="1"/>
  <c r="G186" i="6" a="1"/>
  <c r="G186" i="6" s="1"/>
  <c r="F186" i="6" a="1"/>
  <c r="F186" i="6" s="1"/>
  <c r="G185" i="6" a="1"/>
  <c r="G185" i="6" s="1"/>
  <c r="F185" i="6" a="1"/>
  <c r="F185" i="6" s="1"/>
  <c r="G184" i="6" a="1"/>
  <c r="G184" i="6" s="1"/>
  <c r="F184" i="6" a="1"/>
  <c r="F184" i="6" s="1"/>
  <c r="G183" i="6" a="1"/>
  <c r="G183" i="6" s="1"/>
  <c r="F183" i="6" a="1"/>
  <c r="F183" i="6" s="1"/>
  <c r="G182" i="6" a="1"/>
  <c r="G182" i="6" s="1"/>
  <c r="F182" i="6" a="1"/>
  <c r="F182" i="6" s="1"/>
  <c r="G181" i="6" a="1"/>
  <c r="G181" i="6" s="1"/>
  <c r="F181" i="6" a="1"/>
  <c r="F181" i="6" s="1"/>
  <c r="G180" i="6" a="1"/>
  <c r="G180" i="6" s="1"/>
  <c r="F180" i="6" a="1"/>
  <c r="F180" i="6" s="1"/>
  <c r="G179" i="6" a="1"/>
  <c r="G179" i="6" s="1"/>
  <c r="F179" i="6" a="1"/>
  <c r="F179" i="6" s="1"/>
  <c r="G178" i="6" a="1"/>
  <c r="G178" i="6" s="1"/>
  <c r="F178" i="6" a="1"/>
  <c r="F178" i="6" s="1"/>
  <c r="G177" i="6" a="1"/>
  <c r="G177" i="6" s="1"/>
  <c r="F177" i="6" a="1"/>
  <c r="F177" i="6" s="1"/>
  <c r="G176" i="6" a="1"/>
  <c r="G176" i="6" s="1"/>
  <c r="F176" i="6" a="1"/>
  <c r="F176" i="6" s="1"/>
  <c r="G175" i="6" a="1"/>
  <c r="G175" i="6" s="1"/>
  <c r="F175" i="6" a="1"/>
  <c r="F175" i="6" s="1"/>
  <c r="G174" i="6" a="1"/>
  <c r="G174" i="6" s="1"/>
  <c r="F174" i="6" a="1"/>
  <c r="F174" i="6" s="1"/>
  <c r="G173" i="6" a="1"/>
  <c r="G173" i="6" s="1"/>
  <c r="F173" i="6" a="1"/>
  <c r="F173" i="6" s="1"/>
  <c r="G172" i="6" a="1"/>
  <c r="G172" i="6" s="1"/>
  <c r="F172" i="6" a="1"/>
  <c r="F172" i="6" s="1"/>
  <c r="G171" i="6" a="1"/>
  <c r="G171" i="6" s="1"/>
  <c r="F171" i="6" a="1"/>
  <c r="F171" i="6" s="1"/>
  <c r="G170" i="6" a="1"/>
  <c r="G170" i="6" s="1"/>
  <c r="F170" i="6" a="1"/>
  <c r="F170" i="6" s="1"/>
  <c r="G169" i="6" a="1"/>
  <c r="G169" i="6" s="1"/>
  <c r="F169" i="6" a="1"/>
  <c r="F169" i="6" s="1"/>
  <c r="G168" i="6" a="1"/>
  <c r="G168" i="6" s="1"/>
  <c r="F168" i="6" a="1"/>
  <c r="F168" i="6" s="1"/>
  <c r="G167" i="6" a="1"/>
  <c r="G167" i="6" s="1"/>
  <c r="F167" i="6" a="1"/>
  <c r="F167" i="6" s="1"/>
  <c r="G166" i="6" a="1"/>
  <c r="G166" i="6" s="1"/>
  <c r="F166" i="6" a="1"/>
  <c r="F166" i="6" s="1"/>
  <c r="G165" i="6" a="1"/>
  <c r="G165" i="6" s="1"/>
  <c r="F165" i="6" a="1"/>
  <c r="F165" i="6" s="1"/>
  <c r="G164" i="6" a="1"/>
  <c r="G164" i="6" s="1"/>
  <c r="F164" i="6" a="1"/>
  <c r="F164" i="6" s="1"/>
  <c r="G163" i="6" a="1"/>
  <c r="G163" i="6" s="1"/>
  <c r="F163" i="6" a="1"/>
  <c r="F163" i="6" s="1"/>
  <c r="G162" i="6" a="1"/>
  <c r="G162" i="6" s="1"/>
  <c r="F162" i="6" a="1"/>
  <c r="F162" i="6" s="1"/>
  <c r="G161" i="6" a="1"/>
  <c r="G161" i="6" s="1"/>
  <c r="F161" i="6" a="1"/>
  <c r="F161" i="6" s="1"/>
  <c r="G160" i="6" a="1"/>
  <c r="G160" i="6" s="1"/>
  <c r="F160" i="6" a="1"/>
  <c r="F160" i="6" s="1"/>
  <c r="G159" i="6" a="1"/>
  <c r="G159" i="6" s="1"/>
  <c r="F159" i="6" a="1"/>
  <c r="F159" i="6" s="1"/>
  <c r="G158" i="6" a="1"/>
  <c r="G158" i="6" s="1"/>
  <c r="F158" i="6" a="1"/>
  <c r="F158" i="6" s="1"/>
  <c r="G157" i="6" a="1"/>
  <c r="G157" i="6" s="1"/>
  <c r="F157" i="6" a="1"/>
  <c r="F157" i="6" s="1"/>
  <c r="G156" i="6" a="1"/>
  <c r="G156" i="6" s="1"/>
  <c r="F156" i="6" a="1"/>
  <c r="F156" i="6" s="1"/>
  <c r="G155" i="6" a="1"/>
  <c r="G155" i="6" s="1"/>
  <c r="F155" i="6" a="1"/>
  <c r="F155" i="6" s="1"/>
  <c r="G154" i="6" a="1"/>
  <c r="G154" i="6" s="1"/>
  <c r="F154" i="6" a="1"/>
  <c r="F154" i="6" s="1"/>
  <c r="G153" i="6" a="1"/>
  <c r="G153" i="6" s="1"/>
  <c r="F153" i="6" a="1"/>
  <c r="F153" i="6" s="1"/>
  <c r="G152" i="6" a="1"/>
  <c r="G152" i="6" s="1"/>
  <c r="F152" i="6" a="1"/>
  <c r="F152" i="6" s="1"/>
  <c r="G151" i="6" a="1"/>
  <c r="G151" i="6" s="1"/>
  <c r="F151" i="6" a="1"/>
  <c r="F151" i="6" s="1"/>
  <c r="G150" i="6" a="1"/>
  <c r="G150" i="6" s="1"/>
  <c r="F150" i="6" a="1"/>
  <c r="F150" i="6" s="1"/>
  <c r="G149" i="6" a="1"/>
  <c r="G149" i="6" s="1"/>
  <c r="F149" i="6" a="1"/>
  <c r="F149" i="6" s="1"/>
  <c r="G148" i="6" a="1"/>
  <c r="G148" i="6" s="1"/>
  <c r="F148" i="6" a="1"/>
  <c r="F148" i="6" s="1"/>
  <c r="G147" i="6" a="1"/>
  <c r="G147" i="6" s="1"/>
  <c r="F147" i="6" a="1"/>
  <c r="F147" i="6" s="1"/>
  <c r="G146" i="6" a="1"/>
  <c r="G146" i="6" s="1"/>
  <c r="F146" i="6" a="1"/>
  <c r="F146" i="6" s="1"/>
  <c r="G145" i="6" a="1"/>
  <c r="G145" i="6" s="1"/>
  <c r="F145" i="6" a="1"/>
  <c r="F145" i="6" s="1"/>
  <c r="G144" i="6" a="1"/>
  <c r="G144" i="6" s="1"/>
  <c r="F144" i="6" a="1"/>
  <c r="F144" i="6" s="1"/>
  <c r="G143" i="6" a="1"/>
  <c r="G143" i="6" s="1"/>
  <c r="F143" i="6" a="1"/>
  <c r="F143" i="6" s="1"/>
  <c r="G142" i="6" a="1"/>
  <c r="G142" i="6" s="1"/>
  <c r="F142" i="6" a="1"/>
  <c r="F142" i="6" s="1"/>
  <c r="G141" i="6" a="1"/>
  <c r="G141" i="6" s="1"/>
  <c r="F141" i="6" a="1"/>
  <c r="F141" i="6" s="1"/>
  <c r="G140" i="6" a="1"/>
  <c r="G140" i="6" s="1"/>
  <c r="F140" i="6" a="1"/>
  <c r="F140" i="6" s="1"/>
  <c r="G139" i="6" a="1"/>
  <c r="G139" i="6" s="1"/>
  <c r="F139" i="6" a="1"/>
  <c r="F139" i="6" s="1"/>
  <c r="G138" i="6" a="1"/>
  <c r="G138" i="6" s="1"/>
  <c r="F138" i="6" a="1"/>
  <c r="F138" i="6" s="1"/>
  <c r="G137" i="6" a="1"/>
  <c r="G137" i="6" s="1"/>
  <c r="F137" i="6" a="1"/>
  <c r="F137" i="6" s="1"/>
  <c r="G136" i="6" a="1"/>
  <c r="G136" i="6" s="1"/>
  <c r="F136" i="6" a="1"/>
  <c r="F136" i="6" s="1"/>
  <c r="G135" i="6" a="1"/>
  <c r="G135" i="6" s="1"/>
  <c r="F135" i="6" a="1"/>
  <c r="F135" i="6" s="1"/>
  <c r="G134" i="6" a="1"/>
  <c r="G134" i="6" s="1"/>
  <c r="F134" i="6" a="1"/>
  <c r="F134" i="6" s="1"/>
  <c r="G133" i="6" a="1"/>
  <c r="G133" i="6" s="1"/>
  <c r="F133" i="6" a="1"/>
  <c r="F133" i="6" s="1"/>
  <c r="G132" i="6" a="1"/>
  <c r="G132" i="6" s="1"/>
  <c r="F132" i="6" a="1"/>
  <c r="F132" i="6" s="1"/>
  <c r="G131" i="6" a="1"/>
  <c r="G131" i="6" s="1"/>
  <c r="F131" i="6" a="1"/>
  <c r="F131" i="6" s="1"/>
  <c r="G130" i="6" a="1"/>
  <c r="G130" i="6" s="1"/>
  <c r="F130" i="6" a="1"/>
  <c r="F130" i="6" s="1"/>
  <c r="G129" i="6" a="1"/>
  <c r="G129" i="6" s="1"/>
  <c r="F129" i="6" a="1"/>
  <c r="F129" i="6" s="1"/>
  <c r="G128" i="6" a="1"/>
  <c r="G128" i="6" s="1"/>
  <c r="F128" i="6" a="1"/>
  <c r="F128" i="6" s="1"/>
  <c r="G127" i="6" a="1"/>
  <c r="G127" i="6" s="1"/>
  <c r="F127" i="6" a="1"/>
  <c r="F127" i="6" s="1"/>
  <c r="G126" i="6" a="1"/>
  <c r="G126" i="6" s="1"/>
  <c r="F126" i="6" a="1"/>
  <c r="F126" i="6" s="1"/>
  <c r="G125" i="6" a="1"/>
  <c r="G125" i="6" s="1"/>
  <c r="F125" i="6" a="1"/>
  <c r="F125" i="6" s="1"/>
  <c r="G124" i="6" a="1"/>
  <c r="G124" i="6" s="1"/>
  <c r="F124" i="6" a="1"/>
  <c r="F124" i="6" s="1"/>
  <c r="G123" i="6" a="1"/>
  <c r="G123" i="6" s="1"/>
  <c r="F123" i="6" a="1"/>
  <c r="F123" i="6" s="1"/>
  <c r="G122" i="6" a="1"/>
  <c r="G122" i="6" s="1"/>
  <c r="F122" i="6" a="1"/>
  <c r="F122" i="6" s="1"/>
  <c r="G121" i="6" a="1"/>
  <c r="G121" i="6" s="1"/>
  <c r="F121" i="6" a="1"/>
  <c r="F121" i="6" s="1"/>
  <c r="G120" i="6" a="1"/>
  <c r="G120" i="6" s="1"/>
  <c r="F120" i="6" a="1"/>
  <c r="F120" i="6" s="1"/>
  <c r="G119" i="6" a="1"/>
  <c r="G119" i="6" s="1"/>
  <c r="F119" i="6" a="1"/>
  <c r="F119" i="6" s="1"/>
  <c r="G118" i="6" a="1"/>
  <c r="G118" i="6" s="1"/>
  <c r="F118" i="6" a="1"/>
  <c r="F118" i="6" s="1"/>
  <c r="G117" i="6" a="1"/>
  <c r="G117" i="6" s="1"/>
  <c r="F117" i="6" a="1"/>
  <c r="F117" i="6" s="1"/>
  <c r="G116" i="6" a="1"/>
  <c r="G116" i="6" s="1"/>
  <c r="F116" i="6" a="1"/>
  <c r="F116" i="6" s="1"/>
  <c r="G115" i="6" a="1"/>
  <c r="G115" i="6" s="1"/>
  <c r="F115" i="6" a="1"/>
  <c r="F115" i="6" s="1"/>
  <c r="G114" i="6" a="1"/>
  <c r="G114" i="6" s="1"/>
  <c r="F114" i="6" a="1"/>
  <c r="F114" i="6" s="1"/>
  <c r="G113" i="6" a="1"/>
  <c r="G113" i="6" s="1"/>
  <c r="F113" i="6" a="1"/>
  <c r="F113" i="6" s="1"/>
  <c r="G112" i="6" a="1"/>
  <c r="G112" i="6" s="1"/>
  <c r="F112" i="6" a="1"/>
  <c r="F112" i="6" s="1"/>
  <c r="G111" i="6" a="1"/>
  <c r="G111" i="6" s="1"/>
  <c r="F111" i="6" a="1"/>
  <c r="F111" i="6" s="1"/>
  <c r="G110" i="6" a="1"/>
  <c r="G110" i="6" s="1"/>
  <c r="F110" i="6" a="1"/>
  <c r="F110" i="6" s="1"/>
  <c r="G108" i="6" a="1"/>
  <c r="G108" i="6" s="1"/>
  <c r="F108" i="6" a="1"/>
  <c r="F108" i="6" s="1"/>
  <c r="G107" i="6" a="1"/>
  <c r="G107" i="6" s="1"/>
  <c r="F107" i="6" a="1"/>
  <c r="F107" i="6" s="1"/>
  <c r="G106" i="6" a="1"/>
  <c r="G106" i="6" s="1"/>
  <c r="F106" i="6" a="1"/>
  <c r="F106" i="6" s="1"/>
  <c r="G105" i="6" a="1"/>
  <c r="G105" i="6" s="1"/>
  <c r="F105" i="6" a="1"/>
  <c r="F105" i="6" s="1"/>
  <c r="G104" i="6" a="1"/>
  <c r="G104" i="6" s="1"/>
  <c r="F104" i="6" a="1"/>
  <c r="F104" i="6" s="1"/>
  <c r="G103" i="6" a="1"/>
  <c r="G103" i="6" s="1"/>
  <c r="F103" i="6" a="1"/>
  <c r="F103" i="6" s="1"/>
  <c r="G102" i="6" a="1"/>
  <c r="G102" i="6" s="1"/>
  <c r="F102" i="6" a="1"/>
  <c r="F102" i="6" s="1"/>
  <c r="G101" i="6" a="1"/>
  <c r="G101" i="6" s="1"/>
  <c r="F101" i="6" a="1"/>
  <c r="F101" i="6" s="1"/>
  <c r="G100" i="6" a="1"/>
  <c r="G100" i="6" s="1"/>
  <c r="F100" i="6" a="1"/>
  <c r="F100" i="6" s="1"/>
  <c r="G99" i="6" a="1"/>
  <c r="G99" i="6" s="1"/>
  <c r="F99" i="6" a="1"/>
  <c r="F99" i="6" s="1"/>
  <c r="G98" i="6" a="1"/>
  <c r="G98" i="6" s="1"/>
  <c r="F98" i="6" a="1"/>
  <c r="F98" i="6" s="1"/>
  <c r="G97" i="6" a="1"/>
  <c r="G97" i="6" s="1"/>
  <c r="F97" i="6" a="1"/>
  <c r="F97" i="6" s="1"/>
  <c r="G96" i="6" a="1"/>
  <c r="G96" i="6" s="1"/>
  <c r="F96" i="6" a="1"/>
  <c r="F96" i="6" s="1"/>
  <c r="G95" i="6" a="1"/>
  <c r="G95" i="6" s="1"/>
  <c r="F95" i="6" a="1"/>
  <c r="F95" i="6" s="1"/>
  <c r="G94" i="6" a="1"/>
  <c r="G94" i="6" s="1"/>
  <c r="F94" i="6" a="1"/>
  <c r="F94" i="6" s="1"/>
  <c r="G93" i="6" a="1"/>
  <c r="G93" i="6" s="1"/>
  <c r="F93" i="6" a="1"/>
  <c r="F93" i="6" s="1"/>
  <c r="G92" i="6" a="1"/>
  <c r="G92" i="6" s="1"/>
  <c r="F92" i="6" a="1"/>
  <c r="F92" i="6" s="1"/>
  <c r="G91" i="6" a="1"/>
  <c r="G91" i="6" s="1"/>
  <c r="F91" i="6" a="1"/>
  <c r="F91" i="6" s="1"/>
  <c r="G90" i="6" a="1"/>
  <c r="G90" i="6" s="1"/>
  <c r="F90" i="6" a="1"/>
  <c r="F90" i="6" s="1"/>
  <c r="G89" i="6" a="1"/>
  <c r="G89" i="6" s="1"/>
  <c r="F89" i="6" a="1"/>
  <c r="F89" i="6" s="1"/>
  <c r="G88" i="6" a="1"/>
  <c r="G88" i="6" s="1"/>
  <c r="F88" i="6" a="1"/>
  <c r="F88" i="6" s="1"/>
  <c r="G87" i="6" a="1"/>
  <c r="G87" i="6" s="1"/>
  <c r="F87" i="6" a="1"/>
  <c r="F87" i="6" s="1"/>
  <c r="G86" i="6" a="1"/>
  <c r="G86" i="6" s="1"/>
  <c r="F86" i="6" a="1"/>
  <c r="F86" i="6" s="1"/>
  <c r="G85" i="6" a="1"/>
  <c r="G85" i="6" s="1"/>
  <c r="F85" i="6" a="1"/>
  <c r="F85" i="6" s="1"/>
  <c r="G84" i="6" a="1"/>
  <c r="G84" i="6" s="1"/>
  <c r="F84" i="6" a="1"/>
  <c r="F84" i="6" s="1"/>
  <c r="G83" i="6" a="1"/>
  <c r="G83" i="6" s="1"/>
  <c r="F83" i="6" a="1"/>
  <c r="F83" i="6" s="1"/>
  <c r="G82" i="6" a="1"/>
  <c r="G82" i="6" s="1"/>
  <c r="F82" i="6" a="1"/>
  <c r="F82" i="6" s="1"/>
  <c r="G81" i="6" a="1"/>
  <c r="G81" i="6" s="1"/>
  <c r="F81" i="6" a="1"/>
  <c r="F81" i="6" s="1"/>
  <c r="G80" i="6" a="1"/>
  <c r="G80" i="6" s="1"/>
  <c r="F80" i="6" a="1"/>
  <c r="F80" i="6" s="1"/>
  <c r="G79" i="6" a="1"/>
  <c r="G79" i="6" s="1"/>
  <c r="F79" i="6" a="1"/>
  <c r="F79" i="6" s="1"/>
  <c r="G78" i="6" a="1"/>
  <c r="G78" i="6" s="1"/>
  <c r="F78" i="6" a="1"/>
  <c r="F78" i="6" s="1"/>
  <c r="G77" i="6" a="1"/>
  <c r="G77" i="6" s="1"/>
  <c r="F77" i="6" a="1"/>
  <c r="F77" i="6" s="1"/>
  <c r="G76" i="6" a="1"/>
  <c r="G76" i="6" s="1"/>
  <c r="F76" i="6" a="1"/>
  <c r="F76" i="6" s="1"/>
  <c r="G75" i="6" a="1"/>
  <c r="G75" i="6" s="1"/>
  <c r="F75" i="6" a="1"/>
  <c r="F75" i="6" s="1"/>
  <c r="G74" i="6" a="1"/>
  <c r="G74" i="6" s="1"/>
  <c r="F74" i="6" a="1"/>
  <c r="F74" i="6" s="1"/>
  <c r="G73" i="6" a="1"/>
  <c r="G73" i="6" s="1"/>
  <c r="F73" i="6" a="1"/>
  <c r="F73" i="6" s="1"/>
  <c r="G72" i="6" a="1"/>
  <c r="G72" i="6" s="1"/>
  <c r="F72" i="6" a="1"/>
  <c r="F72" i="6" s="1"/>
  <c r="G71" i="6" a="1"/>
  <c r="G71" i="6" s="1"/>
  <c r="F71" i="6" a="1"/>
  <c r="F71" i="6" s="1"/>
  <c r="G70" i="6" a="1"/>
  <c r="G70" i="6" s="1"/>
  <c r="F70" i="6" a="1"/>
  <c r="F70" i="6" s="1"/>
  <c r="G69" i="6" a="1"/>
  <c r="G69" i="6" s="1"/>
  <c r="F69" i="6" a="1"/>
  <c r="F69" i="6" s="1"/>
  <c r="G68" i="6" a="1"/>
  <c r="G68" i="6" s="1"/>
  <c r="F68" i="6" a="1"/>
  <c r="F68" i="6" s="1"/>
  <c r="G67" i="6" a="1"/>
  <c r="G67" i="6" s="1"/>
  <c r="F67" i="6" a="1"/>
  <c r="F67" i="6" s="1"/>
  <c r="G66" i="6" a="1"/>
  <c r="G66" i="6" s="1"/>
  <c r="F66" i="6" a="1"/>
  <c r="F66" i="6" s="1"/>
  <c r="G65" i="6" a="1"/>
  <c r="G65" i="6" s="1"/>
  <c r="F65" i="6" a="1"/>
  <c r="F65" i="6" s="1"/>
  <c r="G64" i="6" a="1"/>
  <c r="G64" i="6" s="1"/>
  <c r="F64" i="6" a="1"/>
  <c r="F64" i="6" s="1"/>
  <c r="G63" i="6" a="1"/>
  <c r="G63" i="6" s="1"/>
  <c r="F63" i="6" a="1"/>
  <c r="F63" i="6" s="1"/>
  <c r="G62" i="6" a="1"/>
  <c r="G62" i="6" s="1"/>
  <c r="F62" i="6" a="1"/>
  <c r="F62" i="6" s="1"/>
  <c r="G61" i="6" a="1"/>
  <c r="G61" i="6" s="1"/>
  <c r="F61" i="6" a="1"/>
  <c r="F61" i="6" s="1"/>
  <c r="G60" i="6" a="1"/>
  <c r="G60" i="6" s="1"/>
  <c r="F60" i="6" a="1"/>
  <c r="F60" i="6" s="1"/>
  <c r="G59" i="6" a="1"/>
  <c r="G59" i="6" s="1"/>
  <c r="F59" i="6" a="1"/>
  <c r="F59" i="6" s="1"/>
  <c r="G58" i="6" a="1"/>
  <c r="G58" i="6" s="1"/>
  <c r="F58" i="6" a="1"/>
  <c r="F58" i="6" s="1"/>
  <c r="G57" i="6" a="1"/>
  <c r="G57" i="6" s="1"/>
  <c r="F57" i="6" a="1"/>
  <c r="F57" i="6" s="1"/>
  <c r="G56" i="6" a="1"/>
  <c r="G56" i="6" s="1"/>
  <c r="F56" i="6" a="1"/>
  <c r="F56" i="6" s="1"/>
  <c r="G55" i="6" a="1"/>
  <c r="G55" i="6" s="1"/>
  <c r="F55" i="6" a="1"/>
  <c r="F55" i="6" s="1"/>
  <c r="G54" i="6" a="1"/>
  <c r="G54" i="6" s="1"/>
  <c r="F54" i="6" a="1"/>
  <c r="F54" i="6" s="1"/>
  <c r="G53" i="6" a="1"/>
  <c r="G53" i="6" s="1"/>
  <c r="F53" i="6" a="1"/>
  <c r="F53" i="6" s="1"/>
  <c r="G52" i="6" a="1"/>
  <c r="G52" i="6" s="1"/>
  <c r="F52" i="6" a="1"/>
  <c r="F52" i="6" s="1"/>
  <c r="G51" i="6" a="1"/>
  <c r="G51" i="6" s="1"/>
  <c r="F51" i="6" a="1"/>
  <c r="F51" i="6" s="1"/>
  <c r="G50" i="6" a="1"/>
  <c r="G50" i="6" s="1"/>
  <c r="F50" i="6" a="1"/>
  <c r="F50" i="6" s="1"/>
  <c r="G37" i="6" a="1"/>
  <c r="G37" i="6" s="1"/>
  <c r="F37" i="6" a="1"/>
  <c r="F37" i="6" s="1"/>
  <c r="G36" i="6" a="1"/>
  <c r="G36" i="6" s="1"/>
  <c r="F36" i="6" a="1"/>
  <c r="F36" i="6" s="1"/>
  <c r="G35" i="6" a="1"/>
  <c r="G35" i="6" s="1"/>
  <c r="F35" i="6" a="1"/>
  <c r="F35" i="6" s="1"/>
  <c r="G34" i="6" a="1"/>
  <c r="G34" i="6" s="1"/>
  <c r="F34" i="6" a="1"/>
  <c r="F34" i="6" s="1"/>
  <c r="G33" i="6" a="1"/>
  <c r="G33" i="6" s="1"/>
  <c r="F33" i="6" a="1"/>
  <c r="F33" i="6" s="1"/>
  <c r="G32" i="6" a="1"/>
  <c r="G32" i="6" s="1"/>
  <c r="F32" i="6" a="1"/>
  <c r="F32" i="6" s="1"/>
  <c r="G31" i="6" a="1"/>
  <c r="G31" i="6" s="1"/>
  <c r="F31" i="6" a="1"/>
  <c r="F31" i="6" s="1"/>
  <c r="G30" i="6" a="1"/>
  <c r="G30" i="6" s="1"/>
  <c r="F30" i="6" a="1"/>
  <c r="F30" i="6" s="1"/>
  <c r="G29" i="6" a="1"/>
  <c r="G29" i="6" s="1"/>
  <c r="F29" i="6" a="1"/>
  <c r="F29" i="6" s="1"/>
  <c r="G28" i="6" a="1"/>
  <c r="G28" i="6" s="1"/>
  <c r="F28" i="6" a="1"/>
  <c r="F28" i="6" s="1"/>
  <c r="G27" i="6" a="1"/>
  <c r="G27" i="6" s="1"/>
  <c r="F27" i="6" a="1"/>
  <c r="F27" i="6" s="1"/>
  <c r="G26" i="6" a="1"/>
  <c r="G26" i="6" s="1"/>
  <c r="F26" i="6" a="1"/>
  <c r="F26" i="6" s="1"/>
  <c r="G25" i="6" a="1"/>
  <c r="G25" i="6" s="1"/>
  <c r="F25" i="6" a="1"/>
  <c r="F25" i="6" s="1"/>
  <c r="G24" i="6" a="1"/>
  <c r="G24" i="6" s="1"/>
  <c r="F24" i="6" a="1"/>
  <c r="F24" i="6" s="1"/>
  <c r="G23" i="6" a="1"/>
  <c r="G23" i="6" s="1"/>
  <c r="F23" i="6" a="1"/>
  <c r="F23" i="6" s="1"/>
  <c r="G22" i="6" a="1"/>
  <c r="G22" i="6" s="1"/>
  <c r="F22" i="6" a="1"/>
  <c r="F22" i="6" s="1"/>
  <c r="G21" i="6" a="1"/>
  <c r="G21" i="6" s="1"/>
  <c r="F21" i="6" a="1"/>
  <c r="F21" i="6" s="1"/>
  <c r="G20" i="6" a="1"/>
  <c r="G20" i="6" s="1"/>
  <c r="F20" i="6" a="1"/>
  <c r="F20" i="6" s="1"/>
  <c r="G19" i="6" a="1"/>
  <c r="G19" i="6" s="1"/>
  <c r="F19" i="6" a="1"/>
  <c r="F19" i="6" s="1"/>
  <c r="G18" i="6" a="1"/>
  <c r="G18" i="6" s="1"/>
  <c r="F18" i="6" a="1"/>
  <c r="F18" i="6" s="1"/>
  <c r="G17" i="6" a="1"/>
  <c r="G17" i="6" s="1"/>
  <c r="F17" i="6" a="1"/>
  <c r="F17" i="6" s="1"/>
  <c r="G16" i="6" a="1"/>
  <c r="G16" i="6" s="1"/>
  <c r="F16" i="6" a="1"/>
  <c r="F16" i="6" s="1"/>
  <c r="G15" i="6" a="1"/>
  <c r="G15" i="6" s="1"/>
  <c r="F15" i="6" a="1"/>
  <c r="F15" i="6" s="1"/>
  <c r="G14" i="6" a="1"/>
  <c r="G14" i="6" s="1"/>
  <c r="F14" i="6" a="1"/>
  <c r="F14" i="6" s="1"/>
  <c r="G13" i="6" a="1"/>
  <c r="G13" i="6" s="1"/>
  <c r="F13" i="6" a="1"/>
  <c r="F13" i="6" s="1"/>
  <c r="G12" i="6" a="1"/>
  <c r="G12" i="6" s="1"/>
  <c r="F12" i="6" a="1"/>
  <c r="F12" i="6" s="1"/>
  <c r="G11" i="6" a="1"/>
  <c r="G11" i="6" s="1"/>
  <c r="F11" i="6" a="1"/>
  <c r="F11" i="6" s="1"/>
  <c r="G10" i="6" a="1"/>
  <c r="G10" i="6" s="1"/>
  <c r="F10" i="6" a="1"/>
  <c r="F10" i="6" s="1"/>
  <c r="G9" i="6" a="1"/>
  <c r="G9" i="6" s="1"/>
  <c r="F9" i="6" a="1"/>
  <c r="F9" i="6" s="1"/>
  <c r="G8" i="6" a="1"/>
  <c r="G8" i="6" s="1"/>
  <c r="F8" i="6" a="1"/>
  <c r="F8" i="6" s="1"/>
  <c r="G7" i="6" a="1"/>
  <c r="G7" i="6" s="1"/>
  <c r="F7" i="6" a="1"/>
  <c r="F7" i="6" s="1"/>
  <c r="G6" i="6" a="1"/>
  <c r="G6" i="6" s="1"/>
  <c r="F6" i="6" a="1"/>
  <c r="F6" i="6" s="1"/>
  <c r="G5" i="6" a="1"/>
  <c r="G5" i="6" s="1"/>
  <c r="F5" i="6" a="1"/>
  <c r="F5" i="6" s="1"/>
  <c r="G4" i="6" a="1"/>
  <c r="G4" i="6" s="1"/>
  <c r="F4" i="6" a="1"/>
  <c r="F4" i="6" s="1"/>
  <c r="G3" i="6" a="1"/>
  <c r="G3" i="6" s="1"/>
  <c r="F3" i="6" a="1"/>
  <c r="F3" i="6" s="1"/>
  <c r="G2" i="6" a="1"/>
  <c r="G2" i="6" s="1"/>
  <c r="F2" i="6" a="1"/>
  <c r="F2" i="6" s="1"/>
  <c r="D104" i="6"/>
  <c r="D103" i="6"/>
  <c r="D102" i="6"/>
  <c r="D101" i="6"/>
  <c r="D100" i="6"/>
  <c r="D99" i="6"/>
  <c r="D98" i="6"/>
  <c r="D97" i="6"/>
  <c r="L373" i="6" l="1" a="1"/>
  <c r="L373" i="6" s="1"/>
  <c r="L375" i="6" a="1"/>
  <c r="L375" i="6" s="1"/>
  <c r="L381" i="6" a="1"/>
  <c r="L381" i="6" s="1"/>
  <c r="L383" i="6" a="1"/>
  <c r="L383" i="6" s="1"/>
  <c r="L377" i="6" a="1"/>
  <c r="L377" i="6" s="1"/>
  <c r="L379" i="6" a="1"/>
  <c r="L379" i="6" s="1"/>
  <c r="L110" i="6" a="1"/>
  <c r="L110" i="6" s="1"/>
  <c r="L114" i="6" a="1"/>
  <c r="L114" i="6" s="1"/>
  <c r="L119" i="6" a="1"/>
  <c r="L119" i="6" s="1"/>
  <c r="L120" i="6" a="1"/>
  <c r="L120" i="6" s="1"/>
  <c r="L111" i="6" a="1"/>
  <c r="L111" i="6" s="1"/>
  <c r="L112" i="6" a="1"/>
  <c r="L112" i="6" s="1"/>
  <c r="L113" i="6" a="1"/>
  <c r="L113" i="6" s="1"/>
  <c r="N351" i="6"/>
  <c r="N356" i="6"/>
  <c r="N353" i="6"/>
  <c r="N354" i="6"/>
  <c r="N350" i="6"/>
  <c r="N355" i="6"/>
  <c r="N349" i="6"/>
  <c r="N352" i="6"/>
  <c r="J375" i="6"/>
  <c r="K375" i="6" s="1"/>
  <c r="J379" i="6"/>
  <c r="J376" i="6"/>
  <c r="K376" i="6" s="1"/>
  <c r="J383" i="6"/>
  <c r="J382" i="6"/>
  <c r="K382" i="6" s="1"/>
  <c r="J380" i="6"/>
  <c r="M380" i="6" s="1"/>
  <c r="J374" i="6"/>
  <c r="K374" i="6" s="1"/>
  <c r="J381" i="6"/>
  <c r="J384" i="6"/>
  <c r="M384" i="6" s="1"/>
  <c r="J378" i="6"/>
  <c r="J377" i="6"/>
  <c r="J373" i="6"/>
  <c r="K373" i="6" s="1"/>
  <c r="J371" i="6"/>
  <c r="M371" i="6" s="1"/>
  <c r="J372" i="6"/>
  <c r="M372" i="6" s="1"/>
  <c r="J370" i="6"/>
  <c r="M370" i="6" s="1"/>
  <c r="J369" i="6"/>
  <c r="M369" i="6" s="1"/>
  <c r="J368" i="6"/>
  <c r="M368" i="6" s="1"/>
  <c r="J367" i="6"/>
  <c r="M367" i="6" s="1"/>
  <c r="J366" i="6"/>
  <c r="K366" i="6" s="1"/>
  <c r="J365" i="6"/>
  <c r="M365" i="6" s="1"/>
  <c r="J364" i="6"/>
  <c r="J363" i="6"/>
  <c r="J362" i="6"/>
  <c r="J361" i="6"/>
  <c r="K361" i="6" s="1"/>
  <c r="J360" i="6"/>
  <c r="K360" i="6" s="1"/>
  <c r="J358" i="6"/>
  <c r="M358" i="6" s="1"/>
  <c r="J359" i="6"/>
  <c r="M359" i="6" s="1"/>
  <c r="J357" i="6"/>
  <c r="J356" i="6"/>
  <c r="J354" i="6"/>
  <c r="J353" i="6"/>
  <c r="J352" i="6"/>
  <c r="J355" i="6"/>
  <c r="J351" i="6"/>
  <c r="J350" i="6"/>
  <c r="J349" i="6"/>
  <c r="M381" i="6" l="1"/>
  <c r="M383" i="6"/>
  <c r="M379" i="6"/>
  <c r="M376" i="6"/>
  <c r="K379" i="6"/>
  <c r="M375" i="6"/>
  <c r="K383" i="6"/>
  <c r="K384" i="6"/>
  <c r="M374" i="6"/>
  <c r="M382" i="6"/>
  <c r="M373" i="6"/>
  <c r="K380" i="6"/>
  <c r="K381" i="6"/>
  <c r="M377" i="6"/>
  <c r="K377" i="6"/>
  <c r="K368" i="6"/>
  <c r="K370" i="6"/>
  <c r="K367" i="6"/>
  <c r="M378" i="6"/>
  <c r="K378" i="6"/>
  <c r="K369" i="6"/>
  <c r="K371" i="6"/>
  <c r="M366" i="6"/>
  <c r="K372" i="6"/>
  <c r="M361" i="6"/>
  <c r="K365" i="6"/>
  <c r="M362" i="6"/>
  <c r="K362" i="6"/>
  <c r="M363" i="6"/>
  <c r="K363" i="6"/>
  <c r="M364" i="6"/>
  <c r="K364" i="6"/>
  <c r="K359" i="6"/>
  <c r="M360" i="6"/>
  <c r="K358" i="6"/>
  <c r="M350" i="6"/>
  <c r="K350" i="6"/>
  <c r="M353" i="6"/>
  <c r="K353" i="6"/>
  <c r="M354" i="6"/>
  <c r="K354" i="6"/>
  <c r="M356" i="6"/>
  <c r="K356" i="6"/>
  <c r="K357" i="6"/>
  <c r="M357" i="6"/>
  <c r="M355" i="6"/>
  <c r="K355" i="6"/>
  <c r="M351" i="6"/>
  <c r="K351" i="6"/>
  <c r="M352" i="6"/>
  <c r="K352" i="6"/>
  <c r="K349" i="6"/>
  <c r="M349" i="6"/>
  <c r="D224" i="6"/>
  <c r="D223" i="6"/>
  <c r="D222" i="6"/>
  <c r="D221" i="6"/>
  <c r="D220" i="6"/>
  <c r="D219" i="6"/>
  <c r="D218" i="6"/>
  <c r="D217" i="6"/>
  <c r="G194" i="7" l="1"/>
  <c r="G195" i="7"/>
  <c r="G196" i="7"/>
  <c r="G197" i="7"/>
  <c r="G198" i="7"/>
  <c r="G199" i="7"/>
  <c r="G200" i="7"/>
  <c r="G201" i="7"/>
  <c r="G202" i="7"/>
  <c r="G203" i="7"/>
  <c r="G204" i="7"/>
  <c r="G205" i="7"/>
  <c r="H2" i="12"/>
  <c r="H3" i="12"/>
  <c r="H6" i="12"/>
  <c r="H8" i="12"/>
  <c r="H9" i="12"/>
  <c r="H10" i="12"/>
  <c r="H13" i="12"/>
  <c r="H21" i="12"/>
  <c r="H26" i="12"/>
  <c r="H28" i="12"/>
  <c r="H29" i="12"/>
  <c r="H30" i="12"/>
  <c r="H32" i="12"/>
  <c r="H7" i="12"/>
  <c r="H22" i="12"/>
  <c r="H25" i="12"/>
  <c r="H4" i="12"/>
  <c r="H27" i="12"/>
  <c r="H23" i="12"/>
  <c r="H31" i="12"/>
  <c r="H14" i="12"/>
  <c r="H15" i="12"/>
  <c r="H17" i="12"/>
  <c r="H16" i="12"/>
  <c r="H18" i="12"/>
  <c r="H19" i="12"/>
  <c r="H20" i="12"/>
  <c r="H24" i="12"/>
  <c r="Q15" i="4" a="1"/>
  <c r="Q15" i="4" s="1"/>
  <c r="G183" i="7"/>
  <c r="G184" i="7"/>
  <c r="G185" i="7"/>
  <c r="G186" i="7"/>
  <c r="G187" i="7"/>
  <c r="G188" i="7"/>
  <c r="G189" i="7"/>
  <c r="G190" i="7"/>
  <c r="G191" i="7"/>
  <c r="G192" i="7"/>
  <c r="G193" i="7"/>
  <c r="G182" i="7"/>
  <c r="E272" i="6"/>
  <c r="N272" i="6" s="1"/>
  <c r="E271" i="6"/>
  <c r="N271" i="6" s="1"/>
  <c r="E270" i="6"/>
  <c r="N270" i="6" s="1"/>
  <c r="E269" i="6"/>
  <c r="N269" i="6" s="1"/>
  <c r="E268" i="6"/>
  <c r="N268" i="6" s="1"/>
  <c r="E267" i="6"/>
  <c r="N267" i="6" s="1"/>
  <c r="E266" i="6"/>
  <c r="N266" i="6" s="1"/>
  <c r="E265" i="6"/>
  <c r="N265" i="6" s="1"/>
  <c r="N313" i="6"/>
  <c r="N314" i="6"/>
  <c r="N315" i="6"/>
  <c r="N316" i="6"/>
  <c r="N317" i="6"/>
  <c r="N318" i="6"/>
  <c r="N319" i="6"/>
  <c r="N320" i="6"/>
  <c r="N321" i="6"/>
  <c r="N322" i="6"/>
  <c r="N323" i="6"/>
  <c r="N324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273" i="6"/>
  <c r="N274" i="6"/>
  <c r="N275" i="6"/>
  <c r="N276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06" i="6"/>
  <c r="N207" i="6"/>
  <c r="N208" i="6"/>
  <c r="N209" i="6"/>
  <c r="N210" i="6"/>
  <c r="N211" i="6"/>
  <c r="N212" i="6"/>
  <c r="N213" i="6"/>
  <c r="N214" i="6"/>
  <c r="N215" i="6"/>
  <c r="N216" i="6"/>
  <c r="N205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46" i="6"/>
  <c r="N147" i="6"/>
  <c r="N148" i="6"/>
  <c r="N149" i="6"/>
  <c r="N150" i="6"/>
  <c r="N151" i="6"/>
  <c r="N152" i="6"/>
  <c r="N153" i="6"/>
  <c r="N154" i="6"/>
  <c r="N155" i="6"/>
  <c r="N156" i="6"/>
  <c r="N145" i="6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N97" i="6"/>
  <c r="N98" i="6"/>
  <c r="N99" i="6"/>
  <c r="N100" i="6"/>
  <c r="N101" i="6"/>
  <c r="N102" i="6"/>
  <c r="N103" i="6"/>
  <c r="N104" i="6"/>
  <c r="N105" i="6"/>
  <c r="N106" i="6"/>
  <c r="N107" i="6"/>
  <c r="N108" i="6"/>
  <c r="C24" i="11"/>
  <c r="C65" i="3"/>
  <c r="I65" i="3" s="1"/>
  <c r="C46" i="3"/>
  <c r="I46" i="3" s="1"/>
  <c r="C45" i="3"/>
  <c r="I45" i="3" s="1"/>
  <c r="C44" i="3"/>
  <c r="I44" i="3" s="1"/>
  <c r="C43" i="3"/>
  <c r="I43" i="3" s="1"/>
  <c r="C42" i="3"/>
  <c r="I42" i="3" s="1"/>
  <c r="C41" i="3"/>
  <c r="I41" i="3" s="1"/>
  <c r="C40" i="3"/>
  <c r="I40" i="3" s="1"/>
  <c r="C39" i="3"/>
  <c r="I39" i="3" s="1"/>
  <c r="C38" i="3"/>
  <c r="I38" i="3" s="1"/>
  <c r="C32" i="3"/>
  <c r="I32" i="3" s="1"/>
  <c r="C31" i="3"/>
  <c r="I31" i="3" s="1"/>
  <c r="C30" i="3"/>
  <c r="I30" i="3" s="1"/>
  <c r="C18" i="3"/>
  <c r="I18" i="3" s="1"/>
  <c r="C64" i="3"/>
  <c r="I64" i="3" s="1"/>
  <c r="C19" i="3"/>
  <c r="I19" i="3" s="1"/>
  <c r="C37" i="3"/>
  <c r="I37" i="3" s="1"/>
  <c r="C36" i="3"/>
  <c r="I36" i="3" s="1"/>
  <c r="C35" i="3"/>
  <c r="I35" i="3" s="1"/>
  <c r="C34" i="3"/>
  <c r="I34" i="3" s="1"/>
  <c r="C33" i="3"/>
  <c r="I33" i="3" s="1"/>
  <c r="C63" i="3"/>
  <c r="I63" i="3" s="1"/>
  <c r="C29" i="3"/>
  <c r="I29" i="3" s="1"/>
  <c r="C62" i="3"/>
  <c r="I62" i="3" s="1"/>
  <c r="C28" i="3"/>
  <c r="I28" i="3" s="1"/>
  <c r="C61" i="3"/>
  <c r="I61" i="3" s="1"/>
  <c r="C27" i="3"/>
  <c r="I27" i="3" s="1"/>
  <c r="C60" i="3"/>
  <c r="I60" i="3" s="1"/>
  <c r="C59" i="3"/>
  <c r="I59" i="3" s="1"/>
  <c r="C26" i="3"/>
  <c r="I26" i="3" s="1"/>
  <c r="C54" i="3"/>
  <c r="I54" i="3" s="1"/>
  <c r="C53" i="3"/>
  <c r="I53" i="3" s="1"/>
  <c r="C52" i="3"/>
  <c r="I52" i="3" s="1"/>
  <c r="C51" i="3"/>
  <c r="I51" i="3" s="1"/>
  <c r="C50" i="3"/>
  <c r="I50" i="3" s="1"/>
  <c r="C49" i="3"/>
  <c r="I49" i="3" s="1"/>
  <c r="C24" i="3"/>
  <c r="I24" i="3" s="1"/>
  <c r="C48" i="3"/>
  <c r="I48" i="3" s="1"/>
  <c r="C47" i="3"/>
  <c r="I47" i="3" s="1"/>
  <c r="C25" i="3"/>
  <c r="I25" i="3" s="1"/>
  <c r="C16" i="3"/>
  <c r="I16" i="3" s="1"/>
  <c r="C15" i="3"/>
  <c r="I15" i="3" s="1"/>
  <c r="C14" i="3"/>
  <c r="I14" i="3" s="1"/>
  <c r="C23" i="3"/>
  <c r="I23" i="3" s="1"/>
  <c r="C22" i="3"/>
  <c r="I22" i="3" s="1"/>
  <c r="C21" i="3"/>
  <c r="I21" i="3" s="1"/>
  <c r="C13" i="3"/>
  <c r="I13" i="3" s="1"/>
  <c r="C12" i="3"/>
  <c r="I12" i="3" s="1"/>
  <c r="C20" i="3"/>
  <c r="I20" i="3" s="1"/>
  <c r="C17" i="3"/>
  <c r="I17" i="3" s="1"/>
  <c r="C56" i="3"/>
  <c r="I56" i="3" s="1"/>
  <c r="C55" i="3"/>
  <c r="I55" i="3" s="1"/>
  <c r="C58" i="3"/>
  <c r="I58" i="3" s="1"/>
  <c r="C11" i="3"/>
  <c r="I11" i="3" s="1"/>
  <c r="C10" i="3"/>
  <c r="I10" i="3" s="1"/>
  <c r="C9" i="3"/>
  <c r="I9" i="3" s="1"/>
  <c r="C7" i="3"/>
  <c r="I7" i="3" s="1"/>
  <c r="C8" i="3"/>
  <c r="I8" i="3" s="1"/>
  <c r="C57" i="3"/>
  <c r="I57" i="3" s="1"/>
  <c r="C6" i="3"/>
  <c r="I6" i="3" s="1"/>
  <c r="A16" i="4" a="1"/>
  <c r="A16" i="4" s="1"/>
  <c r="A17" i="4" s="1" a="1"/>
  <c r="A17" i="4" s="1"/>
  <c r="E31" i="12"/>
  <c r="E14" i="12"/>
  <c r="E19" i="12"/>
  <c r="E20" i="12"/>
  <c r="N228" i="6"/>
  <c r="N227" i="6"/>
  <c r="N226" i="6"/>
  <c r="N225" i="6"/>
  <c r="N224" i="6"/>
  <c r="N223" i="6"/>
  <c r="N222" i="6"/>
  <c r="N221" i="6"/>
  <c r="N220" i="6"/>
  <c r="N219" i="6"/>
  <c r="N218" i="6"/>
  <c r="N217" i="6"/>
  <c r="D18" i="12"/>
  <c r="E18" i="12" s="1"/>
  <c r="D16" i="12"/>
  <c r="E16" i="12" s="1"/>
  <c r="J51" i="6"/>
  <c r="E23" i="12"/>
  <c r="E27" i="12"/>
  <c r="E25" i="12"/>
  <c r="E22" i="12"/>
  <c r="E7" i="12"/>
  <c r="D17" i="12"/>
  <c r="C17" i="12"/>
  <c r="D15" i="12"/>
  <c r="C15" i="12"/>
  <c r="D4" i="9" a="1"/>
  <c r="D4" i="9" s="1"/>
  <c r="G109" i="6" a="1"/>
  <c r="G109" i="6" s="1"/>
  <c r="F109" i="6" a="1"/>
  <c r="F109" i="6" s="1"/>
  <c r="D109" i="6"/>
  <c r="N109" i="6" s="1"/>
  <c r="D188" i="6"/>
  <c r="N188" i="6" s="1"/>
  <c r="D187" i="6"/>
  <c r="N187" i="6" s="1"/>
  <c r="D186" i="6"/>
  <c r="N186" i="6" s="1"/>
  <c r="D185" i="6"/>
  <c r="N185" i="6" s="1"/>
  <c r="D184" i="6"/>
  <c r="N184" i="6" s="1"/>
  <c r="D183" i="6"/>
  <c r="N183" i="6" s="1"/>
  <c r="D182" i="6"/>
  <c r="N182" i="6" s="1"/>
  <c r="D181" i="6"/>
  <c r="N181" i="6" s="1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C5" i="11"/>
  <c r="N300" i="6"/>
  <c r="N299" i="6"/>
  <c r="N298" i="6"/>
  <c r="N297" i="6"/>
  <c r="N296" i="6"/>
  <c r="N295" i="6"/>
  <c r="N294" i="6"/>
  <c r="N293" i="6"/>
  <c r="N292" i="6"/>
  <c r="N291" i="6"/>
  <c r="N290" i="6"/>
  <c r="N289" i="6"/>
  <c r="N144" i="6"/>
  <c r="N143" i="6"/>
  <c r="N142" i="6"/>
  <c r="N141" i="6"/>
  <c r="D140" i="6"/>
  <c r="N140" i="6" s="1"/>
  <c r="D139" i="6"/>
  <c r="N139" i="6" s="1"/>
  <c r="D138" i="6"/>
  <c r="N138" i="6" s="1"/>
  <c r="D137" i="6"/>
  <c r="N137" i="6" s="1"/>
  <c r="D136" i="6"/>
  <c r="N136" i="6" s="1"/>
  <c r="D135" i="6"/>
  <c r="N134" i="6"/>
  <c r="N133" i="6"/>
  <c r="N252" i="6"/>
  <c r="N251" i="6"/>
  <c r="N250" i="6"/>
  <c r="N249" i="6"/>
  <c r="N248" i="6"/>
  <c r="D247" i="6"/>
  <c r="D246" i="6"/>
  <c r="N246" i="6" s="1"/>
  <c r="D245" i="6"/>
  <c r="N245" i="6" s="1"/>
  <c r="D244" i="6"/>
  <c r="N244" i="6" s="1"/>
  <c r="D243" i="6"/>
  <c r="D242" i="6"/>
  <c r="N242" i="6" s="1"/>
  <c r="D241" i="6"/>
  <c r="N241" i="6" s="1"/>
  <c r="N120" i="6"/>
  <c r="N119" i="6"/>
  <c r="N118" i="6"/>
  <c r="N117" i="6"/>
  <c r="D116" i="6"/>
  <c r="N116" i="6" s="1"/>
  <c r="D115" i="6"/>
  <c r="N115" i="6" s="1"/>
  <c r="D114" i="6"/>
  <c r="D113" i="6"/>
  <c r="N113" i="6" s="1"/>
  <c r="D112" i="6"/>
  <c r="D111" i="6"/>
  <c r="N111" i="6" s="1"/>
  <c r="D110" i="6"/>
  <c r="N110" i="6" s="1"/>
  <c r="N348" i="6"/>
  <c r="N347" i="6"/>
  <c r="N346" i="6"/>
  <c r="N345" i="6"/>
  <c r="N344" i="6"/>
  <c r="N343" i="6"/>
  <c r="N342" i="6"/>
  <c r="N341" i="6"/>
  <c r="N340" i="6"/>
  <c r="N339" i="6"/>
  <c r="N338" i="6"/>
  <c r="N337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84" i="6"/>
  <c r="J84" i="6"/>
  <c r="K84" i="6" s="1"/>
  <c r="N83" i="6"/>
  <c r="J83" i="6"/>
  <c r="K83" i="6" s="1"/>
  <c r="N82" i="6"/>
  <c r="J82" i="6"/>
  <c r="K82" i="6" s="1"/>
  <c r="N81" i="6"/>
  <c r="J81" i="6"/>
  <c r="K81" i="6" s="1"/>
  <c r="N80" i="6"/>
  <c r="J80" i="6"/>
  <c r="K80" i="6" s="1"/>
  <c r="N79" i="6"/>
  <c r="J79" i="6"/>
  <c r="K79" i="6" s="1"/>
  <c r="N78" i="6"/>
  <c r="J78" i="6"/>
  <c r="K78" i="6" s="1"/>
  <c r="N77" i="6"/>
  <c r="J77" i="6"/>
  <c r="K77" i="6" s="1"/>
  <c r="N76" i="6"/>
  <c r="J76" i="6"/>
  <c r="K76" i="6" s="1"/>
  <c r="N75" i="6"/>
  <c r="J75" i="6"/>
  <c r="K75" i="6" s="1"/>
  <c r="N74" i="6"/>
  <c r="J74" i="6"/>
  <c r="K74" i="6" s="1"/>
  <c r="N73" i="6"/>
  <c r="J73" i="6"/>
  <c r="K73" i="6" s="1"/>
  <c r="N25" i="6"/>
  <c r="J25" i="6"/>
  <c r="K25" i="6" s="1"/>
  <c r="N24" i="6"/>
  <c r="J24" i="6"/>
  <c r="K24" i="6" s="1"/>
  <c r="N23" i="6"/>
  <c r="J23" i="6"/>
  <c r="K23" i="6" s="1"/>
  <c r="N22" i="6"/>
  <c r="J22" i="6"/>
  <c r="K22" i="6" s="1"/>
  <c r="N21" i="6"/>
  <c r="J21" i="6"/>
  <c r="K21" i="6" s="1"/>
  <c r="N20" i="6"/>
  <c r="J20" i="6"/>
  <c r="K20" i="6" s="1"/>
  <c r="N19" i="6"/>
  <c r="J19" i="6"/>
  <c r="K19" i="6" s="1"/>
  <c r="N18" i="6"/>
  <c r="J18" i="6"/>
  <c r="K18" i="6" s="1"/>
  <c r="N17" i="6"/>
  <c r="J17" i="6"/>
  <c r="K17" i="6" s="1"/>
  <c r="N16" i="6"/>
  <c r="J16" i="6"/>
  <c r="K16" i="6" s="1"/>
  <c r="N15" i="6"/>
  <c r="J15" i="6"/>
  <c r="K15" i="6" s="1"/>
  <c r="N14" i="6"/>
  <c r="J14" i="6"/>
  <c r="K14" i="6" s="1"/>
  <c r="N49" i="6"/>
  <c r="J49" i="6"/>
  <c r="K49" i="6" s="1"/>
  <c r="N48" i="6"/>
  <c r="J48" i="6"/>
  <c r="N47" i="6"/>
  <c r="J47" i="6"/>
  <c r="K47" i="6" s="1"/>
  <c r="N46" i="6"/>
  <c r="J46" i="6"/>
  <c r="N45" i="6"/>
  <c r="J45" i="6"/>
  <c r="K45" i="6" s="1"/>
  <c r="N44" i="6"/>
  <c r="J44" i="6"/>
  <c r="K44" i="6" s="1"/>
  <c r="N43" i="6"/>
  <c r="J43" i="6"/>
  <c r="K43" i="6" s="1"/>
  <c r="N42" i="6"/>
  <c r="J42" i="6"/>
  <c r="K42" i="6" s="1"/>
  <c r="N41" i="6"/>
  <c r="J41" i="6"/>
  <c r="K41" i="6" s="1"/>
  <c r="N40" i="6"/>
  <c r="J40" i="6"/>
  <c r="K40" i="6" s="1"/>
  <c r="N39" i="6"/>
  <c r="J39" i="6"/>
  <c r="K39" i="6" s="1"/>
  <c r="N38" i="6"/>
  <c r="J38" i="6"/>
  <c r="K38" i="6" s="1"/>
  <c r="N13" i="6"/>
  <c r="J13" i="6"/>
  <c r="K13" i="6" s="1"/>
  <c r="N12" i="6"/>
  <c r="J12" i="6"/>
  <c r="K12" i="6" s="1"/>
  <c r="N11" i="6"/>
  <c r="J11" i="6"/>
  <c r="K11" i="6" s="1"/>
  <c r="N10" i="6"/>
  <c r="J10" i="6"/>
  <c r="K10" i="6" s="1"/>
  <c r="N9" i="6"/>
  <c r="J9" i="6"/>
  <c r="K9" i="6" s="1"/>
  <c r="N8" i="6"/>
  <c r="J8" i="6"/>
  <c r="K8" i="6" s="1"/>
  <c r="N7" i="6"/>
  <c r="J7" i="6"/>
  <c r="K7" i="6" s="1"/>
  <c r="N6" i="6"/>
  <c r="J6" i="6"/>
  <c r="K6" i="6" s="1"/>
  <c r="N5" i="6"/>
  <c r="J5" i="6"/>
  <c r="K5" i="6" s="1"/>
  <c r="N4" i="6"/>
  <c r="J4" i="6"/>
  <c r="K4" i="6" s="1"/>
  <c r="N3" i="6"/>
  <c r="J3" i="6"/>
  <c r="K3" i="6" s="1"/>
  <c r="N2" i="6"/>
  <c r="J2" i="6"/>
  <c r="K2" i="6" s="1"/>
  <c r="N37" i="6"/>
  <c r="J37" i="6"/>
  <c r="K37" i="6" s="1"/>
  <c r="N36" i="6"/>
  <c r="J36" i="6"/>
  <c r="K36" i="6" s="1"/>
  <c r="N35" i="6"/>
  <c r="J35" i="6"/>
  <c r="K35" i="6" s="1"/>
  <c r="N34" i="6"/>
  <c r="J34" i="6"/>
  <c r="K34" i="6" s="1"/>
  <c r="N33" i="6"/>
  <c r="J33" i="6"/>
  <c r="K33" i="6" s="1"/>
  <c r="N32" i="6"/>
  <c r="J32" i="6"/>
  <c r="K32" i="6" s="1"/>
  <c r="N31" i="6"/>
  <c r="J31" i="6"/>
  <c r="K31" i="6" s="1"/>
  <c r="N30" i="6"/>
  <c r="J30" i="6"/>
  <c r="K30" i="6" s="1"/>
  <c r="N29" i="6"/>
  <c r="J29" i="6"/>
  <c r="K29" i="6" s="1"/>
  <c r="N28" i="6"/>
  <c r="J28" i="6"/>
  <c r="K28" i="6" s="1"/>
  <c r="N27" i="6"/>
  <c r="J27" i="6"/>
  <c r="K27" i="6" s="1"/>
  <c r="N26" i="6"/>
  <c r="J26" i="6"/>
  <c r="K26" i="6" s="1"/>
  <c r="N96" i="6"/>
  <c r="J96" i="6"/>
  <c r="K96" i="6" s="1"/>
  <c r="N95" i="6"/>
  <c r="J95" i="6"/>
  <c r="K95" i="6" s="1"/>
  <c r="N94" i="6"/>
  <c r="J94" i="6"/>
  <c r="K94" i="6" s="1"/>
  <c r="N93" i="6"/>
  <c r="J93" i="6"/>
  <c r="K93" i="6" s="1"/>
  <c r="N92" i="6"/>
  <c r="J92" i="6"/>
  <c r="K92" i="6" s="1"/>
  <c r="N91" i="6"/>
  <c r="J91" i="6"/>
  <c r="K91" i="6" s="1"/>
  <c r="N90" i="6"/>
  <c r="J90" i="6"/>
  <c r="K90" i="6" s="1"/>
  <c r="N89" i="6"/>
  <c r="J89" i="6"/>
  <c r="K89" i="6" s="1"/>
  <c r="N88" i="6"/>
  <c r="J88" i="6"/>
  <c r="K88" i="6" s="1"/>
  <c r="N87" i="6"/>
  <c r="J87" i="6"/>
  <c r="K87" i="6" s="1"/>
  <c r="N86" i="6"/>
  <c r="J86" i="6"/>
  <c r="K86" i="6" s="1"/>
  <c r="N85" i="6"/>
  <c r="J85" i="6"/>
  <c r="K85" i="6" s="1"/>
  <c r="N61" i="6"/>
  <c r="J61" i="6"/>
  <c r="N60" i="6"/>
  <c r="J60" i="6"/>
  <c r="K60" i="6" s="1"/>
  <c r="N59" i="6"/>
  <c r="J59" i="6"/>
  <c r="K59" i="6" s="1"/>
  <c r="N58" i="6"/>
  <c r="J58" i="6"/>
  <c r="K58" i="6" s="1"/>
  <c r="N57" i="6"/>
  <c r="J57" i="6"/>
  <c r="K57" i="6" s="1"/>
  <c r="N56" i="6"/>
  <c r="J56" i="6"/>
  <c r="K56" i="6" s="1"/>
  <c r="N55" i="6"/>
  <c r="M55" i="6"/>
  <c r="K55" i="6"/>
  <c r="N54" i="6"/>
  <c r="J54" i="6"/>
  <c r="K54" i="6" s="1"/>
  <c r="N53" i="6"/>
  <c r="J53" i="6"/>
  <c r="K53" i="6" s="1"/>
  <c r="N52" i="6"/>
  <c r="J52" i="6"/>
  <c r="K52" i="6" s="1"/>
  <c r="N51" i="6"/>
  <c r="N50" i="6"/>
  <c r="J50" i="6"/>
  <c r="K50" i="6" s="1"/>
  <c r="N72" i="6"/>
  <c r="J72" i="6"/>
  <c r="K72" i="6" s="1"/>
  <c r="N71" i="6"/>
  <c r="J71" i="6"/>
  <c r="K71" i="6" s="1"/>
  <c r="N70" i="6"/>
  <c r="J70" i="6"/>
  <c r="K70" i="6" s="1"/>
  <c r="N69" i="6"/>
  <c r="J69" i="6"/>
  <c r="K69" i="6" s="1"/>
  <c r="N68" i="6"/>
  <c r="J68" i="6"/>
  <c r="K68" i="6" s="1"/>
  <c r="N67" i="6"/>
  <c r="J67" i="6"/>
  <c r="K67" i="6" s="1"/>
  <c r="N66" i="6"/>
  <c r="J66" i="6"/>
  <c r="K66" i="6" s="1"/>
  <c r="N65" i="6"/>
  <c r="J65" i="6"/>
  <c r="N64" i="6"/>
  <c r="J64" i="6"/>
  <c r="K64" i="6" s="1"/>
  <c r="N63" i="6"/>
  <c r="J63" i="6"/>
  <c r="K63" i="6" s="1"/>
  <c r="N62" i="6"/>
  <c r="J62" i="6"/>
  <c r="K62" i="6" s="1"/>
  <c r="A4" i="4" a="1"/>
  <c r="E5" i="4" s="1" a="1"/>
  <c r="E5" i="4" s="1"/>
  <c r="F2" i="3"/>
  <c r="F1" i="3"/>
  <c r="F101" i="7" l="1"/>
  <c r="H106" i="7"/>
  <c r="F112" i="7"/>
  <c r="H117" i="7"/>
  <c r="I106" i="7"/>
  <c r="I117" i="7"/>
  <c r="I112" i="7"/>
  <c r="H100" i="7"/>
  <c r="H101" i="7"/>
  <c r="F107" i="7"/>
  <c r="H112" i="7"/>
  <c r="F118" i="7"/>
  <c r="I101" i="7"/>
  <c r="F117" i="7"/>
  <c r="F102" i="7"/>
  <c r="H107" i="7"/>
  <c r="F113" i="7"/>
  <c r="H118" i="7"/>
  <c r="I113" i="7"/>
  <c r="H108" i="7"/>
  <c r="I105" i="7"/>
  <c r="I107" i="7"/>
  <c r="I118" i="7"/>
  <c r="I102" i="7"/>
  <c r="F114" i="7"/>
  <c r="H102" i="7"/>
  <c r="F108" i="7"/>
  <c r="H113" i="7"/>
  <c r="F119" i="7"/>
  <c r="I12" i="12"/>
  <c r="F103" i="7"/>
  <c r="F105" i="7"/>
  <c r="I11" i="12"/>
  <c r="I108" i="7"/>
  <c r="I119" i="7"/>
  <c r="H115" i="7"/>
  <c r="F98" i="7"/>
  <c r="H103" i="7"/>
  <c r="F109" i="7"/>
  <c r="H114" i="7"/>
  <c r="F120" i="7"/>
  <c r="F110" i="7"/>
  <c r="I115" i="7"/>
  <c r="F116" i="7"/>
  <c r="I116" i="7"/>
  <c r="I103" i="7"/>
  <c r="I114" i="7"/>
  <c r="F121" i="7"/>
  <c r="F106" i="7"/>
  <c r="H98" i="7"/>
  <c r="F104" i="7"/>
  <c r="H109" i="7"/>
  <c r="F115" i="7"/>
  <c r="H120" i="7"/>
  <c r="H104" i="7"/>
  <c r="H121" i="7"/>
  <c r="H111" i="7"/>
  <c r="I98" i="7"/>
  <c r="I109" i="7"/>
  <c r="I120" i="7"/>
  <c r="F99" i="7"/>
  <c r="I104" i="7"/>
  <c r="H99" i="7"/>
  <c r="I99" i="7"/>
  <c r="I110" i="7"/>
  <c r="I121" i="7"/>
  <c r="F100" i="7"/>
  <c r="H105" i="7"/>
  <c r="F111" i="7"/>
  <c r="H116" i="7"/>
  <c r="I100" i="7"/>
  <c r="I111" i="7"/>
  <c r="H119" i="7"/>
  <c r="H110" i="7"/>
  <c r="F409" i="7"/>
  <c r="H407" i="7"/>
  <c r="I406" i="7"/>
  <c r="F377" i="7"/>
  <c r="H375" i="7"/>
  <c r="H397" i="7"/>
  <c r="I396" i="7"/>
  <c r="H409" i="7"/>
  <c r="I414" i="7"/>
  <c r="F386" i="7"/>
  <c r="F410" i="7"/>
  <c r="H408" i="7"/>
  <c r="I407" i="7"/>
  <c r="F378" i="7"/>
  <c r="H376" i="7"/>
  <c r="I375" i="7"/>
  <c r="I397" i="7"/>
  <c r="F379" i="7"/>
  <c r="I376" i="7"/>
  <c r="F385" i="7"/>
  <c r="H416" i="7"/>
  <c r="F411" i="7"/>
  <c r="F412" i="7"/>
  <c r="H410" i="7"/>
  <c r="I409" i="7"/>
  <c r="F380" i="7"/>
  <c r="H378" i="7"/>
  <c r="I377" i="7"/>
  <c r="F413" i="7"/>
  <c r="H411" i="7"/>
  <c r="I410" i="7"/>
  <c r="F381" i="7"/>
  <c r="H379" i="7"/>
  <c r="I378" i="7"/>
  <c r="H374" i="7"/>
  <c r="H414" i="7"/>
  <c r="F384" i="7"/>
  <c r="H382" i="7"/>
  <c r="H415" i="7"/>
  <c r="I415" i="7"/>
  <c r="F414" i="7"/>
  <c r="H412" i="7"/>
  <c r="I411" i="7"/>
  <c r="F382" i="7"/>
  <c r="H380" i="7"/>
  <c r="I379" i="7"/>
  <c r="I374" i="7"/>
  <c r="F416" i="7"/>
  <c r="I413" i="7"/>
  <c r="I381" i="7"/>
  <c r="I382" i="7"/>
  <c r="I383" i="7"/>
  <c r="H395" i="7"/>
  <c r="F415" i="7"/>
  <c r="H413" i="7"/>
  <c r="I412" i="7"/>
  <c r="F383" i="7"/>
  <c r="H381" i="7"/>
  <c r="I380" i="7"/>
  <c r="F375" i="7"/>
  <c r="F418" i="7"/>
  <c r="F419" i="7"/>
  <c r="H417" i="7"/>
  <c r="I416" i="7"/>
  <c r="F387" i="7"/>
  <c r="H385" i="7"/>
  <c r="I384" i="7"/>
  <c r="H421" i="7"/>
  <c r="I388" i="7"/>
  <c r="H403" i="7"/>
  <c r="H393" i="7"/>
  <c r="I403" i="7"/>
  <c r="I404" i="7"/>
  <c r="F420" i="7"/>
  <c r="H418" i="7"/>
  <c r="I417" i="7"/>
  <c r="F388" i="7"/>
  <c r="H386" i="7"/>
  <c r="I385" i="7"/>
  <c r="F401" i="7"/>
  <c r="I420" i="7"/>
  <c r="H389" i="7"/>
  <c r="F405" i="7"/>
  <c r="F395" i="7"/>
  <c r="F406" i="7"/>
  <c r="F396" i="7"/>
  <c r="I393" i="7"/>
  <c r="H405" i="7"/>
  <c r="F399" i="7"/>
  <c r="F421" i="7"/>
  <c r="H419" i="7"/>
  <c r="I418" i="7"/>
  <c r="F389" i="7"/>
  <c r="H387" i="7"/>
  <c r="I386" i="7"/>
  <c r="H399" i="7"/>
  <c r="F391" i="7"/>
  <c r="I402" i="7"/>
  <c r="I392" i="7"/>
  <c r="I398" i="7"/>
  <c r="F407" i="7"/>
  <c r="F400" i="7"/>
  <c r="H420" i="7"/>
  <c r="I419" i="7"/>
  <c r="F390" i="7"/>
  <c r="H388" i="7"/>
  <c r="I387" i="7"/>
  <c r="H394" i="7"/>
  <c r="F402" i="7"/>
  <c r="H400" i="7"/>
  <c r="I399" i="7"/>
  <c r="I421" i="7"/>
  <c r="F392" i="7"/>
  <c r="H390" i="7"/>
  <c r="I389" i="7"/>
  <c r="I401" i="7"/>
  <c r="F403" i="7"/>
  <c r="H401" i="7"/>
  <c r="I400" i="7"/>
  <c r="F398" i="7"/>
  <c r="F393" i="7"/>
  <c r="H391" i="7"/>
  <c r="I390" i="7"/>
  <c r="F404" i="7"/>
  <c r="H402" i="7"/>
  <c r="F394" i="7"/>
  <c r="H392" i="7"/>
  <c r="I391" i="7"/>
  <c r="H398" i="7"/>
  <c r="H404" i="7"/>
  <c r="I394" i="7"/>
  <c r="F408" i="7"/>
  <c r="H406" i="7"/>
  <c r="I405" i="7"/>
  <c r="F376" i="7"/>
  <c r="H396" i="7"/>
  <c r="I395" i="7"/>
  <c r="I408" i="7"/>
  <c r="H377" i="7"/>
  <c r="F374" i="7"/>
  <c r="F417" i="7"/>
  <c r="H383" i="7"/>
  <c r="H384" i="7"/>
  <c r="F397" i="7"/>
  <c r="I5" i="12"/>
  <c r="L245" i="6" a="1"/>
  <c r="L245" i="6" s="1"/>
  <c r="L252" i="6" a="1"/>
  <c r="L252" i="6" s="1"/>
  <c r="L251" i="6" a="1"/>
  <c r="L251" i="6" s="1"/>
  <c r="L248" i="6" a="1"/>
  <c r="L248" i="6" s="1"/>
  <c r="L250" i="6" a="1"/>
  <c r="L250" i="6" s="1"/>
  <c r="L249" i="6" a="1"/>
  <c r="L249" i="6" s="1"/>
  <c r="L247" i="6" a="1"/>
  <c r="L247" i="6" s="1"/>
  <c r="L244" i="6" a="1"/>
  <c r="L244" i="6" s="1"/>
  <c r="L242" i="6" a="1"/>
  <c r="L242" i="6" s="1"/>
  <c r="L241" i="6" a="1"/>
  <c r="L241" i="6" s="1"/>
  <c r="L243" i="6" a="1"/>
  <c r="L243" i="6" s="1"/>
  <c r="L246" i="6" a="1"/>
  <c r="L246" i="6" s="1"/>
  <c r="L214" i="6" a="1"/>
  <c r="L214" i="6" s="1"/>
  <c r="L213" i="6" a="1"/>
  <c r="L213" i="6" s="1"/>
  <c r="L212" i="6" a="1"/>
  <c r="L212" i="6" s="1"/>
  <c r="L211" i="6" a="1"/>
  <c r="L211" i="6" s="1"/>
  <c r="L210" i="6" a="1"/>
  <c r="L210" i="6" s="1"/>
  <c r="L209" i="6" a="1"/>
  <c r="L209" i="6" s="1"/>
  <c r="L208" i="6" a="1"/>
  <c r="L208" i="6" s="1"/>
  <c r="L207" i="6" a="1"/>
  <c r="L207" i="6" s="1"/>
  <c r="L206" i="6" a="1"/>
  <c r="L206" i="6" s="1"/>
  <c r="L205" i="6" a="1"/>
  <c r="L205" i="6" s="1"/>
  <c r="L216" i="6" a="1"/>
  <c r="L216" i="6" s="1"/>
  <c r="L215" i="6" a="1"/>
  <c r="L215" i="6" s="1"/>
  <c r="L138" i="6" a="1"/>
  <c r="L138" i="6" s="1"/>
  <c r="L137" i="6" a="1"/>
  <c r="L137" i="6" s="1"/>
  <c r="L136" i="6" a="1"/>
  <c r="L136" i="6" s="1"/>
  <c r="L134" i="6" a="1"/>
  <c r="L134" i="6" s="1"/>
  <c r="L135" i="6" a="1"/>
  <c r="L135" i="6" s="1"/>
  <c r="L133" i="6" a="1"/>
  <c r="L133" i="6" s="1"/>
  <c r="L142" i="6" a="1"/>
  <c r="L142" i="6" s="1"/>
  <c r="L144" i="6" a="1"/>
  <c r="L144" i="6" s="1"/>
  <c r="L143" i="6" a="1"/>
  <c r="L143" i="6" s="1"/>
  <c r="L141" i="6" a="1"/>
  <c r="L141" i="6" s="1"/>
  <c r="L140" i="6" a="1"/>
  <c r="L140" i="6" s="1"/>
  <c r="L139" i="6" a="1"/>
  <c r="L139" i="6" s="1"/>
  <c r="L290" i="6" a="1"/>
  <c r="L290" i="6" s="1"/>
  <c r="L289" i="6" a="1"/>
  <c r="L289" i="6" s="1"/>
  <c r="L298" i="6" a="1"/>
  <c r="L298" i="6" s="1"/>
  <c r="L294" i="6" a="1"/>
  <c r="L294" i="6" s="1"/>
  <c r="L297" i="6" a="1"/>
  <c r="L297" i="6" s="1"/>
  <c r="L296" i="6" a="1"/>
  <c r="L296" i="6" s="1"/>
  <c r="L295" i="6" a="1"/>
  <c r="L295" i="6" s="1"/>
  <c r="L293" i="6" a="1"/>
  <c r="L293" i="6" s="1"/>
  <c r="L292" i="6" a="1"/>
  <c r="L292" i="6" s="1"/>
  <c r="L291" i="6" a="1"/>
  <c r="L291" i="6" s="1"/>
  <c r="L300" i="6" a="1"/>
  <c r="L300" i="6" s="1"/>
  <c r="L299" i="6" a="1"/>
  <c r="L299" i="6" s="1"/>
  <c r="L258" i="6" a="1"/>
  <c r="L258" i="6" s="1"/>
  <c r="L257" i="6" a="1"/>
  <c r="L257" i="6" s="1"/>
  <c r="L256" i="6" a="1"/>
  <c r="L256" i="6" s="1"/>
  <c r="L255" i="6" a="1"/>
  <c r="L255" i="6" s="1"/>
  <c r="L254" i="6" a="1"/>
  <c r="L254" i="6" s="1"/>
  <c r="L253" i="6" a="1"/>
  <c r="L253" i="6" s="1"/>
  <c r="L262" i="6" a="1"/>
  <c r="L262" i="6" s="1"/>
  <c r="L264" i="6" a="1"/>
  <c r="L264" i="6" s="1"/>
  <c r="L263" i="6" a="1"/>
  <c r="L263" i="6" s="1"/>
  <c r="L261" i="6" a="1"/>
  <c r="L261" i="6" s="1"/>
  <c r="L260" i="6" a="1"/>
  <c r="L260" i="6" s="1"/>
  <c r="L259" i="6" a="1"/>
  <c r="L259" i="6" s="1"/>
  <c r="L192" i="6" a="1"/>
  <c r="L192" i="6" s="1"/>
  <c r="L191" i="6" a="1"/>
  <c r="L191" i="6" s="1"/>
  <c r="L190" i="6" a="1"/>
  <c r="L190" i="6" s="1"/>
  <c r="L189" i="6" a="1"/>
  <c r="L189" i="6" s="1"/>
  <c r="L188" i="6" a="1"/>
  <c r="L188" i="6" s="1"/>
  <c r="L187" i="6" a="1"/>
  <c r="L187" i="6" s="1"/>
  <c r="L186" i="6" a="1"/>
  <c r="L186" i="6" s="1"/>
  <c r="L185" i="6" a="1"/>
  <c r="L185" i="6" s="1"/>
  <c r="L184" i="6" a="1"/>
  <c r="L184" i="6" s="1"/>
  <c r="L183" i="6" a="1"/>
  <c r="L183" i="6" s="1"/>
  <c r="L181" i="6" a="1"/>
  <c r="L181" i="6" s="1"/>
  <c r="L182" i="6" a="1"/>
  <c r="L182" i="6" s="1"/>
  <c r="L348" i="6" a="1"/>
  <c r="L348" i="6" s="1"/>
  <c r="L347" i="6" a="1"/>
  <c r="L347" i="6" s="1"/>
  <c r="L346" i="6" a="1"/>
  <c r="L346" i="6" s="1"/>
  <c r="L342" i="6" a="1"/>
  <c r="L342" i="6" s="1"/>
  <c r="L344" i="6" a="1"/>
  <c r="L344" i="6" s="1"/>
  <c r="L341" i="6" a="1"/>
  <c r="L341" i="6" s="1"/>
  <c r="L339" i="6" a="1"/>
  <c r="L339" i="6" s="1"/>
  <c r="L343" i="6" a="1"/>
  <c r="L343" i="6" s="1"/>
  <c r="L340" i="6" a="1"/>
  <c r="L340" i="6" s="1"/>
  <c r="L338" i="6" a="1"/>
  <c r="L338" i="6" s="1"/>
  <c r="L337" i="6" a="1"/>
  <c r="L337" i="6" s="1"/>
  <c r="L345" i="6" a="1"/>
  <c r="L345" i="6" s="1"/>
  <c r="L201" i="6" a="1"/>
  <c r="L201" i="6" s="1"/>
  <c r="L204" i="6" a="1"/>
  <c r="L204" i="6" s="1"/>
  <c r="L203" i="6" a="1"/>
  <c r="L203" i="6" s="1"/>
  <c r="L200" i="6" a="1"/>
  <c r="L200" i="6" s="1"/>
  <c r="L198" i="6" a="1"/>
  <c r="L198" i="6" s="1"/>
  <c r="L197" i="6" a="1"/>
  <c r="L197" i="6" s="1"/>
  <c r="L202" i="6" a="1"/>
  <c r="L202" i="6" s="1"/>
  <c r="L199" i="6" a="1"/>
  <c r="L199" i="6" s="1"/>
  <c r="L196" i="6" a="1"/>
  <c r="L196" i="6" s="1"/>
  <c r="L195" i="6" a="1"/>
  <c r="L195" i="6" s="1"/>
  <c r="L194" i="6" a="1"/>
  <c r="L194" i="6" s="1"/>
  <c r="L193" i="6" a="1"/>
  <c r="L193" i="6" s="1"/>
  <c r="L226" i="6" a="1"/>
  <c r="L226" i="6" s="1"/>
  <c r="L224" i="6" a="1"/>
  <c r="L224" i="6" s="1"/>
  <c r="L223" i="6" a="1"/>
  <c r="L223" i="6" s="1"/>
  <c r="L228" i="6" a="1"/>
  <c r="L228" i="6" s="1"/>
  <c r="L227" i="6" a="1"/>
  <c r="L227" i="6" s="1"/>
  <c r="L225" i="6" a="1"/>
  <c r="L225" i="6" s="1"/>
  <c r="L222" i="6" a="1"/>
  <c r="L222" i="6" s="1"/>
  <c r="L218" i="6" a="1"/>
  <c r="L218" i="6" s="1"/>
  <c r="L221" i="6" a="1"/>
  <c r="L221" i="6" s="1"/>
  <c r="L220" i="6" a="1"/>
  <c r="L220" i="6" s="1"/>
  <c r="L219" i="6" a="1"/>
  <c r="L219" i="6" s="1"/>
  <c r="L217" i="6" a="1"/>
  <c r="L217" i="6" s="1"/>
  <c r="F351" i="7"/>
  <c r="F373" i="7"/>
  <c r="H371" i="7"/>
  <c r="I370" i="7"/>
  <c r="F352" i="7"/>
  <c r="H372" i="7"/>
  <c r="I371" i="7"/>
  <c r="I353" i="7"/>
  <c r="I354" i="7"/>
  <c r="F353" i="7"/>
  <c r="H351" i="7"/>
  <c r="H373" i="7"/>
  <c r="I372" i="7"/>
  <c r="H354" i="7"/>
  <c r="F357" i="7"/>
  <c r="H350" i="7"/>
  <c r="I355" i="7"/>
  <c r="I350" i="7"/>
  <c r="F359" i="7"/>
  <c r="I356" i="7"/>
  <c r="F360" i="7"/>
  <c r="F354" i="7"/>
  <c r="H352" i="7"/>
  <c r="I351" i="7"/>
  <c r="I373" i="7"/>
  <c r="F358" i="7"/>
  <c r="H357" i="7"/>
  <c r="F355" i="7"/>
  <c r="H353" i="7"/>
  <c r="I352" i="7"/>
  <c r="F350" i="7"/>
  <c r="F356" i="7"/>
  <c r="H355" i="7"/>
  <c r="H356" i="7"/>
  <c r="F361" i="7"/>
  <c r="H359" i="7"/>
  <c r="I358" i="7"/>
  <c r="H360" i="7"/>
  <c r="I359" i="7"/>
  <c r="I368" i="7"/>
  <c r="F362" i="7"/>
  <c r="F363" i="7"/>
  <c r="H361" i="7"/>
  <c r="I360" i="7"/>
  <c r="H362" i="7"/>
  <c r="I361" i="7"/>
  <c r="F371" i="7"/>
  <c r="F364" i="7"/>
  <c r="I369" i="7"/>
  <c r="F365" i="7"/>
  <c r="H363" i="7"/>
  <c r="I362" i="7"/>
  <c r="F369" i="7"/>
  <c r="F370" i="7"/>
  <c r="H370" i="7"/>
  <c r="I357" i="7"/>
  <c r="F366" i="7"/>
  <c r="H364" i="7"/>
  <c r="I363" i="7"/>
  <c r="I366" i="7"/>
  <c r="F367" i="7"/>
  <c r="H365" i="7"/>
  <c r="I364" i="7"/>
  <c r="I367" i="7"/>
  <c r="F372" i="7"/>
  <c r="H358" i="7"/>
  <c r="F368" i="7"/>
  <c r="H366" i="7"/>
  <c r="I365" i="7"/>
  <c r="H367" i="7"/>
  <c r="H368" i="7"/>
  <c r="H369" i="7"/>
  <c r="F342" i="7"/>
  <c r="H340" i="7"/>
  <c r="I339" i="7"/>
  <c r="F310" i="7"/>
  <c r="H308" i="7"/>
  <c r="I307" i="7"/>
  <c r="I302" i="7"/>
  <c r="F300" i="7"/>
  <c r="H298" i="7"/>
  <c r="I297" i="7"/>
  <c r="F268" i="7"/>
  <c r="H266" i="7"/>
  <c r="I265" i="7"/>
  <c r="F232" i="7"/>
  <c r="H252" i="7"/>
  <c r="I251" i="7"/>
  <c r="F214" i="7"/>
  <c r="H212" i="7"/>
  <c r="I211" i="7"/>
  <c r="I206" i="7"/>
  <c r="I342" i="7"/>
  <c r="F313" i="7"/>
  <c r="I310" i="7"/>
  <c r="H279" i="7"/>
  <c r="I300" i="7"/>
  <c r="F271" i="7"/>
  <c r="I268" i="7"/>
  <c r="H233" i="7"/>
  <c r="F230" i="7"/>
  <c r="H215" i="7"/>
  <c r="I214" i="7"/>
  <c r="H344" i="7"/>
  <c r="F314" i="7"/>
  <c r="H312" i="7"/>
  <c r="I311" i="7"/>
  <c r="H280" i="7"/>
  <c r="I279" i="7"/>
  <c r="I301" i="7"/>
  <c r="H270" i="7"/>
  <c r="F236" i="7"/>
  <c r="I233" i="7"/>
  <c r="F218" i="7"/>
  <c r="H216" i="7"/>
  <c r="F347" i="7"/>
  <c r="H345" i="7"/>
  <c r="F315" i="7"/>
  <c r="H313" i="7"/>
  <c r="F283" i="7"/>
  <c r="H281" i="7"/>
  <c r="F278" i="7"/>
  <c r="H271" i="7"/>
  <c r="F237" i="7"/>
  <c r="H235" i="7"/>
  <c r="H230" i="7"/>
  <c r="H217" i="7"/>
  <c r="I216" i="7"/>
  <c r="I349" i="7"/>
  <c r="I275" i="7"/>
  <c r="F343" i="7"/>
  <c r="H341" i="7"/>
  <c r="I340" i="7"/>
  <c r="F311" i="7"/>
  <c r="H309" i="7"/>
  <c r="I308" i="7"/>
  <c r="F279" i="7"/>
  <c r="F301" i="7"/>
  <c r="H299" i="7"/>
  <c r="I298" i="7"/>
  <c r="F269" i="7"/>
  <c r="H267" i="7"/>
  <c r="I266" i="7"/>
  <c r="F233" i="7"/>
  <c r="H231" i="7"/>
  <c r="H253" i="7"/>
  <c r="I252" i="7"/>
  <c r="F215" i="7"/>
  <c r="H213" i="7"/>
  <c r="I212" i="7"/>
  <c r="I269" i="7"/>
  <c r="F344" i="7"/>
  <c r="H342" i="7"/>
  <c r="I341" i="7"/>
  <c r="F312" i="7"/>
  <c r="H310" i="7"/>
  <c r="I309" i="7"/>
  <c r="F280" i="7"/>
  <c r="H300" i="7"/>
  <c r="I299" i="7"/>
  <c r="F270" i="7"/>
  <c r="H268" i="7"/>
  <c r="I267" i="7"/>
  <c r="F234" i="7"/>
  <c r="H232" i="7"/>
  <c r="I231" i="7"/>
  <c r="I253" i="7"/>
  <c r="F216" i="7"/>
  <c r="H214" i="7"/>
  <c r="I213" i="7"/>
  <c r="F345" i="7"/>
  <c r="H343" i="7"/>
  <c r="H311" i="7"/>
  <c r="F281" i="7"/>
  <c r="H301" i="7"/>
  <c r="H269" i="7"/>
  <c r="F235" i="7"/>
  <c r="I232" i="7"/>
  <c r="F217" i="7"/>
  <c r="F346" i="7"/>
  <c r="I343" i="7"/>
  <c r="F282" i="7"/>
  <c r="F272" i="7"/>
  <c r="H234" i="7"/>
  <c r="I215" i="7"/>
  <c r="I344" i="7"/>
  <c r="I312" i="7"/>
  <c r="I280" i="7"/>
  <c r="F273" i="7"/>
  <c r="I270" i="7"/>
  <c r="I234" i="7"/>
  <c r="F219" i="7"/>
  <c r="I317" i="7"/>
  <c r="H240" i="7"/>
  <c r="F348" i="7"/>
  <c r="H346" i="7"/>
  <c r="I345" i="7"/>
  <c r="F316" i="7"/>
  <c r="H314" i="7"/>
  <c r="I313" i="7"/>
  <c r="F284" i="7"/>
  <c r="H282" i="7"/>
  <c r="I281" i="7"/>
  <c r="F274" i="7"/>
  <c r="H272" i="7"/>
  <c r="I271" i="7"/>
  <c r="F238" i="7"/>
  <c r="H236" i="7"/>
  <c r="I235" i="7"/>
  <c r="I230" i="7"/>
  <c r="F220" i="7"/>
  <c r="H218" i="7"/>
  <c r="I217" i="7"/>
  <c r="F327" i="7"/>
  <c r="F349" i="7"/>
  <c r="H347" i="7"/>
  <c r="I346" i="7"/>
  <c r="F317" i="7"/>
  <c r="H315" i="7"/>
  <c r="I314" i="7"/>
  <c r="F285" i="7"/>
  <c r="H283" i="7"/>
  <c r="I282" i="7"/>
  <c r="H278" i="7"/>
  <c r="F275" i="7"/>
  <c r="H273" i="7"/>
  <c r="I272" i="7"/>
  <c r="F239" i="7"/>
  <c r="H237" i="7"/>
  <c r="I236" i="7"/>
  <c r="F221" i="7"/>
  <c r="H219" i="7"/>
  <c r="I218" i="7"/>
  <c r="I315" i="7"/>
  <c r="H284" i="7"/>
  <c r="I283" i="7"/>
  <c r="I278" i="7"/>
  <c r="H274" i="7"/>
  <c r="I273" i="7"/>
  <c r="F240" i="7"/>
  <c r="H238" i="7"/>
  <c r="F222" i="7"/>
  <c r="H220" i="7"/>
  <c r="I219" i="7"/>
  <c r="F329" i="7"/>
  <c r="H327" i="7"/>
  <c r="H349" i="7"/>
  <c r="I348" i="7"/>
  <c r="F319" i="7"/>
  <c r="H317" i="7"/>
  <c r="I316" i="7"/>
  <c r="F287" i="7"/>
  <c r="H285" i="7"/>
  <c r="I284" i="7"/>
  <c r="F255" i="7"/>
  <c r="F277" i="7"/>
  <c r="H275" i="7"/>
  <c r="I274" i="7"/>
  <c r="F241" i="7"/>
  <c r="H239" i="7"/>
  <c r="I238" i="7"/>
  <c r="F223" i="7"/>
  <c r="H221" i="7"/>
  <c r="I220" i="7"/>
  <c r="H328" i="7"/>
  <c r="I327" i="7"/>
  <c r="F320" i="7"/>
  <c r="H318" i="7"/>
  <c r="F288" i="7"/>
  <c r="H286" i="7"/>
  <c r="I285" i="7"/>
  <c r="F256" i="7"/>
  <c r="H276" i="7"/>
  <c r="I239" i="7"/>
  <c r="F328" i="7"/>
  <c r="H348" i="7"/>
  <c r="I347" i="7"/>
  <c r="F318" i="7"/>
  <c r="H316" i="7"/>
  <c r="F286" i="7"/>
  <c r="F276" i="7"/>
  <c r="I237" i="7"/>
  <c r="F334" i="7"/>
  <c r="H332" i="7"/>
  <c r="I331" i="7"/>
  <c r="I326" i="7"/>
  <c r="F324" i="7"/>
  <c r="H322" i="7"/>
  <c r="I321" i="7"/>
  <c r="F292" i="7"/>
  <c r="H290" i="7"/>
  <c r="I289" i="7"/>
  <c r="F260" i="7"/>
  <c r="H258" i="7"/>
  <c r="I257" i="7"/>
  <c r="F246" i="7"/>
  <c r="H244" i="7"/>
  <c r="I243" i="7"/>
  <c r="F228" i="7"/>
  <c r="H226" i="7"/>
  <c r="I225" i="7"/>
  <c r="H334" i="7"/>
  <c r="I333" i="7"/>
  <c r="I323" i="7"/>
  <c r="H292" i="7"/>
  <c r="I291" i="7"/>
  <c r="H260" i="7"/>
  <c r="I254" i="7"/>
  <c r="H246" i="7"/>
  <c r="F208" i="7"/>
  <c r="I227" i="7"/>
  <c r="F338" i="7"/>
  <c r="I335" i="7"/>
  <c r="I303" i="7"/>
  <c r="F296" i="7"/>
  <c r="F264" i="7"/>
  <c r="I261" i="7"/>
  <c r="H248" i="7"/>
  <c r="F210" i="7"/>
  <c r="I207" i="7"/>
  <c r="F307" i="7"/>
  <c r="I304" i="7"/>
  <c r="I294" i="7"/>
  <c r="I262" i="7"/>
  <c r="I248" i="7"/>
  <c r="F335" i="7"/>
  <c r="H333" i="7"/>
  <c r="I332" i="7"/>
  <c r="F303" i="7"/>
  <c r="F325" i="7"/>
  <c r="H323" i="7"/>
  <c r="I322" i="7"/>
  <c r="F293" i="7"/>
  <c r="H291" i="7"/>
  <c r="I290" i="7"/>
  <c r="F261" i="7"/>
  <c r="H259" i="7"/>
  <c r="I258" i="7"/>
  <c r="H254" i="7"/>
  <c r="F247" i="7"/>
  <c r="H245" i="7"/>
  <c r="I244" i="7"/>
  <c r="F207" i="7"/>
  <c r="F229" i="7"/>
  <c r="H227" i="7"/>
  <c r="I226" i="7"/>
  <c r="F336" i="7"/>
  <c r="F304" i="7"/>
  <c r="H324" i="7"/>
  <c r="F294" i="7"/>
  <c r="F262" i="7"/>
  <c r="I259" i="7"/>
  <c r="F248" i="7"/>
  <c r="I245" i="7"/>
  <c r="H228" i="7"/>
  <c r="H336" i="7"/>
  <c r="F306" i="7"/>
  <c r="H304" i="7"/>
  <c r="I325" i="7"/>
  <c r="I293" i="7"/>
  <c r="H262" i="7"/>
  <c r="F250" i="7"/>
  <c r="I247" i="7"/>
  <c r="H208" i="7"/>
  <c r="F339" i="7"/>
  <c r="I336" i="7"/>
  <c r="F302" i="7"/>
  <c r="H263" i="7"/>
  <c r="H209" i="7"/>
  <c r="H295" i="7"/>
  <c r="H249" i="7"/>
  <c r="F211" i="7"/>
  <c r="F206" i="7"/>
  <c r="F337" i="7"/>
  <c r="H335" i="7"/>
  <c r="I334" i="7"/>
  <c r="F305" i="7"/>
  <c r="H303" i="7"/>
  <c r="H325" i="7"/>
  <c r="I324" i="7"/>
  <c r="F295" i="7"/>
  <c r="H293" i="7"/>
  <c r="I292" i="7"/>
  <c r="F263" i="7"/>
  <c r="H261" i="7"/>
  <c r="I260" i="7"/>
  <c r="F249" i="7"/>
  <c r="H247" i="7"/>
  <c r="I246" i="7"/>
  <c r="F209" i="7"/>
  <c r="H207" i="7"/>
  <c r="H229" i="7"/>
  <c r="I228" i="7"/>
  <c r="H294" i="7"/>
  <c r="I229" i="7"/>
  <c r="H337" i="7"/>
  <c r="H305" i="7"/>
  <c r="F297" i="7"/>
  <c r="F265" i="7"/>
  <c r="F251" i="7"/>
  <c r="I208" i="7"/>
  <c r="F340" i="7"/>
  <c r="H306" i="7"/>
  <c r="H297" i="7"/>
  <c r="I264" i="7"/>
  <c r="F213" i="7"/>
  <c r="F267" i="7"/>
  <c r="F341" i="7"/>
  <c r="H307" i="7"/>
  <c r="I286" i="7"/>
  <c r="I276" i="7"/>
  <c r="F224" i="7"/>
  <c r="I305" i="7"/>
  <c r="H338" i="7"/>
  <c r="H210" i="7"/>
  <c r="I318" i="7"/>
  <c r="F259" i="7"/>
  <c r="I330" i="7"/>
  <c r="H319" i="7"/>
  <c r="I287" i="7"/>
  <c r="I277" i="7"/>
  <c r="F225" i="7"/>
  <c r="I295" i="7"/>
  <c r="F242" i="7"/>
  <c r="F243" i="7"/>
  <c r="I306" i="7"/>
  <c r="H339" i="7"/>
  <c r="F245" i="7"/>
  <c r="H211" i="7"/>
  <c r="I320" i="7"/>
  <c r="H223" i="7"/>
  <c r="F266" i="7"/>
  <c r="F289" i="7"/>
  <c r="F326" i="7"/>
  <c r="I210" i="7"/>
  <c r="H329" i="7"/>
  <c r="H320" i="7"/>
  <c r="I288" i="7"/>
  <c r="F254" i="7"/>
  <c r="F231" i="7"/>
  <c r="F226" i="7"/>
  <c r="H330" i="7"/>
  <c r="H321" i="7"/>
  <c r="F227" i="7"/>
  <c r="H331" i="7"/>
  <c r="I296" i="7"/>
  <c r="F244" i="7"/>
  <c r="F257" i="7"/>
  <c r="F253" i="7"/>
  <c r="H224" i="7"/>
  <c r="I328" i="7"/>
  <c r="I319" i="7"/>
  <c r="F258" i="7"/>
  <c r="F252" i="7"/>
  <c r="H222" i="7"/>
  <c r="I329" i="7"/>
  <c r="F291" i="7"/>
  <c r="H256" i="7"/>
  <c r="H250" i="7"/>
  <c r="I221" i="7"/>
  <c r="H326" i="7"/>
  <c r="F298" i="7"/>
  <c r="H257" i="7"/>
  <c r="H251" i="7"/>
  <c r="I222" i="7"/>
  <c r="F333" i="7"/>
  <c r="H242" i="7"/>
  <c r="H243" i="7"/>
  <c r="F308" i="7"/>
  <c r="F299" i="7"/>
  <c r="H264" i="7"/>
  <c r="I240" i="7"/>
  <c r="I223" i="7"/>
  <c r="I224" i="7"/>
  <c r="H289" i="7"/>
  <c r="H296" i="7"/>
  <c r="H302" i="7"/>
  <c r="I209" i="7"/>
  <c r="F309" i="7"/>
  <c r="H265" i="7"/>
  <c r="I241" i="7"/>
  <c r="F323" i="7"/>
  <c r="F212" i="7"/>
  <c r="H241" i="7"/>
  <c r="H255" i="7"/>
  <c r="F330" i="7"/>
  <c r="F321" i="7"/>
  <c r="H287" i="7"/>
  <c r="H277" i="7"/>
  <c r="I242" i="7"/>
  <c r="F332" i="7"/>
  <c r="I263" i="7"/>
  <c r="H225" i="7"/>
  <c r="F331" i="7"/>
  <c r="F322" i="7"/>
  <c r="H288" i="7"/>
  <c r="I255" i="7"/>
  <c r="I249" i="7"/>
  <c r="H206" i="7"/>
  <c r="I256" i="7"/>
  <c r="I250" i="7"/>
  <c r="I337" i="7"/>
  <c r="I338" i="7"/>
  <c r="F290" i="7"/>
  <c r="F166" i="7"/>
  <c r="I205" i="7"/>
  <c r="I194" i="7"/>
  <c r="I183" i="7"/>
  <c r="I172" i="7"/>
  <c r="I161" i="7"/>
  <c r="I150" i="7"/>
  <c r="I139" i="7"/>
  <c r="I128" i="7"/>
  <c r="I94" i="7"/>
  <c r="I83" i="7"/>
  <c r="I72" i="7"/>
  <c r="I61" i="7"/>
  <c r="I50" i="7"/>
  <c r="I39" i="7"/>
  <c r="I28" i="7"/>
  <c r="I17" i="7"/>
  <c r="I6" i="7"/>
  <c r="I9" i="12"/>
  <c r="I155" i="7"/>
  <c r="I88" i="7"/>
  <c r="I77" i="7"/>
  <c r="I44" i="7"/>
  <c r="I23" i="12"/>
  <c r="H19" i="7"/>
  <c r="I151" i="7"/>
  <c r="I62" i="7"/>
  <c r="I18" i="7"/>
  <c r="H195" i="7"/>
  <c r="H162" i="7"/>
  <c r="H51" i="7"/>
  <c r="H7" i="7"/>
  <c r="I8" i="12"/>
  <c r="H205" i="7"/>
  <c r="H194" i="7"/>
  <c r="H183" i="7"/>
  <c r="H172" i="7"/>
  <c r="H161" i="7"/>
  <c r="H150" i="7"/>
  <c r="H139" i="7"/>
  <c r="H128" i="7"/>
  <c r="H94" i="7"/>
  <c r="H83" i="7"/>
  <c r="H72" i="7"/>
  <c r="H61" i="7"/>
  <c r="H50" i="7"/>
  <c r="H39" i="7"/>
  <c r="H28" i="7"/>
  <c r="H17" i="7"/>
  <c r="H6" i="7"/>
  <c r="I10" i="12"/>
  <c r="H193" i="7"/>
  <c r="H182" i="7"/>
  <c r="H160" i="7"/>
  <c r="H149" i="7"/>
  <c r="H138" i="7"/>
  <c r="H127" i="7"/>
  <c r="H93" i="7"/>
  <c r="H82" i="7"/>
  <c r="H60" i="7"/>
  <c r="H49" i="7"/>
  <c r="H27" i="7"/>
  <c r="H5" i="7"/>
  <c r="I14" i="12"/>
  <c r="I192" i="7"/>
  <c r="I170" i="7"/>
  <c r="I159" i="7"/>
  <c r="I137" i="7"/>
  <c r="I126" i="7"/>
  <c r="I81" i="7"/>
  <c r="I70" i="7"/>
  <c r="I48" i="7"/>
  <c r="I15" i="7"/>
  <c r="I15" i="12"/>
  <c r="H192" i="7"/>
  <c r="H170" i="7"/>
  <c r="H159" i="7"/>
  <c r="H137" i="7"/>
  <c r="H126" i="7"/>
  <c r="H92" i="7"/>
  <c r="H81" i="7"/>
  <c r="H59" i="7"/>
  <c r="H37" i="7"/>
  <c r="H4" i="7"/>
  <c r="I16" i="12"/>
  <c r="I144" i="7"/>
  <c r="I11" i="7"/>
  <c r="H8" i="7"/>
  <c r="I162" i="7"/>
  <c r="H151" i="7"/>
  <c r="I204" i="7"/>
  <c r="I193" i="7"/>
  <c r="I182" i="7"/>
  <c r="I171" i="7"/>
  <c r="I160" i="7"/>
  <c r="I149" i="7"/>
  <c r="I138" i="7"/>
  <c r="I127" i="7"/>
  <c r="I93" i="7"/>
  <c r="I82" i="7"/>
  <c r="I71" i="7"/>
  <c r="I60" i="7"/>
  <c r="I49" i="7"/>
  <c r="I38" i="7"/>
  <c r="I27" i="7"/>
  <c r="I16" i="7"/>
  <c r="I5" i="7"/>
  <c r="I13" i="12"/>
  <c r="H171" i="7"/>
  <c r="H71" i="7"/>
  <c r="H38" i="7"/>
  <c r="H16" i="7"/>
  <c r="I181" i="7"/>
  <c r="I148" i="7"/>
  <c r="I92" i="7"/>
  <c r="I59" i="7"/>
  <c r="I37" i="7"/>
  <c r="I4" i="7"/>
  <c r="H203" i="7"/>
  <c r="H148" i="7"/>
  <c r="H48" i="7"/>
  <c r="H15" i="7"/>
  <c r="I33" i="7"/>
  <c r="I195" i="7"/>
  <c r="H62" i="7"/>
  <c r="H204" i="7"/>
  <c r="I203" i="7"/>
  <c r="I26" i="7"/>
  <c r="H181" i="7"/>
  <c r="H70" i="7"/>
  <c r="H26" i="7"/>
  <c r="I133" i="7"/>
  <c r="I184" i="7"/>
  <c r="I202" i="7"/>
  <c r="I191" i="7"/>
  <c r="I180" i="7"/>
  <c r="I169" i="7"/>
  <c r="I158" i="7"/>
  <c r="I147" i="7"/>
  <c r="I136" i="7"/>
  <c r="I125" i="7"/>
  <c r="I91" i="7"/>
  <c r="I80" i="7"/>
  <c r="I69" i="7"/>
  <c r="I58" i="7"/>
  <c r="I47" i="7"/>
  <c r="I36" i="7"/>
  <c r="I25" i="7"/>
  <c r="I14" i="7"/>
  <c r="I3" i="7"/>
  <c r="I17" i="12"/>
  <c r="H202" i="7"/>
  <c r="H191" i="7"/>
  <c r="H180" i="7"/>
  <c r="H169" i="7"/>
  <c r="H158" i="7"/>
  <c r="H147" i="7"/>
  <c r="H136" i="7"/>
  <c r="H125" i="7"/>
  <c r="H91" i="7"/>
  <c r="H80" i="7"/>
  <c r="H69" i="7"/>
  <c r="H58" i="7"/>
  <c r="H47" i="7"/>
  <c r="H36" i="7"/>
  <c r="H25" i="7"/>
  <c r="H14" i="7"/>
  <c r="H3" i="7"/>
  <c r="I18" i="12"/>
  <c r="I190" i="7"/>
  <c r="I179" i="7"/>
  <c r="I168" i="7"/>
  <c r="I157" i="7"/>
  <c r="I146" i="7"/>
  <c r="I135" i="7"/>
  <c r="I90" i="7"/>
  <c r="I79" i="7"/>
  <c r="I68" i="7"/>
  <c r="I57" i="7"/>
  <c r="I46" i="7"/>
  <c r="I24" i="7"/>
  <c r="I13" i="7"/>
  <c r="I2" i="7"/>
  <c r="I19" i="12"/>
  <c r="I188" i="7"/>
  <c r="I66" i="7"/>
  <c r="I6" i="12"/>
  <c r="I7" i="12"/>
  <c r="I201" i="7"/>
  <c r="I124" i="7"/>
  <c r="I35" i="7"/>
  <c r="I122" i="7"/>
  <c r="I95" i="7"/>
  <c r="H18" i="7"/>
  <c r="H201" i="7"/>
  <c r="H190" i="7"/>
  <c r="H179" i="7"/>
  <c r="H168" i="7"/>
  <c r="H157" i="7"/>
  <c r="H146" i="7"/>
  <c r="H135" i="7"/>
  <c r="H124" i="7"/>
  <c r="H90" i="7"/>
  <c r="H79" i="7"/>
  <c r="H68" i="7"/>
  <c r="H57" i="7"/>
  <c r="H46" i="7"/>
  <c r="H35" i="7"/>
  <c r="H24" i="7"/>
  <c r="H13" i="7"/>
  <c r="H2" i="7"/>
  <c r="I20" i="12"/>
  <c r="I123" i="7"/>
  <c r="I89" i="7"/>
  <c r="I67" i="7"/>
  <c r="I45" i="7"/>
  <c r="I23" i="7"/>
  <c r="I21" i="12"/>
  <c r="I199" i="7"/>
  <c r="I55" i="7"/>
  <c r="I22" i="7"/>
  <c r="I140" i="7"/>
  <c r="I200" i="7"/>
  <c r="I189" i="7"/>
  <c r="I178" i="7"/>
  <c r="I167" i="7"/>
  <c r="I156" i="7"/>
  <c r="I145" i="7"/>
  <c r="I134" i="7"/>
  <c r="I78" i="7"/>
  <c r="I56" i="7"/>
  <c r="I34" i="7"/>
  <c r="I12" i="7"/>
  <c r="I166" i="7"/>
  <c r="I129" i="7"/>
  <c r="H84" i="7"/>
  <c r="H200" i="7"/>
  <c r="H189" i="7"/>
  <c r="H178" i="7"/>
  <c r="H167" i="7"/>
  <c r="H156" i="7"/>
  <c r="H145" i="7"/>
  <c r="H134" i="7"/>
  <c r="H123" i="7"/>
  <c r="H89" i="7"/>
  <c r="H78" i="7"/>
  <c r="H67" i="7"/>
  <c r="H56" i="7"/>
  <c r="H45" i="7"/>
  <c r="H34" i="7"/>
  <c r="H23" i="7"/>
  <c r="H12" i="7"/>
  <c r="I22" i="12"/>
  <c r="I177" i="7"/>
  <c r="H199" i="7"/>
  <c r="H188" i="7"/>
  <c r="H177" i="7"/>
  <c r="H166" i="7"/>
  <c r="H155" i="7"/>
  <c r="H144" i="7"/>
  <c r="H133" i="7"/>
  <c r="H122" i="7"/>
  <c r="H88" i="7"/>
  <c r="H77" i="7"/>
  <c r="H66" i="7"/>
  <c r="H55" i="7"/>
  <c r="H44" i="7"/>
  <c r="H33" i="7"/>
  <c r="H22" i="7"/>
  <c r="H11" i="7"/>
  <c r="I24" i="12"/>
  <c r="H96" i="7"/>
  <c r="I73" i="7"/>
  <c r="H140" i="7"/>
  <c r="I198" i="7"/>
  <c r="I187" i="7"/>
  <c r="I176" i="7"/>
  <c r="I165" i="7"/>
  <c r="I154" i="7"/>
  <c r="I143" i="7"/>
  <c r="I132" i="7"/>
  <c r="I87" i="7"/>
  <c r="I76" i="7"/>
  <c r="I65" i="7"/>
  <c r="I54" i="7"/>
  <c r="I43" i="7"/>
  <c r="I32" i="7"/>
  <c r="I21" i="7"/>
  <c r="I10" i="7"/>
  <c r="I25" i="12"/>
  <c r="H87" i="7"/>
  <c r="H76" i="7"/>
  <c r="H54" i="7"/>
  <c r="H43" i="7"/>
  <c r="H32" i="7"/>
  <c r="H10" i="7"/>
  <c r="I26" i="12"/>
  <c r="I153" i="7"/>
  <c r="I97" i="7"/>
  <c r="I86" i="7"/>
  <c r="I75" i="7"/>
  <c r="I42" i="7"/>
  <c r="I31" i="7"/>
  <c r="I9" i="7"/>
  <c r="I27" i="12"/>
  <c r="H185" i="7"/>
  <c r="H74" i="7"/>
  <c r="H52" i="7"/>
  <c r="I173" i="7"/>
  <c r="I29" i="7"/>
  <c r="H173" i="7"/>
  <c r="H40" i="7"/>
  <c r="H198" i="7"/>
  <c r="H187" i="7"/>
  <c r="H176" i="7"/>
  <c r="H165" i="7"/>
  <c r="H154" i="7"/>
  <c r="H143" i="7"/>
  <c r="H132" i="7"/>
  <c r="H65" i="7"/>
  <c r="H21" i="7"/>
  <c r="I131" i="7"/>
  <c r="I53" i="7"/>
  <c r="I20" i="7"/>
  <c r="I2" i="12"/>
  <c r="H152" i="7"/>
  <c r="I51" i="7"/>
  <c r="H129" i="7"/>
  <c r="I197" i="7"/>
  <c r="I186" i="7"/>
  <c r="I175" i="7"/>
  <c r="I164" i="7"/>
  <c r="I142" i="7"/>
  <c r="I64" i="7"/>
  <c r="H174" i="7"/>
  <c r="H30" i="7"/>
  <c r="I84" i="7"/>
  <c r="H95" i="7"/>
  <c r="H197" i="7"/>
  <c r="H186" i="7"/>
  <c r="H175" i="7"/>
  <c r="H164" i="7"/>
  <c r="H153" i="7"/>
  <c r="H142" i="7"/>
  <c r="H131" i="7"/>
  <c r="H97" i="7"/>
  <c r="H86" i="7"/>
  <c r="H75" i="7"/>
  <c r="H64" i="7"/>
  <c r="H53" i="7"/>
  <c r="H42" i="7"/>
  <c r="H31" i="7"/>
  <c r="H20" i="7"/>
  <c r="H9" i="7"/>
  <c r="I3" i="12"/>
  <c r="I28" i="12"/>
  <c r="I196" i="7"/>
  <c r="I185" i="7"/>
  <c r="I174" i="7"/>
  <c r="I163" i="7"/>
  <c r="I152" i="7"/>
  <c r="I141" i="7"/>
  <c r="I130" i="7"/>
  <c r="I96" i="7"/>
  <c r="I85" i="7"/>
  <c r="I74" i="7"/>
  <c r="I63" i="7"/>
  <c r="I52" i="7"/>
  <c r="I41" i="7"/>
  <c r="I30" i="7"/>
  <c r="I19" i="7"/>
  <c r="I8" i="7"/>
  <c r="I4" i="12"/>
  <c r="I29" i="12"/>
  <c r="H196" i="7"/>
  <c r="H163" i="7"/>
  <c r="H141" i="7"/>
  <c r="H130" i="7"/>
  <c r="H85" i="7"/>
  <c r="H63" i="7"/>
  <c r="H41" i="7"/>
  <c r="I30" i="12"/>
  <c r="I40" i="7"/>
  <c r="I7" i="7"/>
  <c r="I31" i="12"/>
  <c r="H184" i="7"/>
  <c r="H73" i="7"/>
  <c r="H29" i="7"/>
  <c r="I32" i="12"/>
  <c r="F158" i="7"/>
  <c r="F196" i="7"/>
  <c r="F193" i="7"/>
  <c r="F162" i="7"/>
  <c r="F161" i="7"/>
  <c r="F191" i="7"/>
  <c r="F165" i="7"/>
  <c r="F192" i="7"/>
  <c r="F160" i="7"/>
  <c r="F190" i="7"/>
  <c r="F205" i="7"/>
  <c r="F204" i="7"/>
  <c r="F188" i="7"/>
  <c r="F203" i="7"/>
  <c r="F178" i="7"/>
  <c r="F187" i="7"/>
  <c r="F202" i="7"/>
  <c r="F189" i="7"/>
  <c r="F181" i="7"/>
  <c r="F177" i="7"/>
  <c r="F186" i="7"/>
  <c r="F201" i="7"/>
  <c r="F185" i="7"/>
  <c r="F200" i="7"/>
  <c r="F184" i="7"/>
  <c r="F199" i="7"/>
  <c r="F182" i="7"/>
  <c r="F183" i="7"/>
  <c r="F198" i="7"/>
  <c r="F197" i="7"/>
  <c r="F195" i="7"/>
  <c r="F194" i="7"/>
  <c r="E17" i="12"/>
  <c r="E15" i="12"/>
  <c r="F176" i="7"/>
  <c r="F164" i="7"/>
  <c r="F163" i="7"/>
  <c r="F159" i="7"/>
  <c r="F180" i="7"/>
  <c r="F179" i="7"/>
  <c r="F175" i="7"/>
  <c r="F174" i="7"/>
  <c r="F172" i="7"/>
  <c r="F173" i="7"/>
  <c r="F169" i="7"/>
  <c r="F171" i="7"/>
  <c r="F168" i="7"/>
  <c r="F170" i="7"/>
  <c r="F167" i="7"/>
  <c r="J152" i="6"/>
  <c r="J148" i="6"/>
  <c r="J153" i="6"/>
  <c r="J156" i="6"/>
  <c r="J155" i="6"/>
  <c r="J145" i="6"/>
  <c r="J146" i="6"/>
  <c r="J104" i="6"/>
  <c r="J99" i="6"/>
  <c r="J98" i="6"/>
  <c r="J105" i="6"/>
  <c r="B17" i="4" a="1"/>
  <c r="B17" i="4" s="1"/>
  <c r="D17" i="4" a="1"/>
  <c r="D17" i="4" s="1"/>
  <c r="E17" i="4" a="1"/>
  <c r="E17" i="4" s="1"/>
  <c r="F17" i="4" a="1"/>
  <c r="F17" i="4" s="1"/>
  <c r="C17" i="4" a="1"/>
  <c r="C17" i="4" s="1"/>
  <c r="B5" i="4" a="1"/>
  <c r="B5" i="4" s="1"/>
  <c r="C5" i="4" a="1"/>
  <c r="C5" i="4" s="1"/>
  <c r="D5" i="4" a="1"/>
  <c r="D5" i="4" s="1"/>
  <c r="A4" i="4"/>
  <c r="A5" i="4" s="1" a="1"/>
  <c r="A5" i="4" s="1"/>
  <c r="F146" i="7"/>
  <c r="F147" i="7"/>
  <c r="F148" i="7"/>
  <c r="F149" i="7"/>
  <c r="F150" i="7"/>
  <c r="F151" i="7"/>
  <c r="F152" i="7"/>
  <c r="F153" i="7"/>
  <c r="F154" i="7"/>
  <c r="F155" i="7"/>
  <c r="F156" i="7"/>
  <c r="F157" i="7"/>
  <c r="J224" i="6"/>
  <c r="J222" i="6"/>
  <c r="K222" i="6" s="1"/>
  <c r="J228" i="6"/>
  <c r="K228" i="6" s="1"/>
  <c r="L109" i="6" a="1"/>
  <c r="L109" i="6" s="1"/>
  <c r="J223" i="6"/>
  <c r="K223" i="6" s="1"/>
  <c r="J227" i="6"/>
  <c r="K227" i="6" s="1"/>
  <c r="J217" i="6"/>
  <c r="J218" i="6"/>
  <c r="K218" i="6" s="1"/>
  <c r="J219" i="6"/>
  <c r="K219" i="6" s="1"/>
  <c r="J225" i="6"/>
  <c r="K225" i="6" s="1"/>
  <c r="J221" i="6"/>
  <c r="K221" i="6" s="1"/>
  <c r="J220" i="6"/>
  <c r="J226" i="6"/>
  <c r="K226" i="6" s="1"/>
  <c r="F125" i="7"/>
  <c r="F130" i="7"/>
  <c r="F123" i="7"/>
  <c r="F122" i="7"/>
  <c r="F143" i="7"/>
  <c r="F131" i="7"/>
  <c r="F129" i="7"/>
  <c r="F128" i="7"/>
  <c r="F127" i="7"/>
  <c r="F126" i="7"/>
  <c r="A2" i="9" a="1"/>
  <c r="A2" i="9" s="1"/>
  <c r="F124" i="7"/>
  <c r="F145" i="7"/>
  <c r="F144" i="7"/>
  <c r="F142" i="7"/>
  <c r="F141" i="7"/>
  <c r="F140" i="7"/>
  <c r="F139" i="7"/>
  <c r="F138" i="7"/>
  <c r="F137" i="7"/>
  <c r="F136" i="7"/>
  <c r="F133" i="7"/>
  <c r="F135" i="7"/>
  <c r="F132" i="7"/>
  <c r="F134" i="7"/>
  <c r="J189" i="6"/>
  <c r="K189" i="6" s="1"/>
  <c r="J185" i="6"/>
  <c r="K185" i="6" s="1"/>
  <c r="J195" i="6"/>
  <c r="K195" i="6" s="1"/>
  <c r="J196" i="6"/>
  <c r="K196" i="6" s="1"/>
  <c r="J191" i="6"/>
  <c r="K191" i="6" s="1"/>
  <c r="F26" i="7"/>
  <c r="M48" i="6"/>
  <c r="M72" i="6"/>
  <c r="F86" i="7"/>
  <c r="F72" i="7"/>
  <c r="F92" i="7"/>
  <c r="F93" i="7"/>
  <c r="F85" i="7"/>
  <c r="F87" i="7"/>
  <c r="F89" i="7"/>
  <c r="F91" i="7"/>
  <c r="F94" i="7"/>
  <c r="F95" i="7"/>
  <c r="F96" i="7"/>
  <c r="F88" i="7"/>
  <c r="F90" i="7"/>
  <c r="F97" i="7"/>
  <c r="M22" i="6"/>
  <c r="M84" i="6"/>
  <c r="M27" i="6"/>
  <c r="M23" i="6"/>
  <c r="M56" i="6"/>
  <c r="M34" i="6"/>
  <c r="F73" i="7"/>
  <c r="F84" i="7"/>
  <c r="F81" i="7"/>
  <c r="F77" i="7"/>
  <c r="F76" i="7"/>
  <c r="F83" i="7"/>
  <c r="F82" i="7"/>
  <c r="F80" i="7"/>
  <c r="F79" i="7"/>
  <c r="F78" i="7"/>
  <c r="F75" i="7"/>
  <c r="F74" i="7"/>
  <c r="F71" i="7"/>
  <c r="F70" i="7"/>
  <c r="F69" i="7"/>
  <c r="F68" i="7"/>
  <c r="F67" i="7"/>
  <c r="F66" i="7"/>
  <c r="F65" i="7"/>
  <c r="F64" i="7"/>
  <c r="F63" i="7"/>
  <c r="F62" i="7"/>
  <c r="F60" i="7"/>
  <c r="F61" i="7"/>
  <c r="F56" i="7"/>
  <c r="F47" i="7"/>
  <c r="F44" i="7"/>
  <c r="F39" i="7"/>
  <c r="F55" i="7"/>
  <c r="F54" i="7"/>
  <c r="F53" i="7"/>
  <c r="F52" i="7"/>
  <c r="F46" i="7"/>
  <c r="F43" i="7"/>
  <c r="F41" i="7"/>
  <c r="F38" i="7"/>
  <c r="F49" i="7"/>
  <c r="F51" i="7"/>
  <c r="F45" i="7"/>
  <c r="F42" i="7"/>
  <c r="F40" i="7"/>
  <c r="F59" i="7"/>
  <c r="F58" i="7"/>
  <c r="F57" i="7"/>
  <c r="F48" i="7"/>
  <c r="F50" i="7"/>
  <c r="F19" i="7"/>
  <c r="F17" i="7"/>
  <c r="F16" i="7"/>
  <c r="F10" i="7"/>
  <c r="F36" i="7"/>
  <c r="F12" i="7"/>
  <c r="F9" i="7"/>
  <c r="F35" i="7"/>
  <c r="F22" i="7"/>
  <c r="F18" i="7"/>
  <c r="F15" i="7"/>
  <c r="F14" i="7"/>
  <c r="F37" i="7"/>
  <c r="F8" i="7"/>
  <c r="F34" i="7"/>
  <c r="F23" i="7"/>
  <c r="F20" i="7"/>
  <c r="F11" i="7"/>
  <c r="F33" i="7"/>
  <c r="F6" i="7"/>
  <c r="F32" i="7"/>
  <c r="F5" i="7"/>
  <c r="F31" i="7"/>
  <c r="F4" i="7"/>
  <c r="F30" i="7"/>
  <c r="F3" i="7"/>
  <c r="F29" i="7"/>
  <c r="F21" i="7"/>
  <c r="F7" i="7"/>
  <c r="F2" i="7"/>
  <c r="F28" i="7"/>
  <c r="F13" i="7"/>
  <c r="F25" i="7"/>
  <c r="F27" i="7"/>
  <c r="F24" i="7"/>
  <c r="M71" i="6"/>
  <c r="M85" i="6"/>
  <c r="M29" i="6"/>
  <c r="M4" i="6"/>
  <c r="M26" i="6"/>
  <c r="M33" i="6"/>
  <c r="M83" i="6"/>
  <c r="M61" i="6"/>
  <c r="M77" i="6"/>
  <c r="M46" i="6"/>
  <c r="M47" i="6"/>
  <c r="M86" i="6"/>
  <c r="M24" i="6"/>
  <c r="M50" i="6"/>
  <c r="M41" i="6"/>
  <c r="M49" i="6"/>
  <c r="M89" i="6"/>
  <c r="M82" i="6"/>
  <c r="M14" i="6"/>
  <c r="M75" i="6"/>
  <c r="M43" i="6"/>
  <c r="M78" i="6"/>
  <c r="M39" i="6"/>
  <c r="M67" i="6"/>
  <c r="M40" i="6"/>
  <c r="M73" i="6"/>
  <c r="M76" i="6"/>
  <c r="M88" i="6"/>
  <c r="M35" i="6"/>
  <c r="M65" i="6"/>
  <c r="M45" i="6"/>
  <c r="F3" i="3"/>
  <c r="M37" i="6"/>
  <c r="M79" i="6"/>
  <c r="M54" i="6"/>
  <c r="M96" i="6"/>
  <c r="M38" i="6"/>
  <c r="M21" i="6"/>
  <c r="M74" i="6"/>
  <c r="M7" i="6"/>
  <c r="M2" i="6"/>
  <c r="M80" i="6"/>
  <c r="M60" i="6"/>
  <c r="M13" i="6"/>
  <c r="M8" i="6"/>
  <c r="M3" i="6"/>
  <c r="M81" i="6"/>
  <c r="M91" i="6"/>
  <c r="M9" i="6"/>
  <c r="K46" i="6"/>
  <c r="M16" i="6"/>
  <c r="M62" i="6"/>
  <c r="M69" i="6"/>
  <c r="M92" i="6"/>
  <c r="M57" i="6"/>
  <c r="M28" i="6"/>
  <c r="M52" i="6"/>
  <c r="M87" i="6"/>
  <c r="M93" i="6"/>
  <c r="M11" i="6"/>
  <c r="M25" i="6"/>
  <c r="M59" i="6"/>
  <c r="M36" i="6"/>
  <c r="M6" i="6"/>
  <c r="M63" i="6"/>
  <c r="M64" i="6"/>
  <c r="M53" i="6"/>
  <c r="M12" i="6"/>
  <c r="M51" i="6"/>
  <c r="K51" i="6"/>
  <c r="M32" i="6"/>
  <c r="M20" i="6"/>
  <c r="N135" i="6"/>
  <c r="M68" i="6"/>
  <c r="M15" i="6"/>
  <c r="N112" i="6"/>
  <c r="K61" i="6"/>
  <c r="N114" i="6"/>
  <c r="M94" i="6"/>
  <c r="M42" i="6"/>
  <c r="K65" i="6"/>
  <c r="M95" i="6"/>
  <c r="M17" i="6"/>
  <c r="M70" i="6"/>
  <c r="K48" i="6"/>
  <c r="M90" i="6"/>
  <c r="N243" i="6"/>
  <c r="N247" i="6"/>
  <c r="M30" i="6"/>
  <c r="M18" i="6"/>
  <c r="M44" i="6"/>
  <c r="M66" i="6"/>
  <c r="M58" i="6"/>
  <c r="M10" i="6"/>
  <c r="M5" i="6"/>
  <c r="M31" i="6"/>
  <c r="M19" i="6"/>
  <c r="M220" i="6" l="1"/>
  <c r="M217" i="6"/>
  <c r="M224" i="6"/>
  <c r="J314" i="6"/>
  <c r="M314" i="6" s="1"/>
  <c r="J316" i="6"/>
  <c r="M316" i="6" s="1"/>
  <c r="J285" i="6"/>
  <c r="M285" i="6" s="1"/>
  <c r="J318" i="6"/>
  <c r="K318" i="6" s="1"/>
  <c r="J304" i="6"/>
  <c r="K304" i="6" s="1"/>
  <c r="J332" i="6"/>
  <c r="M332" i="6" s="1"/>
  <c r="J315" i="6"/>
  <c r="K315" i="6" s="1"/>
  <c r="J310" i="6"/>
  <c r="M310" i="6" s="1"/>
  <c r="J313" i="6"/>
  <c r="J321" i="6"/>
  <c r="J324" i="6"/>
  <c r="J279" i="6"/>
  <c r="K279" i="6" s="1"/>
  <c r="J308" i="6"/>
  <c r="K308" i="6" s="1"/>
  <c r="J317" i="6"/>
  <c r="J305" i="6"/>
  <c r="K305" i="6" s="1"/>
  <c r="J323" i="6"/>
  <c r="J319" i="6"/>
  <c r="J320" i="6"/>
  <c r="J322" i="6"/>
  <c r="J302" i="6"/>
  <c r="K302" i="6" s="1"/>
  <c r="J281" i="6"/>
  <c r="M281" i="6" s="1"/>
  <c r="J303" i="6"/>
  <c r="M303" i="6" s="1"/>
  <c r="J307" i="6"/>
  <c r="K307" i="6" s="1"/>
  <c r="J306" i="6"/>
  <c r="J311" i="6"/>
  <c r="J301" i="6"/>
  <c r="J309" i="6"/>
  <c r="J331" i="6"/>
  <c r="M331" i="6" s="1"/>
  <c r="J278" i="6"/>
  <c r="M278" i="6" s="1"/>
  <c r="J312" i="6"/>
  <c r="J280" i="6"/>
  <c r="M280" i="6" s="1"/>
  <c r="J283" i="6"/>
  <c r="M283" i="6" s="1"/>
  <c r="J282" i="6"/>
  <c r="J284" i="6"/>
  <c r="J287" i="6"/>
  <c r="J267" i="6"/>
  <c r="K267" i="6" s="1"/>
  <c r="J277" i="6"/>
  <c r="J286" i="6"/>
  <c r="J329" i="6"/>
  <c r="M329" i="6" s="1"/>
  <c r="J288" i="6"/>
  <c r="J328" i="6"/>
  <c r="M328" i="6" s="1"/>
  <c r="J333" i="6"/>
  <c r="M333" i="6" s="1"/>
  <c r="J330" i="6"/>
  <c r="K330" i="6" s="1"/>
  <c r="J327" i="6"/>
  <c r="K327" i="6" s="1"/>
  <c r="J326" i="6"/>
  <c r="J325" i="6"/>
  <c r="J334" i="6"/>
  <c r="J266" i="6"/>
  <c r="M266" i="6" s="1"/>
  <c r="J336" i="6"/>
  <c r="J335" i="6"/>
  <c r="J209" i="6"/>
  <c r="K209" i="6" s="1"/>
  <c r="J231" i="6"/>
  <c r="K231" i="6" s="1"/>
  <c r="J269" i="6"/>
  <c r="K269" i="6" s="1"/>
  <c r="J273" i="6"/>
  <c r="M273" i="6" s="1"/>
  <c r="J268" i="6"/>
  <c r="M268" i="6" s="1"/>
  <c r="J272" i="6"/>
  <c r="K272" i="6" s="1"/>
  <c r="J271" i="6"/>
  <c r="M271" i="6" s="1"/>
  <c r="J270" i="6"/>
  <c r="J275" i="6"/>
  <c r="J265" i="6"/>
  <c r="J274" i="6"/>
  <c r="J170" i="6"/>
  <c r="K170" i="6" s="1"/>
  <c r="J276" i="6"/>
  <c r="J236" i="6"/>
  <c r="M236" i="6" s="1"/>
  <c r="J174" i="6"/>
  <c r="K174" i="6" s="1"/>
  <c r="J214" i="6"/>
  <c r="M214" i="6" s="1"/>
  <c r="J232" i="6"/>
  <c r="K232" i="6" s="1"/>
  <c r="J171" i="6"/>
  <c r="M171" i="6" s="1"/>
  <c r="J175" i="6"/>
  <c r="M175" i="6" s="1"/>
  <c r="J230" i="6"/>
  <c r="M230" i="6" s="1"/>
  <c r="J180" i="6"/>
  <c r="K180" i="6" s="1"/>
  <c r="J176" i="6"/>
  <c r="J172" i="6"/>
  <c r="J213" i="6"/>
  <c r="M213" i="6" s="1"/>
  <c r="J173" i="6"/>
  <c r="J178" i="6"/>
  <c r="J206" i="6"/>
  <c r="K206" i="6" s="1"/>
  <c r="J215" i="6"/>
  <c r="M215" i="6" s="1"/>
  <c r="J179" i="6"/>
  <c r="J207" i="6"/>
  <c r="M207" i="6" s="1"/>
  <c r="J169" i="6"/>
  <c r="J177" i="6"/>
  <c r="J234" i="6"/>
  <c r="M234" i="6" s="1"/>
  <c r="J237" i="6"/>
  <c r="M237" i="6" s="1"/>
  <c r="J239" i="6"/>
  <c r="J211" i="6"/>
  <c r="K211" i="6" s="1"/>
  <c r="J233" i="6"/>
  <c r="J212" i="6"/>
  <c r="M212" i="6" s="1"/>
  <c r="J235" i="6"/>
  <c r="J216" i="6"/>
  <c r="K216" i="6" s="1"/>
  <c r="J205" i="6"/>
  <c r="K205" i="6" s="1"/>
  <c r="J229" i="6"/>
  <c r="J238" i="6"/>
  <c r="J240" i="6"/>
  <c r="J208" i="6"/>
  <c r="J210" i="6"/>
  <c r="J158" i="6"/>
  <c r="M158" i="6" s="1"/>
  <c r="J165" i="6"/>
  <c r="K165" i="6" s="1"/>
  <c r="J162" i="6"/>
  <c r="K162" i="6" s="1"/>
  <c r="J160" i="6"/>
  <c r="K160" i="6" s="1"/>
  <c r="J161" i="6"/>
  <c r="M161" i="6" s="1"/>
  <c r="J164" i="6"/>
  <c r="K164" i="6" s="1"/>
  <c r="J167" i="6"/>
  <c r="K167" i="6" s="1"/>
  <c r="J166" i="6"/>
  <c r="M166" i="6" s="1"/>
  <c r="J129" i="6"/>
  <c r="M129" i="6" s="1"/>
  <c r="J159" i="6"/>
  <c r="J163" i="6"/>
  <c r="J157" i="6"/>
  <c r="J168" i="6"/>
  <c r="J128" i="6"/>
  <c r="K128" i="6" s="1"/>
  <c r="J124" i="6"/>
  <c r="M124" i="6" s="1"/>
  <c r="J130" i="6"/>
  <c r="K130" i="6" s="1"/>
  <c r="J123" i="6"/>
  <c r="K123" i="6" s="1"/>
  <c r="J125" i="6"/>
  <c r="K125" i="6" s="1"/>
  <c r="J122" i="6"/>
  <c r="J131" i="6"/>
  <c r="J126" i="6"/>
  <c r="J121" i="6"/>
  <c r="J127" i="6"/>
  <c r="J132" i="6"/>
  <c r="J150" i="6"/>
  <c r="K150" i="6" s="1"/>
  <c r="J147" i="6"/>
  <c r="K147" i="6" s="1"/>
  <c r="J154" i="6"/>
  <c r="K154" i="6" s="1"/>
  <c r="J151" i="6"/>
  <c r="K151" i="6" s="1"/>
  <c r="K145" i="6"/>
  <c r="M145" i="6"/>
  <c r="K156" i="6"/>
  <c r="M156" i="6"/>
  <c r="M148" i="6"/>
  <c r="K148" i="6"/>
  <c r="J149" i="6"/>
  <c r="M152" i="6"/>
  <c r="K152" i="6"/>
  <c r="M146" i="6"/>
  <c r="K146" i="6"/>
  <c r="K155" i="6"/>
  <c r="M155" i="6"/>
  <c r="K153" i="6"/>
  <c r="M153" i="6"/>
  <c r="J103" i="6"/>
  <c r="K103" i="6" s="1"/>
  <c r="M222" i="6"/>
  <c r="J108" i="6"/>
  <c r="K108" i="6" s="1"/>
  <c r="J102" i="6"/>
  <c r="M102" i="6" s="1"/>
  <c r="J100" i="6"/>
  <c r="K100" i="6" s="1"/>
  <c r="J106" i="6"/>
  <c r="M98" i="6"/>
  <c r="K98" i="6"/>
  <c r="K99" i="6"/>
  <c r="M99" i="6"/>
  <c r="J107" i="6"/>
  <c r="J101" i="6"/>
  <c r="K105" i="6"/>
  <c r="M105" i="6"/>
  <c r="K104" i="6"/>
  <c r="M104" i="6"/>
  <c r="J97" i="6"/>
  <c r="K224" i="6"/>
  <c r="H17" i="4"/>
  <c r="M228" i="6"/>
  <c r="M227" i="6"/>
  <c r="M223" i="6"/>
  <c r="K220" i="6"/>
  <c r="M219" i="6"/>
  <c r="K217" i="6"/>
  <c r="M218" i="6"/>
  <c r="M226" i="6"/>
  <c r="M225" i="6"/>
  <c r="M221" i="6"/>
  <c r="J193" i="6"/>
  <c r="K193" i="6" s="1"/>
  <c r="J204" i="6"/>
  <c r="K204" i="6" s="1"/>
  <c r="J194" i="6"/>
  <c r="M194" i="6" s="1"/>
  <c r="J197" i="6"/>
  <c r="M195" i="6"/>
  <c r="J187" i="6"/>
  <c r="K187" i="6" s="1"/>
  <c r="M189" i="6"/>
  <c r="J183" i="6"/>
  <c r="K183" i="6" s="1"/>
  <c r="J199" i="6"/>
  <c r="J198" i="6"/>
  <c r="M196" i="6"/>
  <c r="J202" i="6"/>
  <c r="J186" i="6"/>
  <c r="J190" i="6"/>
  <c r="J181" i="6"/>
  <c r="J203" i="6"/>
  <c r="J192" i="6"/>
  <c r="M191" i="6"/>
  <c r="J188" i="6"/>
  <c r="J182" i="6"/>
  <c r="J184" i="6"/>
  <c r="J200" i="6"/>
  <c r="M185" i="6"/>
  <c r="J201" i="6"/>
  <c r="J112" i="6"/>
  <c r="K112" i="6" s="1"/>
  <c r="J295" i="6"/>
  <c r="K295" i="6" s="1"/>
  <c r="J292" i="6"/>
  <c r="K292" i="6" s="1"/>
  <c r="J116" i="6"/>
  <c r="K116" i="6" s="1"/>
  <c r="J289" i="6"/>
  <c r="K289" i="6" s="1"/>
  <c r="J337" i="6"/>
  <c r="M337" i="6" s="1"/>
  <c r="J257" i="6"/>
  <c r="K257" i="6" s="1"/>
  <c r="J254" i="6"/>
  <c r="K254" i="6" s="1"/>
  <c r="J344" i="6"/>
  <c r="K344" i="6" s="1"/>
  <c r="J252" i="6"/>
  <c r="K252" i="6" s="1"/>
  <c r="J138" i="6"/>
  <c r="K138" i="6" s="1"/>
  <c r="J253" i="6"/>
  <c r="M253" i="6" s="1"/>
  <c r="J297" i="6"/>
  <c r="K297" i="6" s="1"/>
  <c r="J347" i="6"/>
  <c r="K347" i="6" s="1"/>
  <c r="J111" i="6"/>
  <c r="K111" i="6" s="1"/>
  <c r="J343" i="6"/>
  <c r="K343" i="6" s="1"/>
  <c r="J141" i="6"/>
  <c r="K141" i="6" s="1"/>
  <c r="J348" i="6"/>
  <c r="M348" i="6" s="1"/>
  <c r="J242" i="6"/>
  <c r="K242" i="6" s="1"/>
  <c r="J338" i="6"/>
  <c r="M338" i="6" s="1"/>
  <c r="J115" i="6"/>
  <c r="K115" i="6" s="1"/>
  <c r="J299" i="6"/>
  <c r="K299" i="6" s="1"/>
  <c r="J109" i="6"/>
  <c r="K109" i="6" s="1"/>
  <c r="J263" i="6"/>
  <c r="K263" i="6" s="1"/>
  <c r="J241" i="6"/>
  <c r="J340" i="6"/>
  <c r="M340" i="6" s="1"/>
  <c r="J119" i="6"/>
  <c r="K119" i="6" s="1"/>
  <c r="J117" i="6"/>
  <c r="J142" i="6"/>
  <c r="J110" i="6"/>
  <c r="M110" i="6" s="1"/>
  <c r="J136" i="6"/>
  <c r="J298" i="6"/>
  <c r="J144" i="6"/>
  <c r="J261" i="6"/>
  <c r="J134" i="6"/>
  <c r="J247" i="6"/>
  <c r="J113" i="6"/>
  <c r="J259" i="6"/>
  <c r="J140" i="6"/>
  <c r="J135" i="6"/>
  <c r="J345" i="6"/>
  <c r="J139" i="6"/>
  <c r="J291" i="6"/>
  <c r="J300" i="6"/>
  <c r="J294" i="6"/>
  <c r="J346" i="6"/>
  <c r="J255" i="6"/>
  <c r="J243" i="6"/>
  <c r="J248" i="6"/>
  <c r="J293" i="6"/>
  <c r="J114" i="6"/>
  <c r="J264" i="6"/>
  <c r="J339" i="6"/>
  <c r="J137" i="6"/>
  <c r="J143" i="6"/>
  <c r="J250" i="6"/>
  <c r="J260" i="6"/>
  <c r="J246" i="6"/>
  <c r="J296" i="6"/>
  <c r="J245" i="6"/>
  <c r="J262" i="6"/>
  <c r="J133" i="6"/>
  <c r="J120" i="6"/>
  <c r="J258" i="6"/>
  <c r="J251" i="6"/>
  <c r="J341" i="6"/>
  <c r="J249" i="6"/>
  <c r="J244" i="6"/>
  <c r="J342" i="6"/>
  <c r="J118" i="6"/>
  <c r="J256" i="6"/>
  <c r="J290" i="6"/>
  <c r="K314" i="6" l="1"/>
  <c r="M304" i="6"/>
  <c r="M315" i="6"/>
  <c r="K316" i="6"/>
  <c r="M307" i="6"/>
  <c r="M318" i="6"/>
  <c r="K283" i="6"/>
  <c r="K310" i="6"/>
  <c r="K285" i="6"/>
  <c r="M279" i="6"/>
  <c r="K332" i="6"/>
  <c r="K303" i="6"/>
  <c r="K280" i="6"/>
  <c r="M305" i="6"/>
  <c r="M308" i="6"/>
  <c r="K333" i="6"/>
  <c r="K320" i="6"/>
  <c r="M320" i="6"/>
  <c r="K323" i="6"/>
  <c r="M323" i="6"/>
  <c r="M317" i="6"/>
  <c r="K317" i="6"/>
  <c r="K281" i="6"/>
  <c r="K324" i="6"/>
  <c r="M324" i="6"/>
  <c r="M302" i="6"/>
  <c r="K321" i="6"/>
  <c r="M321" i="6"/>
  <c r="K322" i="6"/>
  <c r="M322" i="6"/>
  <c r="K319" i="6"/>
  <c r="M319" i="6"/>
  <c r="M313" i="6"/>
  <c r="K313" i="6"/>
  <c r="K331" i="6"/>
  <c r="M301" i="6"/>
  <c r="K301" i="6"/>
  <c r="M267" i="6"/>
  <c r="K278" i="6"/>
  <c r="K311" i="6"/>
  <c r="M311" i="6"/>
  <c r="K309" i="6"/>
  <c r="M309" i="6"/>
  <c r="K306" i="6"/>
  <c r="M306" i="6"/>
  <c r="K312" i="6"/>
  <c r="M312" i="6"/>
  <c r="K329" i="6"/>
  <c r="K288" i="6"/>
  <c r="M288" i="6"/>
  <c r="K286" i="6"/>
  <c r="M286" i="6"/>
  <c r="M277" i="6"/>
  <c r="K277" i="6"/>
  <c r="K287" i="6"/>
  <c r="M287" i="6"/>
  <c r="K284" i="6"/>
  <c r="M284" i="6"/>
  <c r="K282" i="6"/>
  <c r="M282" i="6"/>
  <c r="M272" i="6"/>
  <c r="K271" i="6"/>
  <c r="K328" i="6"/>
  <c r="K273" i="6"/>
  <c r="K268" i="6"/>
  <c r="M330" i="6"/>
  <c r="M269" i="6"/>
  <c r="M327" i="6"/>
  <c r="M231" i="6"/>
  <c r="K335" i="6"/>
  <c r="M335" i="6"/>
  <c r="K336" i="6"/>
  <c r="M336" i="6"/>
  <c r="K266" i="6"/>
  <c r="M334" i="6"/>
  <c r="K334" i="6"/>
  <c r="M325" i="6"/>
  <c r="K325" i="6"/>
  <c r="K326" i="6"/>
  <c r="M326" i="6"/>
  <c r="M209" i="6"/>
  <c r="M180" i="6"/>
  <c r="K237" i="6"/>
  <c r="K274" i="6"/>
  <c r="M274" i="6"/>
  <c r="K276" i="6"/>
  <c r="M276" i="6"/>
  <c r="M265" i="6"/>
  <c r="K265" i="6"/>
  <c r="K275" i="6"/>
  <c r="M275" i="6"/>
  <c r="M174" i="6"/>
  <c r="M170" i="6"/>
  <c r="K171" i="6"/>
  <c r="M270" i="6"/>
  <c r="K270" i="6"/>
  <c r="K236" i="6"/>
  <c r="K213" i="6"/>
  <c r="M232" i="6"/>
  <c r="K214" i="6"/>
  <c r="K175" i="6"/>
  <c r="K230" i="6"/>
  <c r="K215" i="6"/>
  <c r="M206" i="6"/>
  <c r="M211" i="6"/>
  <c r="M216" i="6"/>
  <c r="K179" i="6"/>
  <c r="M179" i="6"/>
  <c r="M173" i="6"/>
  <c r="K173" i="6"/>
  <c r="K172" i="6"/>
  <c r="M172" i="6"/>
  <c r="K207" i="6"/>
  <c r="K177" i="6"/>
  <c r="M177" i="6"/>
  <c r="M169" i="6"/>
  <c r="K169" i="6"/>
  <c r="K178" i="6"/>
  <c r="M178" i="6"/>
  <c r="K176" i="6"/>
  <c r="M176" i="6"/>
  <c r="K234" i="6"/>
  <c r="K212" i="6"/>
  <c r="M229" i="6"/>
  <c r="K229" i="6"/>
  <c r="K240" i="6"/>
  <c r="M240" i="6"/>
  <c r="K238" i="6"/>
  <c r="M238" i="6"/>
  <c r="K235" i="6"/>
  <c r="M235" i="6"/>
  <c r="K233" i="6"/>
  <c r="M233" i="6"/>
  <c r="M205" i="6"/>
  <c r="K239" i="6"/>
  <c r="M239" i="6"/>
  <c r="M208" i="6"/>
  <c r="K208" i="6"/>
  <c r="M210" i="6"/>
  <c r="K210" i="6"/>
  <c r="M162" i="6"/>
  <c r="K158" i="6"/>
  <c r="K161" i="6"/>
  <c r="M165" i="6"/>
  <c r="M164" i="6"/>
  <c r="M125" i="6"/>
  <c r="M167" i="6"/>
  <c r="M123" i="6"/>
  <c r="M160" i="6"/>
  <c r="K166" i="6"/>
  <c r="K129" i="6"/>
  <c r="K168" i="6"/>
  <c r="M168" i="6"/>
  <c r="M157" i="6"/>
  <c r="K157" i="6"/>
  <c r="K163" i="6"/>
  <c r="M163" i="6"/>
  <c r="M159" i="6"/>
  <c r="K159" i="6"/>
  <c r="M130" i="6"/>
  <c r="M147" i="6"/>
  <c r="M128" i="6"/>
  <c r="K124" i="6"/>
  <c r="K121" i="6"/>
  <c r="M121" i="6"/>
  <c r="M154" i="6"/>
  <c r="M126" i="6"/>
  <c r="K126" i="6"/>
  <c r="K131" i="6"/>
  <c r="M131" i="6"/>
  <c r="K132" i="6"/>
  <c r="M132" i="6"/>
  <c r="K127" i="6"/>
  <c r="M127" i="6"/>
  <c r="M122" i="6"/>
  <c r="K122" i="6"/>
  <c r="M151" i="6"/>
  <c r="M150" i="6"/>
  <c r="M149" i="6"/>
  <c r="K149" i="6"/>
  <c r="M103" i="6"/>
  <c r="M108" i="6"/>
  <c r="K102" i="6"/>
  <c r="M100" i="6"/>
  <c r="K97" i="6"/>
  <c r="M97" i="6"/>
  <c r="K101" i="6"/>
  <c r="M101" i="6"/>
  <c r="K107" i="6"/>
  <c r="M107" i="6"/>
  <c r="K106" i="6"/>
  <c r="M106" i="6"/>
  <c r="M183" i="6"/>
  <c r="M204" i="6"/>
  <c r="M193" i="6"/>
  <c r="M187" i="6"/>
  <c r="K194" i="6"/>
  <c r="K197" i="6"/>
  <c r="M197" i="6"/>
  <c r="K184" i="6"/>
  <c r="M184" i="6"/>
  <c r="K200" i="6"/>
  <c r="M200" i="6"/>
  <c r="K182" i="6"/>
  <c r="M182" i="6"/>
  <c r="K201" i="6"/>
  <c r="M201" i="6"/>
  <c r="K203" i="6"/>
  <c r="M203" i="6"/>
  <c r="M188" i="6"/>
  <c r="K188" i="6"/>
  <c r="M192" i="6"/>
  <c r="K192" i="6"/>
  <c r="K181" i="6"/>
  <c r="M181" i="6"/>
  <c r="K190" i="6"/>
  <c r="M190" i="6"/>
  <c r="K186" i="6"/>
  <c r="M186" i="6"/>
  <c r="K202" i="6"/>
  <c r="M202" i="6"/>
  <c r="K198" i="6"/>
  <c r="M198" i="6"/>
  <c r="K199" i="6"/>
  <c r="M199" i="6"/>
  <c r="M292" i="6"/>
  <c r="M295" i="6"/>
  <c r="M112" i="6"/>
  <c r="K337" i="6"/>
  <c r="M257" i="6"/>
  <c r="M289" i="6"/>
  <c r="M116" i="6"/>
  <c r="M347" i="6"/>
  <c r="M138" i="6"/>
  <c r="M254" i="6"/>
  <c r="M252" i="6"/>
  <c r="M344" i="6"/>
  <c r="M297" i="6"/>
  <c r="K110" i="6"/>
  <c r="M109" i="6"/>
  <c r="M343" i="6"/>
  <c r="K253" i="6"/>
  <c r="M115" i="6"/>
  <c r="M141" i="6"/>
  <c r="M263" i="6"/>
  <c r="M111" i="6"/>
  <c r="K241" i="6"/>
  <c r="M241" i="6"/>
  <c r="K340" i="6"/>
  <c r="K338" i="6"/>
  <c r="M299" i="6"/>
  <c r="K348" i="6"/>
  <c r="M242" i="6"/>
  <c r="M119" i="6"/>
  <c r="K142" i="6"/>
  <c r="M142" i="6"/>
  <c r="K117" i="6"/>
  <c r="M117" i="6"/>
  <c r="K114" i="6"/>
  <c r="M114" i="6"/>
  <c r="K113" i="6"/>
  <c r="M113" i="6"/>
  <c r="K249" i="6"/>
  <c r="M249" i="6"/>
  <c r="M258" i="6"/>
  <c r="K258" i="6"/>
  <c r="K135" i="6"/>
  <c r="M135" i="6"/>
  <c r="K259" i="6"/>
  <c r="M259" i="6"/>
  <c r="K247" i="6"/>
  <c r="M247" i="6"/>
  <c r="K144" i="6"/>
  <c r="M144" i="6"/>
  <c r="M339" i="6"/>
  <c r="K339" i="6"/>
  <c r="K134" i="6"/>
  <c r="M134" i="6"/>
  <c r="K261" i="6"/>
  <c r="M261" i="6"/>
  <c r="K256" i="6"/>
  <c r="M256" i="6"/>
  <c r="K250" i="6"/>
  <c r="M250" i="6"/>
  <c r="M346" i="6"/>
  <c r="K346" i="6"/>
  <c r="M260" i="6"/>
  <c r="K260" i="6"/>
  <c r="K251" i="6"/>
  <c r="M251" i="6"/>
  <c r="K133" i="6"/>
  <c r="M133" i="6"/>
  <c r="K294" i="6"/>
  <c r="M294" i="6"/>
  <c r="K264" i="6"/>
  <c r="M264" i="6"/>
  <c r="K246" i="6"/>
  <c r="M246" i="6"/>
  <c r="K120" i="6"/>
  <c r="M120" i="6"/>
  <c r="K296" i="6"/>
  <c r="M296" i="6"/>
  <c r="M341" i="6"/>
  <c r="K341" i="6"/>
  <c r="M342" i="6"/>
  <c r="K342" i="6"/>
  <c r="M262" i="6"/>
  <c r="K262" i="6"/>
  <c r="K137" i="6"/>
  <c r="M137" i="6"/>
  <c r="K291" i="6"/>
  <c r="M291" i="6"/>
  <c r="K136" i="6"/>
  <c r="M136" i="6"/>
  <c r="K293" i="6"/>
  <c r="M293" i="6"/>
  <c r="K243" i="6"/>
  <c r="M243" i="6"/>
  <c r="K290" i="6"/>
  <c r="M290" i="6"/>
  <c r="K118" i="6"/>
  <c r="M118" i="6"/>
  <c r="K143" i="6"/>
  <c r="M143" i="6"/>
  <c r="K245" i="6"/>
  <c r="M245" i="6"/>
  <c r="K139" i="6"/>
  <c r="M139" i="6"/>
  <c r="K244" i="6"/>
  <c r="M244" i="6"/>
  <c r="M345" i="6"/>
  <c r="K345" i="6"/>
  <c r="K140" i="6"/>
  <c r="M140" i="6"/>
  <c r="K248" i="6"/>
  <c r="M248" i="6"/>
  <c r="K255" i="6"/>
  <c r="M255" i="6"/>
  <c r="K298" i="6"/>
  <c r="M298" i="6"/>
  <c r="K300" i="6"/>
  <c r="M30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540DB-5E80-42B9-A829-79AEBCFB3EA7}" keepAlive="1" name="Query - 2025 SSC Productivity Baseline" description="Connection to the '2025 SSC Productivity Baseline' query in the workbook." type="5" refreshedVersion="8" background="1" saveData="1">
    <dbPr connection="Provider=Microsoft.Mashup.OleDb.1;Data Source=$Workbook$;Location=&quot;2025 SSC Productivity Baseline&quot;;Extended Properties=&quot;&quot;" command="SELECT * FROM [2025 SSC Productivity Baselin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<sst xmlns="http://schemas.openxmlformats.org/spreadsheetml/2006/main" count="2815" uniqueCount="349">
  <si>
    <t>Year</t>
    <phoneticPr fontId="0" type="noConversion"/>
  </si>
  <si>
    <t>Month</t>
  </si>
  <si>
    <t>Process</t>
    <phoneticPr fontId="0" type="noConversion"/>
  </si>
  <si>
    <t>No. of Transaction</t>
    <phoneticPr fontId="0" type="noConversion"/>
  </si>
  <si>
    <t>Production Days</t>
    <phoneticPr fontId="0" type="noConversion"/>
  </si>
  <si>
    <t>FTE-WUHAN</t>
  </si>
  <si>
    <t>FTE-MNL</t>
  </si>
  <si>
    <t>CH-Standard Working Days</t>
  </si>
  <si>
    <t>PH-Standard Working Days</t>
  </si>
  <si>
    <t>Weighted Working day</t>
    <phoneticPr fontId="0" type="noConversion"/>
  </si>
  <si>
    <t>Capacity FTE</t>
  </si>
  <si>
    <t>Productivity Baseline (Transation/FTE/Day)</t>
    <phoneticPr fontId="0" type="noConversion"/>
  </si>
  <si>
    <t>Workload FTE</t>
    <phoneticPr fontId="0" type="noConversion"/>
  </si>
  <si>
    <t>Actual Productivity</t>
  </si>
  <si>
    <t>January</t>
  </si>
  <si>
    <t>Sea Freight - Accounts Payable Operation</t>
  </si>
  <si>
    <t>**weighted working day was not implemented in 2024</t>
  </si>
  <si>
    <t>February</t>
  </si>
  <si>
    <t>March</t>
  </si>
  <si>
    <t>April</t>
  </si>
  <si>
    <t>May</t>
  </si>
  <si>
    <t>June</t>
  </si>
  <si>
    <t>July</t>
  </si>
  <si>
    <t>August</t>
    <phoneticPr fontId="0" type="noConversion"/>
  </si>
  <si>
    <t>September</t>
    <phoneticPr fontId="0" type="noConversion"/>
  </si>
  <si>
    <t>October</t>
  </si>
  <si>
    <t>November</t>
  </si>
  <si>
    <t>December</t>
  </si>
  <si>
    <t>Sales - Customer Quotations</t>
  </si>
  <si>
    <t>Sea Freight - RFQ Analytics &amp; Pricing</t>
  </si>
  <si>
    <t>October</t>
    <phoneticPr fontId="0" type="noConversion"/>
  </si>
  <si>
    <t>Fin AR &amp;AP</t>
    <phoneticPr fontId="0" type="noConversion"/>
  </si>
  <si>
    <t>Air Freight - Hellmann Marine Solutions</t>
  </si>
  <si>
    <t>September</t>
  </si>
  <si>
    <t>Finance - Master Data Management</t>
  </si>
  <si>
    <t>Air Freight - Operation</t>
  </si>
  <si>
    <t>Sea Freight - Invoicing &amp; Billing</t>
  </si>
  <si>
    <t>Finance - Accounts Payable</t>
  </si>
  <si>
    <t>Finance - Accounts Receivables</t>
  </si>
  <si>
    <t>Finance - Credit Control</t>
  </si>
  <si>
    <t>Service Description</t>
  </si>
  <si>
    <t>Country</t>
  </si>
  <si>
    <t>Year</t>
  </si>
  <si>
    <t>FTE</t>
  </si>
  <si>
    <t>Service Owner</t>
  </si>
  <si>
    <t>WUH</t>
  </si>
  <si>
    <t>August</t>
  </si>
  <si>
    <t>MNL</t>
  </si>
  <si>
    <t>China</t>
  </si>
  <si>
    <t>Philippine</t>
  </si>
  <si>
    <t>Title</t>
  </si>
  <si>
    <t>Year to use</t>
  </si>
  <si>
    <t>TotalNoofTransactions</t>
  </si>
  <si>
    <t>TotalProductionDays</t>
  </si>
  <si>
    <t>ProductivityBaseline</t>
  </si>
  <si>
    <t>CalculationPeriod</t>
  </si>
  <si>
    <t>Remarks</t>
  </si>
  <si>
    <t>2024.08- 2024.12</t>
  </si>
  <si>
    <t>　</t>
  </si>
  <si>
    <t>2024.01- 2024.12</t>
  </si>
  <si>
    <t>2024.08-2024.12</t>
  </si>
  <si>
    <t xml:space="preserve">Converted Mini RFQs to SPOT Quotes by workload ratio </t>
  </si>
  <si>
    <t>Fin AR &amp;AP</t>
  </si>
  <si>
    <t>2024.06-2024.12</t>
  </si>
  <si>
    <t xml:space="preserve">Service scope change </t>
  </si>
  <si>
    <t>Jun2024-Dec2024</t>
  </si>
  <si>
    <t>Jan2025 - Jun2025</t>
  </si>
  <si>
    <t>Finance - Bank Reconciliation</t>
  </si>
  <si>
    <t>Jan2025 - Sep2025</t>
  </si>
  <si>
    <t>Date</t>
  </si>
  <si>
    <t>Count</t>
  </si>
  <si>
    <t>Actual FTE</t>
  </si>
  <si>
    <t>Shared Service Center - Asia Pacific</t>
  </si>
  <si>
    <t>Service Overview</t>
  </si>
  <si>
    <t>SSC (Shared Services)</t>
  </si>
  <si>
    <t>Update: 02 Sep 2025</t>
  </si>
  <si>
    <t>DSC (Direct Services)</t>
  </si>
  <si>
    <t>Total</t>
  </si>
  <si>
    <t>Function</t>
  </si>
  <si>
    <t>Service Delivery</t>
  </si>
  <si>
    <t>Service Description For Invoicing &amp; SLA</t>
  </si>
  <si>
    <t>Service Level</t>
  </si>
  <si>
    <t>Detailed Description</t>
  </si>
  <si>
    <t>KPI Target Measurement
(per FTE)</t>
  </si>
  <si>
    <t>KPI Target Quantity (Day/FTE)</t>
  </si>
  <si>
    <t>2024 Baseline</t>
    <phoneticPr fontId="0" type="noConversion"/>
  </si>
  <si>
    <t>Daily Dashboard Set-up</t>
    <phoneticPr fontId="0" type="noConversion"/>
  </si>
  <si>
    <t>Monthly Dashboard</t>
    <phoneticPr fontId="0" type="noConversion"/>
  </si>
  <si>
    <t>Service Lead</t>
  </si>
  <si>
    <t>Data source</t>
  </si>
  <si>
    <t>Sea Freight</t>
  </si>
  <si>
    <t>Operation - Singapore</t>
  </si>
  <si>
    <t>SSC</t>
  </si>
  <si>
    <t>- Manage sea freight operations
- Coordinate shipments
- File opening, documentation, track&amp;trace</t>
  </si>
  <si>
    <t>Shipments</t>
  </si>
  <si>
    <t>Singapore only, dashboard ready (FTE =1)</t>
  </si>
  <si>
    <t>Yes</t>
  </si>
  <si>
    <t>Sasha Yan</t>
  </si>
  <si>
    <t>Invoicing &amp; Billing</t>
  </si>
  <si>
    <t>- Generate invoices
- Validate billing data
- Resolve discrepancies</t>
  </si>
  <si>
    <t>Invoices</t>
  </si>
  <si>
    <t>Accounts Payable Operation</t>
  </si>
  <si>
    <t>- Process payable entries
- Match invoices to services
- Verify accruals vs actual billing</t>
  </si>
  <si>
    <t>Vendor Invoice Auditing</t>
  </si>
  <si>
    <t xml:space="preserve">- Review vendor invoices
- Verify accuracy
- Vendor dispute management </t>
  </si>
  <si>
    <t>dashboard combines both Air and Sea (AU only)</t>
  </si>
  <si>
    <t>Air Freight</t>
  </si>
  <si>
    <t>Network Product Pricing</t>
  </si>
  <si>
    <t>Air Freight - Network Product Pricing</t>
  </si>
  <si>
    <t>- Set product pricing in alignment with country
- Manages HWL overseas pricing requests
- Ensure competitive offers</t>
  </si>
  <si>
    <t>Requests</t>
  </si>
  <si>
    <t>Coco Fan</t>
  </si>
  <si>
    <t>Finance</t>
  </si>
  <si>
    <t>Accounts Receivables</t>
  </si>
  <si>
    <t>- Customer Communication and Collection
- Follow up with customer on late payments
- Payment Tracking and Reconciliation</t>
  </si>
  <si>
    <t>Posted customer payments</t>
  </si>
  <si>
    <t>Source: MS Dynamics</t>
  </si>
  <si>
    <t>Lovely Rose</t>
  </si>
  <si>
    <t>Customs Compiler</t>
  </si>
  <si>
    <t>- Compile customs data
- Ensure regulatory compliance
- Support documentation</t>
  </si>
  <si>
    <t>Transactions</t>
  </si>
  <si>
    <t>Dashboard ready AU only</t>
  </si>
  <si>
    <t>3PL Control Tower</t>
  </si>
  <si>
    <t>- Centralized customer point of contact
- Coordinates bookings, operations and billing
- Reporting and Analytics</t>
  </si>
  <si>
    <t>No dashboard, coming from Nextracker</t>
  </si>
  <si>
    <t>No</t>
  </si>
  <si>
    <t>Trade Management</t>
  </si>
  <si>
    <t>DSC</t>
  </si>
  <si>
    <t xml:space="preserve">- Procurement with carriers
- Defines Product Pricing Strategy
- Manages the trade lane </t>
  </si>
  <si>
    <t>No need</t>
  </si>
  <si>
    <t>Allocation Management</t>
  </si>
  <si>
    <t>- Allocate space based on carrier agreements
- Optimize load planning
- Monitors customer award vs actual volumes</t>
  </si>
  <si>
    <t>Operation</t>
  </si>
  <si>
    <t>- Manage air freight operations
- Coordinate shipments
- File opening, documentation, track&amp;trace</t>
  </si>
  <si>
    <t>Singapore Account</t>
  </si>
  <si>
    <t>Hellmann Express (HEX)</t>
  </si>
  <si>
    <t>- Manage express shipments
- Central customer service
- Onboarding of new customers</t>
  </si>
  <si>
    <t>Accounts Payable</t>
  </si>
  <si>
    <t>- Verify and review invoices
- Execute payments
- Vendor Management and Reconciliation</t>
  </si>
  <si>
    <t>Posted vendor payments</t>
  </si>
  <si>
    <t>Winston</t>
  </si>
  <si>
    <t>Hellmann Marine Solutions</t>
  </si>
  <si>
    <t>- Provide marine solutions
- Handle specialized cargo
- Ensure safe transport</t>
  </si>
  <si>
    <t>Bank Reconciliation</t>
  </si>
  <si>
    <t>- Reconcile bank statements
- Match transactions
- Ensure accuracy</t>
  </si>
  <si>
    <t>Posted incoming and outgoing transactions</t>
  </si>
  <si>
    <t>Carlo</t>
  </si>
  <si>
    <t>Sales</t>
  </si>
  <si>
    <t>Operation Account Management</t>
  </si>
  <si>
    <t>- Manage customer accounts
- Facilitate Escalations and Resolve issues
- SOP design and maintenance, training</t>
  </si>
  <si>
    <t>GP 
Voice of customer</t>
  </si>
  <si>
    <t>Inside Sales</t>
  </si>
  <si>
    <t>- Qualify leads
- Customer business development
- Support growth of small customers</t>
  </si>
  <si>
    <t>Win%
Sales Lead</t>
  </si>
  <si>
    <t>Job Costing Ledger Controlling</t>
  </si>
  <si>
    <t>Finance - Job Costing Ledger Controlling</t>
  </si>
  <si>
    <t>- GP and profitability monitoring
- Regular communication with country management
- Business analytics and reporting</t>
  </si>
  <si>
    <t>TBD</t>
  </si>
  <si>
    <t>To be defined</t>
  </si>
  <si>
    <t>Yes-Later</t>
  </si>
  <si>
    <t>Operation &amp; Performance</t>
  </si>
  <si>
    <t>- Monitor Sales performance
- Improve operations
- track KPIs</t>
  </si>
  <si>
    <t>Marketing</t>
  </si>
  <si>
    <t>- Promote services
- Manage campaigns
- Enhance brand visibility</t>
  </si>
  <si>
    <t>Business Analytics &amp; Development</t>
  </si>
  <si>
    <t>- Analyze business data
- Development of PowerApps and Power BI
- Manages automatization projects</t>
  </si>
  <si>
    <t>Cost Savings/Productivity Improvement</t>
  </si>
  <si>
    <t>Opportunity Management</t>
  </si>
  <si>
    <t>- Manage customer air and sea RFQ's
- Analyze and qualify RFQ feedback
- Facilitate pricing and solution strategy</t>
  </si>
  <si>
    <t>RFQ</t>
  </si>
  <si>
    <t>Credit Control</t>
  </si>
  <si>
    <t>- Manage credit limits
- Assess risks
- Credit insurance review and approval</t>
  </si>
  <si>
    <t>Credit Applications</t>
  </si>
  <si>
    <t>Source:Data Verse Tool</t>
  </si>
  <si>
    <t>Master Data Management</t>
  </si>
  <si>
    <t>- Maintain master data
- Verify and open new vendor codes
- Manage requests and approvals</t>
  </si>
  <si>
    <t>Accounts Payable - Non Netting Agents</t>
  </si>
  <si>
    <t>- Handle non-netting agents payments
- Process payments</t>
  </si>
  <si>
    <t>to check</t>
  </si>
  <si>
    <t>Customer Quotations</t>
  </si>
  <si>
    <t>- Prepare customer quotes
- Ensure customer requirements are met
- Create CW1 Quick Booking</t>
  </si>
  <si>
    <t>Quotations</t>
  </si>
  <si>
    <t>Customer Reporting</t>
  </si>
  <si>
    <t>Sales - Customer Reporting</t>
  </si>
  <si>
    <t>- Provide volume and invoice reporting
- Develop and maintain standardized reporting
- Provide customer related information</t>
  </si>
  <si>
    <t>Reports</t>
  </si>
  <si>
    <t>Business Controlling</t>
  </si>
  <si>
    <t>- Monitor financials
- Support budgeting
- Analyze performance</t>
  </si>
  <si>
    <t>RFQ Analytics &amp; Pricing</t>
  </si>
  <si>
    <t>- Analyze RFQs
- Support pricing strategy
- Rate prefilling and alignment with countries</t>
  </si>
  <si>
    <t>Reporting &amp; Analytics</t>
  </si>
  <si>
    <t>- Generate reports
- Analyze trends
- Support management decision-making</t>
  </si>
  <si>
    <t>Sea Freight - Network Product Pricing</t>
  </si>
  <si>
    <t>Information Technology</t>
  </si>
  <si>
    <t>- Roll-out and management MS Dynamics
- System enhancements and configurations
- Technical support</t>
  </si>
  <si>
    <t>4PL</t>
  </si>
  <si>
    <t>- Manage 4PL operations
- Coordinate customer logistics flows
- Ensure service delivery</t>
  </si>
  <si>
    <t>Use existing dahsboard (mondelez), missing production day</t>
  </si>
  <si>
    <t>Overview Productivity - ICT - MDLZ - Power BI</t>
  </si>
  <si>
    <t>IT</t>
  </si>
  <si>
    <t>Service Desk</t>
  </si>
  <si>
    <t>- Provide IT support
- Resolve issues
- Manages and assign tickets</t>
  </si>
  <si>
    <t>Tickets</t>
  </si>
  <si>
    <t xml:space="preserve">Network </t>
  </si>
  <si>
    <t>- Design and implement network solutions
- Monitor and troubleshoot network performance
- Maintain network security</t>
  </si>
  <si>
    <t>Cyber Security</t>
  </si>
  <si>
    <t>- Protect systems
- Monitor threats
- Ensure data security</t>
  </si>
  <si>
    <t>Server &amp; Cloud</t>
  </si>
  <si>
    <t>- Manage servers
- Support cloud services
- Ensure uptime</t>
  </si>
  <si>
    <t>Warehouse Management System</t>
  </si>
  <si>
    <t>- Develop WMS solutions
- Support warehouse operations
- Implementation and optimization of WMS systems</t>
  </si>
  <si>
    <t>DTI</t>
  </si>
  <si>
    <t>Customer Implementation</t>
  </si>
  <si>
    <t>- Implement customer business
- Ensure smooth onboarding
- Develop SOP and training</t>
  </si>
  <si>
    <t>Projects</t>
  </si>
  <si>
    <t>Contract Logistics</t>
  </si>
  <si>
    <t>- Invoice management
- Validate logistics charges
- Resolve billing issues</t>
  </si>
  <si>
    <t>Dashboard ready</t>
  </si>
  <si>
    <t>Solutions</t>
  </si>
  <si>
    <t>- Design logistics solutions
- Optimize operations
- Lead system and solution implementations</t>
  </si>
  <si>
    <t>HR</t>
  </si>
  <si>
    <t>- Manage HR tasks
- Support payroll
- Manage employee live cycle</t>
  </si>
  <si>
    <t>Talent Management</t>
  </si>
  <si>
    <t>- Talent management
- Employee Performance Management
- Succession planning</t>
  </si>
  <si>
    <t>Talent &amp; Organizational Development</t>
  </si>
  <si>
    <t>- Talent management strategy
- Performance Management
- Workday enhancement</t>
  </si>
  <si>
    <t>Legal</t>
  </si>
  <si>
    <t>Power App Development</t>
  </si>
  <si>
    <t>- Build Power Apps
- Automate workflows
- Support legal operations</t>
  </si>
  <si>
    <t>Third-Party Risk Management</t>
  </si>
  <si>
    <t>- Assess third-party risks
- Ensure compliance
- TPRM system and process development</t>
  </si>
  <si>
    <t>Management</t>
  </si>
  <si>
    <t>SSC General</t>
  </si>
  <si>
    <t>Overhead</t>
  </si>
  <si>
    <t>- SSC General Management 
- SSC Administration and Procurement</t>
  </si>
  <si>
    <t>SSC Sales &amp; Business Analytics</t>
  </si>
  <si>
    <t>- SSC Sales Management
- Business Analytics to improve transparency
- Drive automatization</t>
  </si>
  <si>
    <t>SSC Finance</t>
  </si>
  <si>
    <t>- SSC Accounting 
- Finance service delivery</t>
  </si>
  <si>
    <t>SSC HR</t>
  </si>
  <si>
    <t>- SSC Human Resource and employee welfare
- HR Service Delivery</t>
  </si>
  <si>
    <t>SSC IT</t>
  </si>
  <si>
    <t>- SSC Local IT Administration
- IT Hardware and software management</t>
  </si>
  <si>
    <t>SSC Air &amp; Sea &amp; Supply Chain Operation</t>
  </si>
  <si>
    <t>- SSC Operation Service Delivery
- SSC Supply Chain Service Delivery</t>
  </si>
  <si>
    <t>SSC Operation Excellence</t>
  </si>
  <si>
    <t>- SSC Process Improvement
- Migration support</t>
  </si>
  <si>
    <t>Operation - Australia</t>
  </si>
  <si>
    <t>For Australia (transaction based FTE=8)</t>
  </si>
  <si>
    <t>Analysis</t>
  </si>
  <si>
    <t>Daily Dashboard</t>
  </si>
  <si>
    <t>TOTAL</t>
  </si>
  <si>
    <t>Monthly Dashboard</t>
  </si>
  <si>
    <t>Captured data</t>
  </si>
  <si>
    <t>Process Name</t>
  </si>
  <si>
    <t>Process Owner</t>
  </si>
  <si>
    <t>PBI Dashboard Name</t>
  </si>
  <si>
    <t>MDM Performance Dashboard</t>
  </si>
  <si>
    <t>SF Operation Billing Performance Report</t>
  </si>
  <si>
    <t>AF Export &amp; Import</t>
  </si>
  <si>
    <t>AF I&amp;E</t>
  </si>
  <si>
    <t>Dashboard deprecated; Ms coco prefer manual update (4/16/2025 @ 9:43 AM)</t>
  </si>
  <si>
    <t>SF RFQ Pricing</t>
  </si>
  <si>
    <t>Fin AR &amp; AP</t>
  </si>
  <si>
    <t>Winston/Anabel</t>
  </si>
  <si>
    <t>FINANCE SSC DASHBOARD_INTERNAL</t>
  </si>
  <si>
    <t>LIST of Captured Process</t>
  </si>
  <si>
    <t>Pending</t>
  </si>
  <si>
    <t>INDEX(stdWorkingDays,MATCH([@Year]&amp;[@Month],stdWorkingDays[Year]&amp;stdWorkingDays[Month],0),MATCH("China",stdWorkingDays[#Headers],0))</t>
  </si>
  <si>
    <t>go to AP sheet</t>
  </si>
  <si>
    <t>go to AR sheet</t>
  </si>
  <si>
    <t>go to Credit control sheet</t>
  </si>
  <si>
    <t>Abraham Carlo Garcia</t>
  </si>
  <si>
    <t>pending</t>
  </si>
  <si>
    <t>TBA</t>
  </si>
  <si>
    <t>Sales - Customer Quotation</t>
  </si>
  <si>
    <t>Rey Michael Estela</t>
  </si>
  <si>
    <t>manual input by ms coco</t>
  </si>
  <si>
    <t>4PL - Operation</t>
  </si>
  <si>
    <t>Air Freight - Operation Australia</t>
  </si>
  <si>
    <t>Air Freight - Operation Singapore</t>
  </si>
  <si>
    <t>Air Freight - Accounts Payable Operation</t>
  </si>
  <si>
    <t>Air Freight - Vendor Invoice Auditing</t>
  </si>
  <si>
    <t>Sea Freight - Operation Singapore</t>
  </si>
  <si>
    <t>Active?</t>
  </si>
  <si>
    <t>Air Freight - Operation - Australia</t>
  </si>
  <si>
    <t>detectDuplicate</t>
  </si>
  <si>
    <t>Air Freight - Hellmann Marine Solution</t>
  </si>
  <si>
    <t>Singapore account - not needed as per Ms sasha</t>
  </si>
  <si>
    <t xml:space="preserve">Operations - branched into 2 accounts AU/SG </t>
  </si>
  <si>
    <t>Finance - Master Database Management</t>
  </si>
  <si>
    <t>Confirm if this is "Sea Freight - Vendor Invoice Auditing"</t>
  </si>
  <si>
    <t>Sea Freight - Customs Compiler</t>
  </si>
  <si>
    <t>Sea Freight - Operation Australia</t>
  </si>
  <si>
    <t>Leny Cenidoza</t>
  </si>
  <si>
    <t>Contract Logistics - Invoice &amp; Billing</t>
  </si>
  <si>
    <t>Air Freight - Operation - Singapore</t>
  </si>
  <si>
    <t>Contract Logistics - Invoicing &amp; Billing</t>
  </si>
  <si>
    <t>Sea Freight - Operation - Singapore</t>
  </si>
  <si>
    <t>Sea Freight - Vendor Invoice Auditing</t>
  </si>
  <si>
    <t>Sea Freight - Operation - Australia</t>
  </si>
  <si>
    <t>self defined</t>
  </si>
  <si>
    <t>duplicateCode</t>
  </si>
  <si>
    <t>Required Accounts</t>
  </si>
  <si>
    <t>Needed Daily?</t>
  </si>
  <si>
    <t>Needed Monthly?</t>
  </si>
  <si>
    <t>Need to verify if this is the correct PBI</t>
  </si>
  <si>
    <t>AU Customs Compiler - AU Operation Performance Dashboard - Power BI</t>
  </si>
  <si>
    <t>AU Contract Logistic - AU Operation Performance Dashboard - Power BI</t>
  </si>
  <si>
    <t>AU AF Operation - AU Operation Performance Dashboard - Power BI</t>
  </si>
  <si>
    <t>APAC AP Invoice Performance - AP Invoice Performance Reports - Power BI</t>
  </si>
  <si>
    <r>
      <t xml:space="preserve">Singapore Account </t>
    </r>
    <r>
      <rPr>
        <sz val="11"/>
        <color rgb="FFFF0000"/>
        <rFont val="Calibri"/>
        <family val="2"/>
      </rPr>
      <t>(existing dashboard AF I&amp;E need confirmation)</t>
    </r>
  </si>
  <si>
    <t/>
  </si>
  <si>
    <t>Datasource Remarks</t>
  </si>
  <si>
    <t>use "Invoice Billing" visual</t>
  </si>
  <si>
    <t>use "Total Transaction" visual</t>
  </si>
  <si>
    <t>Australia account dashboard ready</t>
  </si>
  <si>
    <t>AU SF OPS - AU SF Performance Dashboard - Power BI</t>
  </si>
  <si>
    <t>AU AP Invoice Performance - AP Invoice Performance Reports - Power BI</t>
  </si>
  <si>
    <t>Need to verify if this Service is same with "Air Freight/Sea Freight - Vendor Invoice Auditing"</t>
  </si>
  <si>
    <t>Is it Separate with Sea Freight?</t>
  </si>
  <si>
    <t>Is it Separate with Air Freight?</t>
  </si>
  <si>
    <t>Pending datasource</t>
  </si>
  <si>
    <r>
      <t xml:space="preserve">use "AF Productivity - Export &amp; Import" Visual
</t>
    </r>
    <r>
      <rPr>
        <sz val="11"/>
        <color rgb="FFFF0000"/>
        <rFont val="Calibri"/>
        <family val="2"/>
      </rPr>
      <t>(is the "AF I&amp;E" the correct PBI datasource??)</t>
    </r>
  </si>
  <si>
    <t>MDM Data Steward from old source</t>
  </si>
  <si>
    <t>need to follow up</t>
  </si>
  <si>
    <t>There is a duplicate dashboard in the Workspace
use first 6 months</t>
  </si>
  <si>
    <t>FIN-EUR Ticketing System</t>
  </si>
  <si>
    <t>Sharepoint List created by Morie</t>
  </si>
  <si>
    <t>FINANCE-SSC Dashbord</t>
  </si>
  <si>
    <t>declared by Ms sasha</t>
  </si>
  <si>
    <t xml:space="preserve">Service Account is pending </t>
  </si>
  <si>
    <r>
      <t xml:space="preserve">dashboard combines both Air and Sea (AU only)
</t>
    </r>
    <r>
      <rPr>
        <b/>
        <sz val="11"/>
        <color theme="1" tint="0.249977111117893"/>
        <rFont val="Calibri"/>
        <family val="2"/>
      </rPr>
      <t>Use AU AP Invoice (filter invoice type "Vendor")</t>
    </r>
  </si>
  <si>
    <t>AF I&amp;E - Power BI</t>
  </si>
  <si>
    <t>2nd datasource</t>
  </si>
  <si>
    <t>PBI contains separate report for APAC and AU, need to verify if data is to be combined
Source is AF I&amp;E ([singapore]Import - Billing Invoice) + AU Operation Performance Dashboard (Volume - Import)</t>
  </si>
  <si>
    <t>use sheet "APAC AP Invoice Performance Selected"; Volume</t>
  </si>
  <si>
    <t>Air Freight - Invoicing &amp; Billing</t>
  </si>
  <si>
    <t>Air/Sea Freight</t>
  </si>
  <si>
    <t>Air and Sea should be combined (marco on 01Oct2025)</t>
  </si>
  <si>
    <t>dashboard combines both Air and Sea
Air and Sea should be combined (marco on 01Oct2025)</t>
  </si>
  <si>
    <t>dashboard combines both Air and Sea (AU only)
Air and Sea should be combined (marco on 01Oct2025)</t>
  </si>
  <si>
    <t>Air/Sea Freight - Vendor Invoice Auditing</t>
  </si>
  <si>
    <t>Air/Sea Freight - Accounts Payable Operation</t>
  </si>
  <si>
    <t>**Ms coco will supply the data</t>
  </si>
  <si>
    <t>JAN2025-MAR2025</t>
  </si>
  <si>
    <t>JAN2025-JUN2025</t>
  </si>
  <si>
    <t>Calculate 1st 3 months</t>
  </si>
  <si>
    <t>**Blue highlight means it's already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</si>
</sst>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_);[Red]\(0\)"/>
    <numFmt numFmtId="165" formatCode="0.0_);[Red]\(0.0\)"/>
    <numFmt numFmtId="166" formatCode="#,##0.0"/>
    <numFmt numFmtId="167" formatCode="#,##0.0;;;@"/>
    <numFmt numFmtId="168" formatCode="#,##0.0;;&quot;--&quot;;@"/>
    <numFmt numFmtId="171" formatCode="[=0]&quot;&quot;;#.#0"/>
    <numFmt numFmtId="172" formatCode="[=0]&quot;&quot;;#0.#0"/>
  </numFmts>
  <fonts count="4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b/>
      <sz val="36"/>
      <color theme="1" tint="0.249977111117893"/>
      <name val="Aptos Narrow"/>
      <family val="2"/>
      <scheme val="minor"/>
    </font>
    <font>
      <b/>
      <i/>
      <sz val="14"/>
      <color theme="3" tint="0.249977111117893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b/>
      <sz val="11"/>
      <color theme="0"/>
      <name val="Calibri"/>
      <family val="2"/>
    </font>
    <font>
      <b/>
      <sz val="11"/>
      <color rgb="FFFFFF00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11"/>
      <color theme="1"/>
      <name val="Calibri"/>
      <family val="2"/>
    </font>
    <font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sz val="12"/>
      <name val="Calibri"/>
      <family val="2"/>
    </font>
    <font>
      <sz val="12"/>
      <color theme="1" tint="0.499984740745262"/>
      <name val="Calibri"/>
      <family val="2"/>
    </font>
    <font>
      <b/>
      <sz val="12"/>
      <color theme="1" tint="0.499984740745262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  <font>
      <sz val="11"/>
      <color theme="2" tint="-0.74999237037263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72"/>
      <color theme="1" tint="0.249977111117893"/>
      <name val="Aptos Narrow"/>
      <family val="2"/>
      <scheme val="minor"/>
    </font>
    <font>
      <u/>
      <sz val="11"/>
      <color theme="10"/>
      <name val="Aptos Narrow"/>
      <family val="2"/>
      <charset val="134"/>
      <scheme val="minor"/>
    </font>
    <font>
      <sz val="11"/>
      <color theme="2" tint="-0.499984740745262"/>
      <name val="Calibri"/>
      <family val="2"/>
    </font>
    <font>
      <sz val="11"/>
      <color theme="1" tint="0.249977111117893"/>
      <name val="Calibri"/>
      <family val="2"/>
    </font>
    <font>
      <b/>
      <sz val="11"/>
      <color theme="1" tint="0.249977111117893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3" tint="0.249977111117893"/>
      <name val="Calibri"/>
      <family val="2"/>
    </font>
    <font>
      <sz val="11"/>
      <color theme="3" tint="0.249977111117893"/>
      <name val="Calibri"/>
      <family val="2"/>
    </font>
    <font>
      <u/>
      <sz val="11"/>
      <color theme="3" tint="0.249977111117893"/>
      <name val="Calibri"/>
      <family val="2"/>
    </font>
    <font>
      <sz val="11"/>
      <color theme="3" tint="0.249977111117893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strike/>
      <sz val="11"/>
      <color rgb="FFFF0000"/>
      <name val="Calibri"/>
      <family val="2"/>
    </font>
    <font>
      <b/>
      <strike/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393939"/>
      <name val="Aptos Narrow"/>
      <family val="2"/>
      <scheme val="minor"/>
    </font>
    <font>
      <strike/>
      <sz val="11"/>
      <color theme="1"/>
      <name val="Calibri"/>
      <family val="2"/>
    </font>
    <font>
      <b/>
      <strike/>
      <sz val="11"/>
      <color theme="1"/>
      <name val="Calibri"/>
      <family val="2"/>
    </font>
    <font>
      <strike/>
      <u/>
      <sz val="11"/>
      <color theme="10"/>
      <name val="Aptos Narrow"/>
      <family val="2"/>
      <scheme val="minor"/>
    </font>
    <font>
      <strike/>
      <sz val="11"/>
      <color theme="1" tint="0.249977111117893"/>
      <name val="Calibri"/>
      <family val="2"/>
    </font>
    <font>
      <b/>
      <sz val="16"/>
      <color theme="2" tint="-0.499984740745262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i/>
      <sz val="11"/>
      <color theme="1" tint="0.249977111117893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theme="4"/>
      </patternFill>
    </fill>
  </fills>
  <borders count="3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theme="2" tint="-9.9948118533890809E-2"/>
      </right>
      <top style="thin">
        <color theme="0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0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0"/>
      </top>
      <bottom style="thin">
        <color theme="2" tint="-9.9948118533890809E-2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/>
    <xf numFmtId="0" fontId="7" fillId="0" borderId="0" xfId="0" applyFont="1"/>
    <xf numFmtId="0" fontId="9" fillId="3" borderId="7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164" fontId="9" fillId="3" borderId="8" xfId="1" applyNumberFormat="1" applyFont="1" applyFill="1" applyBorder="1" applyAlignment="1">
      <alignment horizontal="center" vertical="center" wrapText="1"/>
    </xf>
    <xf numFmtId="165" fontId="9" fillId="3" borderId="8" xfId="1" applyNumberFormat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13" fillId="0" borderId="0" xfId="1" applyFont="1">
      <alignment vertical="center"/>
    </xf>
    <xf numFmtId="0" fontId="14" fillId="4" borderId="10" xfId="1" applyFont="1" applyFill="1" applyBorder="1">
      <alignment vertical="center"/>
    </xf>
    <xf numFmtId="0" fontId="15" fillId="4" borderId="11" xfId="1" applyFont="1" applyFill="1" applyBorder="1">
      <alignment vertical="center"/>
    </xf>
    <xf numFmtId="3" fontId="16" fillId="0" borderId="13" xfId="1" applyNumberFormat="1" applyFont="1" applyBorder="1" applyAlignment="1" applyProtection="1">
      <alignment horizontal="center" vertical="center"/>
      <protection locked="0"/>
    </xf>
    <xf numFmtId="166" fontId="16" fillId="0" borderId="14" xfId="1" applyNumberFormat="1" applyFont="1" applyBorder="1" applyAlignment="1" applyProtection="1">
      <alignment horizontal="center" vertical="center"/>
      <protection locked="0"/>
    </xf>
    <xf numFmtId="167" fontId="14" fillId="4" borderId="11" xfId="1" applyNumberFormat="1" applyFont="1" applyFill="1" applyBorder="1" applyAlignment="1">
      <alignment horizontal="center" vertical="center"/>
    </xf>
    <xf numFmtId="168" fontId="14" fillId="4" borderId="11" xfId="1" applyNumberFormat="1" applyFont="1" applyFill="1" applyBorder="1" applyAlignment="1">
      <alignment horizontal="center" vertical="center"/>
    </xf>
    <xf numFmtId="168" fontId="17" fillId="4" borderId="11" xfId="1" applyNumberFormat="1" applyFont="1" applyFill="1" applyBorder="1" applyAlignment="1">
      <alignment horizontal="center" vertical="center"/>
    </xf>
    <xf numFmtId="168" fontId="14" fillId="4" borderId="12" xfId="1" applyNumberFormat="1" applyFont="1" applyFill="1" applyBorder="1" applyAlignment="1">
      <alignment horizontal="center" vertical="center"/>
    </xf>
    <xf numFmtId="0" fontId="14" fillId="4" borderId="1" xfId="1" applyFont="1" applyFill="1" applyBorder="1">
      <alignment vertical="center"/>
    </xf>
    <xf numFmtId="0" fontId="15" fillId="4" borderId="2" xfId="1" applyFont="1" applyFill="1" applyBorder="1">
      <alignment vertical="center"/>
    </xf>
    <xf numFmtId="0" fontId="14" fillId="4" borderId="3" xfId="1" applyFont="1" applyFill="1" applyBorder="1">
      <alignment vertical="center"/>
    </xf>
    <xf numFmtId="3" fontId="16" fillId="0" borderId="15" xfId="1" applyNumberFormat="1" applyFont="1" applyBorder="1" applyAlignment="1" applyProtection="1">
      <alignment horizontal="center" vertical="center"/>
      <protection locked="0"/>
    </xf>
    <xf numFmtId="166" fontId="16" fillId="0" borderId="16" xfId="1" applyNumberFormat="1" applyFont="1" applyBorder="1" applyAlignment="1" applyProtection="1">
      <alignment horizontal="center" vertical="center"/>
      <protection locked="0"/>
    </xf>
    <xf numFmtId="167" fontId="14" fillId="4" borderId="1" xfId="1" applyNumberFormat="1" applyFont="1" applyFill="1" applyBorder="1" applyAlignment="1">
      <alignment horizontal="center" vertical="center"/>
    </xf>
    <xf numFmtId="167" fontId="14" fillId="4" borderId="2" xfId="1" applyNumberFormat="1" applyFont="1" applyFill="1" applyBorder="1" applyAlignment="1">
      <alignment horizontal="center" vertical="center"/>
    </xf>
    <xf numFmtId="168" fontId="14" fillId="4" borderId="2" xfId="1" applyNumberFormat="1" applyFont="1" applyFill="1" applyBorder="1" applyAlignment="1">
      <alignment horizontal="center" vertical="center"/>
    </xf>
    <xf numFmtId="168" fontId="17" fillId="4" borderId="2" xfId="1" applyNumberFormat="1" applyFont="1" applyFill="1" applyBorder="1" applyAlignment="1">
      <alignment horizontal="center" vertical="center"/>
    </xf>
    <xf numFmtId="168" fontId="14" fillId="4" borderId="3" xfId="1" applyNumberFormat="1" applyFont="1" applyFill="1" applyBorder="1" applyAlignment="1">
      <alignment horizontal="center" vertical="center"/>
    </xf>
    <xf numFmtId="0" fontId="15" fillId="4" borderId="3" xfId="1" applyFont="1" applyFill="1" applyBorder="1">
      <alignment vertical="center"/>
    </xf>
    <xf numFmtId="168" fontId="15" fillId="4" borderId="2" xfId="1" applyNumberFormat="1" applyFont="1" applyFill="1" applyBorder="1" applyAlignment="1">
      <alignment horizontal="center" vertical="center"/>
    </xf>
    <xf numFmtId="168" fontId="18" fillId="4" borderId="2" xfId="1" applyNumberFormat="1" applyFont="1" applyFill="1" applyBorder="1" applyAlignment="1">
      <alignment horizontal="center" vertical="center"/>
    </xf>
    <xf numFmtId="0" fontId="14" fillId="4" borderId="4" xfId="1" applyFont="1" applyFill="1" applyBorder="1">
      <alignment vertical="center"/>
    </xf>
    <xf numFmtId="0" fontId="15" fillId="4" borderId="5" xfId="1" applyFont="1" applyFill="1" applyBorder="1">
      <alignment vertical="center"/>
    </xf>
    <xf numFmtId="0" fontId="14" fillId="4" borderId="6" xfId="1" applyFont="1" applyFill="1" applyBorder="1">
      <alignment vertical="center"/>
    </xf>
    <xf numFmtId="3" fontId="16" fillId="0" borderId="17" xfId="1" applyNumberFormat="1" applyFont="1" applyBorder="1" applyAlignment="1" applyProtection="1">
      <alignment horizontal="center" vertical="center"/>
      <protection locked="0"/>
    </xf>
    <xf numFmtId="166" fontId="16" fillId="0" borderId="18" xfId="1" applyNumberFormat="1" applyFont="1" applyBorder="1" applyAlignment="1" applyProtection="1">
      <alignment horizontal="center" vertical="center"/>
      <protection locked="0"/>
    </xf>
    <xf numFmtId="167" fontId="14" fillId="4" borderId="4" xfId="1" applyNumberFormat="1" applyFont="1" applyFill="1" applyBorder="1" applyAlignment="1">
      <alignment horizontal="center" vertical="center"/>
    </xf>
    <xf numFmtId="167" fontId="14" fillId="4" borderId="5" xfId="1" applyNumberFormat="1" applyFont="1" applyFill="1" applyBorder="1" applyAlignment="1">
      <alignment horizontal="center" vertical="center"/>
    </xf>
    <xf numFmtId="168" fontId="14" fillId="4" borderId="5" xfId="1" applyNumberFormat="1" applyFont="1" applyFill="1" applyBorder="1" applyAlignment="1">
      <alignment horizontal="center" vertical="center"/>
    </xf>
    <xf numFmtId="168" fontId="15" fillId="4" borderId="5" xfId="1" applyNumberFormat="1" applyFont="1" applyFill="1" applyBorder="1" applyAlignment="1">
      <alignment horizontal="center" vertical="center"/>
    </xf>
    <xf numFmtId="168" fontId="17" fillId="4" borderId="5" xfId="1" applyNumberFormat="1" applyFont="1" applyFill="1" applyBorder="1" applyAlignment="1">
      <alignment horizontal="center" vertical="center"/>
    </xf>
    <xf numFmtId="168" fontId="14" fillId="4" borderId="6" xfId="1" applyNumberFormat="1" applyFont="1" applyFill="1" applyBorder="1" applyAlignment="1">
      <alignment horizontal="center" vertical="center"/>
    </xf>
    <xf numFmtId="167" fontId="14" fillId="4" borderId="10" xfId="1" applyNumberFormat="1" applyFont="1" applyFill="1" applyBorder="1" applyAlignment="1">
      <alignment horizontal="center" vertical="center"/>
    </xf>
    <xf numFmtId="0" fontId="19" fillId="4" borderId="1" xfId="1" applyFont="1" applyFill="1" applyBorder="1">
      <alignment vertical="center"/>
    </xf>
    <xf numFmtId="0" fontId="19" fillId="4" borderId="4" xfId="1" applyFont="1" applyFill="1" applyBorder="1">
      <alignment vertical="center"/>
    </xf>
    <xf numFmtId="164" fontId="13" fillId="0" borderId="0" xfId="1" applyNumberFormat="1" applyFont="1">
      <alignment vertical="center"/>
    </xf>
    <xf numFmtId="165" fontId="13" fillId="0" borderId="0" xfId="1" applyNumberFormat="1" applyFont="1">
      <alignment vertical="center"/>
    </xf>
    <xf numFmtId="0" fontId="20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8" fillId="0" borderId="0" xfId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16" fillId="0" borderId="22" xfId="1" applyNumberFormat="1" applyFont="1" applyBorder="1" applyAlignment="1" applyProtection="1">
      <alignment horizontal="center" vertical="center"/>
      <protection locked="0"/>
    </xf>
    <xf numFmtId="166" fontId="16" fillId="0" borderId="23" xfId="1" applyNumberFormat="1" applyFont="1" applyBorder="1" applyAlignment="1" applyProtection="1">
      <alignment horizontal="center" vertical="center"/>
      <protection locked="0"/>
    </xf>
    <xf numFmtId="3" fontId="16" fillId="0" borderId="24" xfId="1" applyNumberFormat="1" applyFont="1" applyBorder="1" applyAlignment="1" applyProtection="1">
      <alignment horizontal="center" vertical="center"/>
      <protection locked="0"/>
    </xf>
    <xf numFmtId="166" fontId="16" fillId="0" borderId="25" xfId="1" applyNumberFormat="1" applyFont="1" applyBorder="1" applyAlignment="1" applyProtection="1">
      <alignment horizontal="center" vertical="center"/>
      <protection locked="0"/>
    </xf>
    <xf numFmtId="0" fontId="25" fillId="0" borderId="0" xfId="1" applyFont="1">
      <alignment vertical="center"/>
    </xf>
    <xf numFmtId="0" fontId="9" fillId="2" borderId="0" xfId="1" applyFont="1" applyFill="1" applyAlignment="1">
      <alignment horizontal="center" vertical="center"/>
    </xf>
    <xf numFmtId="0" fontId="26" fillId="0" borderId="15" xfId="1" applyFont="1" applyBorder="1" applyAlignment="1">
      <alignment horizontal="center" vertical="center" wrapText="1"/>
    </xf>
    <xf numFmtId="0" fontId="26" fillId="0" borderId="20" xfId="1" applyFont="1" applyBorder="1" applyAlignment="1">
      <alignment horizontal="center" vertical="center" wrapText="1"/>
    </xf>
    <xf numFmtId="4" fontId="26" fillId="0" borderId="20" xfId="1" applyNumberFormat="1" applyFont="1" applyBorder="1" applyAlignment="1">
      <alignment horizontal="center" vertical="center"/>
    </xf>
    <xf numFmtId="0" fontId="26" fillId="0" borderId="20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wrapText="1"/>
    </xf>
    <xf numFmtId="4" fontId="26" fillId="0" borderId="21" xfId="1" applyNumberFormat="1" applyFont="1" applyBorder="1" applyAlignment="1">
      <alignment horizontal="center" vertical="center"/>
    </xf>
    <xf numFmtId="0" fontId="26" fillId="0" borderId="21" xfId="1" applyFont="1" applyBorder="1" applyAlignment="1">
      <alignment horizontal="center" vertical="center"/>
    </xf>
    <xf numFmtId="0" fontId="26" fillId="0" borderId="18" xfId="1" applyFont="1" applyBorder="1" applyAlignment="1">
      <alignment horizontal="center" vertical="center"/>
    </xf>
    <xf numFmtId="4" fontId="27" fillId="0" borderId="19" xfId="1" applyNumberFormat="1" applyFont="1" applyBorder="1" applyAlignment="1">
      <alignment horizontal="center" vertical="center"/>
    </xf>
    <xf numFmtId="4" fontId="27" fillId="0" borderId="20" xfId="1" applyNumberFormat="1" applyFont="1" applyBorder="1" applyAlignment="1">
      <alignment horizontal="center" vertical="center"/>
    </xf>
    <xf numFmtId="4" fontId="27" fillId="0" borderId="21" xfId="1" applyNumberFormat="1" applyFont="1" applyBorder="1" applyAlignment="1">
      <alignment horizontal="center" vertical="center"/>
    </xf>
    <xf numFmtId="3" fontId="16" fillId="0" borderId="26" xfId="1" applyNumberFormat="1" applyFont="1" applyBorder="1" applyAlignment="1" applyProtection="1">
      <alignment horizontal="center" vertical="center"/>
      <protection locked="0"/>
    </xf>
    <xf numFmtId="166" fontId="16" fillId="0" borderId="26" xfId="1" applyNumberFormat="1" applyFont="1" applyBorder="1" applyAlignment="1" applyProtection="1">
      <alignment horizontal="center" vertical="center"/>
      <protection locked="0"/>
    </xf>
    <xf numFmtId="3" fontId="16" fillId="0" borderId="27" xfId="1" applyNumberFormat="1" applyFont="1" applyBorder="1" applyAlignment="1" applyProtection="1">
      <alignment horizontal="center" vertical="center"/>
      <protection locked="0"/>
    </xf>
    <xf numFmtId="166" fontId="16" fillId="0" borderId="27" xfId="1" applyNumberFormat="1" applyFont="1" applyBorder="1" applyAlignment="1" applyProtection="1">
      <alignment horizontal="center" vertical="center"/>
      <protection locked="0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9" fillId="6" borderId="0" xfId="1" applyFont="1" applyFill="1" applyAlignment="1">
      <alignment horizontal="center" vertical="center"/>
    </xf>
    <xf numFmtId="0" fontId="9" fillId="6" borderId="0" xfId="1" applyFont="1" applyFill="1" applyAlignment="1">
      <alignment horizontal="center" vertical="center" wrapText="1"/>
    </xf>
    <xf numFmtId="0" fontId="15" fillId="0" borderId="2" xfId="1" applyFont="1" applyBorder="1">
      <alignment vertical="center"/>
    </xf>
    <xf numFmtId="164" fontId="14" fillId="4" borderId="3" xfId="1" applyNumberFormat="1" applyFont="1" applyFill="1" applyBorder="1">
      <alignment vertical="center"/>
    </xf>
    <xf numFmtId="0" fontId="15" fillId="0" borderId="5" xfId="1" applyFont="1" applyBorder="1">
      <alignment vertical="center"/>
    </xf>
    <xf numFmtId="164" fontId="14" fillId="4" borderId="6" xfId="1" applyNumberFormat="1" applyFont="1" applyFill="1" applyBorder="1">
      <alignment vertical="center"/>
    </xf>
    <xf numFmtId="0" fontId="29" fillId="0" borderId="13" xfId="1" applyFont="1" applyBorder="1" applyAlignment="1">
      <alignment horizontal="right" vertical="center" wrapText="1" indent="1"/>
    </xf>
    <xf numFmtId="0" fontId="30" fillId="0" borderId="19" xfId="1" applyFont="1" applyBorder="1" applyAlignment="1">
      <alignment horizontal="center" vertical="center" wrapText="1"/>
    </xf>
    <xf numFmtId="0" fontId="30" fillId="0" borderId="14" xfId="1" applyFont="1" applyBorder="1" applyAlignment="1">
      <alignment horizontal="center" vertical="center"/>
    </xf>
    <xf numFmtId="0" fontId="29" fillId="0" borderId="15" xfId="1" applyFont="1" applyBorder="1" applyAlignment="1">
      <alignment horizontal="right" vertical="center" wrapText="1" indent="1"/>
    </xf>
    <xf numFmtId="0" fontId="30" fillId="0" borderId="20" xfId="1" applyFont="1" applyBorder="1" applyAlignment="1">
      <alignment horizontal="center" vertical="center" wrapText="1"/>
    </xf>
    <xf numFmtId="0" fontId="31" fillId="0" borderId="20" xfId="2" applyFont="1" applyBorder="1" applyAlignment="1">
      <alignment horizontal="center" vertical="center"/>
    </xf>
    <xf numFmtId="0" fontId="30" fillId="0" borderId="16" xfId="1" applyFont="1" applyBorder="1" applyAlignment="1">
      <alignment horizontal="center" vertical="center"/>
    </xf>
    <xf numFmtId="0" fontId="30" fillId="0" borderId="20" xfId="2" applyFont="1" applyBorder="1" applyAlignment="1">
      <alignment horizontal="center" vertical="center"/>
    </xf>
    <xf numFmtId="0" fontId="32" fillId="0" borderId="20" xfId="3" applyNumberFormat="1" applyFont="1" applyBorder="1" applyAlignment="1">
      <alignment horizontal="center" vertical="center"/>
    </xf>
    <xf numFmtId="0" fontId="29" fillId="0" borderId="17" xfId="1" applyFont="1" applyBorder="1" applyAlignment="1">
      <alignment horizontal="right" vertical="center" wrapText="1" indent="1"/>
    </xf>
    <xf numFmtId="0" fontId="30" fillId="0" borderId="21" xfId="1" applyFont="1" applyBorder="1" applyAlignment="1">
      <alignment horizontal="center" vertical="center" wrapText="1"/>
    </xf>
    <xf numFmtId="0" fontId="30" fillId="0" borderId="18" xfId="1" applyFont="1" applyBorder="1" applyAlignment="1">
      <alignment horizontal="center" vertical="center"/>
    </xf>
    <xf numFmtId="0" fontId="33" fillId="0" borderId="21" xfId="3" applyNumberFormat="1" applyFont="1" applyBorder="1" applyAlignment="1">
      <alignment horizontal="center" vertical="center"/>
    </xf>
    <xf numFmtId="0" fontId="32" fillId="0" borderId="19" xfId="3" applyNumberFormat="1" applyFont="1" applyBorder="1" applyAlignment="1">
      <alignment horizontal="center" vertical="center"/>
    </xf>
    <xf numFmtId="0" fontId="30" fillId="0" borderId="21" xfId="2" applyFont="1" applyBorder="1" applyAlignment="1">
      <alignment horizontal="center" vertical="center"/>
    </xf>
    <xf numFmtId="0" fontId="28" fillId="0" borderId="21" xfId="3" applyNumberFormat="1" applyBorder="1" applyAlignment="1">
      <alignment horizontal="center" vertical="center"/>
    </xf>
    <xf numFmtId="0" fontId="28" fillId="0" borderId="20" xfId="3" applyNumberFormat="1" applyBorder="1" applyAlignment="1">
      <alignment horizontal="center" vertical="center"/>
    </xf>
    <xf numFmtId="0" fontId="31" fillId="0" borderId="21" xfId="2" applyFont="1" applyBorder="1" applyAlignment="1">
      <alignment horizontal="center" vertical="center"/>
    </xf>
    <xf numFmtId="0" fontId="15" fillId="0" borderId="11" xfId="1" applyFont="1" applyBorder="1">
      <alignment vertical="center"/>
    </xf>
    <xf numFmtId="164" fontId="14" fillId="4" borderId="12" xfId="1" applyNumberFormat="1" applyFont="1" applyFill="1" applyBorder="1">
      <alignment vertical="center"/>
    </xf>
    <xf numFmtId="168" fontId="15" fillId="4" borderId="11" xfId="1" applyNumberFormat="1" applyFont="1" applyFill="1" applyBorder="1" applyAlignment="1">
      <alignment horizontal="center" vertical="center"/>
    </xf>
    <xf numFmtId="0" fontId="15" fillId="4" borderId="12" xfId="1" applyFont="1" applyFill="1" applyBorder="1">
      <alignment vertical="center"/>
    </xf>
    <xf numFmtId="0" fontId="26" fillId="0" borderId="13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34" fillId="0" borderId="15" xfId="1" applyFont="1" applyBorder="1" applyAlignment="1">
      <alignment horizontal="center" vertical="center" wrapText="1"/>
    </xf>
    <xf numFmtId="0" fontId="34" fillId="0" borderId="20" xfId="1" applyFont="1" applyBorder="1" applyAlignment="1">
      <alignment horizontal="center" vertical="center" wrapText="1"/>
    </xf>
    <xf numFmtId="4" fontId="34" fillId="0" borderId="20" xfId="1" applyNumberFormat="1" applyFont="1" applyBorder="1" applyAlignment="1">
      <alignment horizontal="center" vertical="center"/>
    </xf>
    <xf numFmtId="4" fontId="35" fillId="0" borderId="20" xfId="1" applyNumberFormat="1" applyFont="1" applyBorder="1" applyAlignment="1">
      <alignment horizontal="center" vertical="center"/>
    </xf>
    <xf numFmtId="0" fontId="34" fillId="0" borderId="20" xfId="1" applyFont="1" applyBorder="1" applyAlignment="1">
      <alignment horizontal="center" vertical="center"/>
    </xf>
    <xf numFmtId="0" fontId="34" fillId="0" borderId="16" xfId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13" fillId="0" borderId="20" xfId="0" quotePrefix="1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6" fillId="0" borderId="20" xfId="0" quotePrefix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4" fontId="26" fillId="7" borderId="19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3" fillId="8" borderId="20" xfId="0" applyFont="1" applyFill="1" applyBorder="1" applyAlignment="1">
      <alignment horizontal="center" vertical="center" wrapText="1"/>
    </xf>
    <xf numFmtId="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14" fillId="4" borderId="1" xfId="1" applyFont="1" applyFill="1" applyBorder="1" applyProtection="1">
      <alignment vertical="center"/>
    </xf>
    <xf numFmtId="0" fontId="15" fillId="0" borderId="2" xfId="1" applyFont="1" applyFill="1" applyBorder="1" applyProtection="1">
      <alignment vertical="center"/>
    </xf>
    <xf numFmtId="167" fontId="14" fillId="4" borderId="1" xfId="1" applyNumberFormat="1" applyFont="1" applyFill="1" applyBorder="1" applyAlignment="1" applyProtection="1">
      <alignment horizontal="center" vertical="center"/>
    </xf>
    <xf numFmtId="167" fontId="14" fillId="4" borderId="2" xfId="1" applyNumberFormat="1" applyFont="1" applyFill="1" applyBorder="1" applyAlignment="1" applyProtection="1">
      <alignment horizontal="center" vertical="center"/>
    </xf>
    <xf numFmtId="168" fontId="14" fillId="4" borderId="2" xfId="1" applyNumberFormat="1" applyFont="1" applyFill="1" applyBorder="1" applyAlignment="1" applyProtection="1">
      <alignment horizontal="center" vertical="center"/>
    </xf>
    <xf numFmtId="168" fontId="15" fillId="4" borderId="2" xfId="1" applyNumberFormat="1" applyFont="1" applyFill="1" applyBorder="1" applyAlignment="1" applyProtection="1">
      <alignment horizontal="center" vertical="center"/>
    </xf>
    <xf numFmtId="168" fontId="17" fillId="4" borderId="2" xfId="1" applyNumberFormat="1" applyFont="1" applyFill="1" applyBorder="1" applyAlignment="1" applyProtection="1">
      <alignment horizontal="center" vertical="center"/>
    </xf>
    <xf numFmtId="168" fontId="14" fillId="4" borderId="3" xfId="1" applyNumberFormat="1" applyFont="1" applyFill="1" applyBorder="1" applyAlignment="1" applyProtection="1">
      <alignment horizontal="center" vertical="center"/>
    </xf>
    <xf numFmtId="0" fontId="14" fillId="4" borderId="4" xfId="1" applyFont="1" applyFill="1" applyBorder="1" applyProtection="1">
      <alignment vertical="center"/>
    </xf>
    <xf numFmtId="0" fontId="15" fillId="0" borderId="5" xfId="1" applyFont="1" applyFill="1" applyBorder="1" applyProtection="1">
      <alignment vertical="center"/>
    </xf>
    <xf numFmtId="164" fontId="14" fillId="4" borderId="6" xfId="1" applyNumberFormat="1" applyFont="1" applyFill="1" applyBorder="1" applyProtection="1">
      <alignment vertical="center"/>
    </xf>
    <xf numFmtId="167" fontId="14" fillId="4" borderId="4" xfId="1" applyNumberFormat="1" applyFont="1" applyFill="1" applyBorder="1" applyAlignment="1" applyProtection="1">
      <alignment horizontal="center" vertical="center"/>
    </xf>
    <xf numFmtId="167" fontId="14" fillId="4" borderId="5" xfId="1" applyNumberFormat="1" applyFont="1" applyFill="1" applyBorder="1" applyAlignment="1" applyProtection="1">
      <alignment horizontal="center" vertical="center"/>
    </xf>
    <xf numFmtId="168" fontId="14" fillId="4" borderId="5" xfId="1" applyNumberFormat="1" applyFont="1" applyFill="1" applyBorder="1" applyAlignment="1" applyProtection="1">
      <alignment horizontal="center" vertical="center"/>
    </xf>
    <xf numFmtId="168" fontId="15" fillId="4" borderId="5" xfId="1" applyNumberFormat="1" applyFont="1" applyFill="1" applyBorder="1" applyAlignment="1" applyProtection="1">
      <alignment horizontal="center" vertical="center"/>
    </xf>
    <xf numFmtId="168" fontId="17" fillId="4" borderId="5" xfId="1" applyNumberFormat="1" applyFont="1" applyFill="1" applyBorder="1" applyAlignment="1" applyProtection="1">
      <alignment horizontal="center" vertical="center"/>
    </xf>
    <xf numFmtId="168" fontId="14" fillId="4" borderId="6" xfId="1" applyNumberFormat="1" applyFont="1" applyFill="1" applyBorder="1" applyAlignment="1" applyProtection="1">
      <alignment horizontal="center" vertical="center"/>
    </xf>
    <xf numFmtId="0" fontId="40" fillId="8" borderId="15" xfId="0" applyFont="1" applyFill="1" applyBorder="1" applyAlignment="1">
      <alignment horizontal="center" vertical="center" wrapText="1"/>
    </xf>
    <xf numFmtId="0" fontId="40" fillId="8" borderId="20" xfId="0" applyFont="1" applyFill="1" applyBorder="1" applyAlignment="1">
      <alignment horizontal="center" vertical="center" wrapText="1"/>
    </xf>
    <xf numFmtId="0" fontId="41" fillId="8" borderId="20" xfId="0" applyFont="1" applyFill="1" applyBorder="1" applyAlignment="1">
      <alignment horizontal="center" vertical="center" wrapText="1"/>
    </xf>
    <xf numFmtId="0" fontId="40" fillId="8" borderId="20" xfId="0" quotePrefix="1" applyFont="1" applyFill="1" applyBorder="1" applyAlignment="1">
      <alignment horizontal="center" vertical="center" wrapText="1"/>
    </xf>
    <xf numFmtId="0" fontId="43" fillId="8" borderId="20" xfId="0" applyFont="1" applyFill="1" applyBorder="1" applyAlignment="1">
      <alignment horizontal="center" vertical="center" wrapText="1"/>
    </xf>
    <xf numFmtId="0" fontId="26" fillId="0" borderId="15" xfId="1" applyNumberFormat="1" applyFont="1" applyBorder="1" applyAlignment="1">
      <alignment horizontal="center" vertical="center" wrapText="1"/>
    </xf>
    <xf numFmtId="0" fontId="26" fillId="0" borderId="20" xfId="1" applyNumberFormat="1" applyFont="1" applyBorder="1" applyAlignment="1">
      <alignment horizontal="center" vertical="center"/>
    </xf>
    <xf numFmtId="0" fontId="26" fillId="0" borderId="16" xfId="1" applyNumberFormat="1" applyFont="1" applyBorder="1" applyAlignment="1">
      <alignment horizontal="center" vertical="center"/>
    </xf>
    <xf numFmtId="171" fontId="13" fillId="0" borderId="20" xfId="0" applyNumberFormat="1" applyFont="1" applyBorder="1" applyAlignment="1">
      <alignment horizontal="center" vertical="center" wrapText="1"/>
    </xf>
    <xf numFmtId="171" fontId="26" fillId="0" borderId="20" xfId="0" applyNumberFormat="1" applyFont="1" applyBorder="1" applyAlignment="1">
      <alignment horizontal="center" vertical="center" wrapText="1"/>
    </xf>
    <xf numFmtId="171" fontId="40" fillId="8" borderId="20" xfId="0" applyNumberFormat="1" applyFont="1" applyFill="1" applyBorder="1" applyAlignment="1">
      <alignment horizontal="center" vertical="center" wrapText="1"/>
    </xf>
    <xf numFmtId="171" fontId="13" fillId="0" borderId="21" xfId="0" applyNumberFormat="1" applyFont="1" applyBorder="1" applyAlignment="1">
      <alignment horizontal="center" vertical="center" wrapText="1"/>
    </xf>
    <xf numFmtId="172" fontId="13" fillId="0" borderId="20" xfId="0" applyNumberFormat="1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13" fillId="0" borderId="31" xfId="0" quotePrefix="1" applyFont="1" applyBorder="1" applyAlignment="1">
      <alignment horizontal="center" vertical="center" wrapText="1"/>
    </xf>
    <xf numFmtId="171" fontId="13" fillId="0" borderId="31" xfId="0" applyNumberFormat="1" applyFont="1" applyBorder="1" applyAlignment="1">
      <alignment horizontal="center" vertical="center" wrapText="1"/>
    </xf>
    <xf numFmtId="0" fontId="37" fillId="0" borderId="31" xfId="3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37" fillId="0" borderId="20" xfId="3" applyFont="1" applyBorder="1" applyAlignment="1">
      <alignment horizontal="center" vertical="center" wrapText="1"/>
    </xf>
    <xf numFmtId="0" fontId="31" fillId="0" borderId="20" xfId="2" applyFont="1" applyBorder="1" applyAlignment="1">
      <alignment horizontal="center" vertical="center" wrapText="1"/>
    </xf>
    <xf numFmtId="0" fontId="28" fillId="0" borderId="20" xfId="3" applyBorder="1" applyAlignment="1">
      <alignment horizontal="center" vertical="center" wrapText="1"/>
    </xf>
    <xf numFmtId="0" fontId="28" fillId="0" borderId="16" xfId="3" applyBorder="1" applyAlignment="1">
      <alignment horizontal="center" vertical="center" wrapText="1"/>
    </xf>
    <xf numFmtId="0" fontId="42" fillId="8" borderId="20" xfId="3" applyFont="1" applyFill="1" applyBorder="1" applyAlignment="1">
      <alignment horizontal="center" vertical="center" wrapText="1"/>
    </xf>
    <xf numFmtId="0" fontId="40" fillId="8" borderId="16" xfId="0" applyFont="1" applyFill="1" applyBorder="1" applyAlignment="1">
      <alignment horizontal="center" vertical="center" wrapText="1"/>
    </xf>
    <xf numFmtId="0" fontId="28" fillId="0" borderId="21" xfId="3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44" fillId="0" borderId="0" xfId="0" applyFont="1" applyFill="1" applyAlignment="1">
      <alignment vertical="top"/>
    </xf>
    <xf numFmtId="0" fontId="45" fillId="0" borderId="0" xfId="0" applyFont="1" applyFill="1" applyAlignment="1">
      <alignment vertical="top"/>
    </xf>
    <xf numFmtId="0" fontId="44" fillId="0" borderId="0" xfId="0" applyFont="1" applyFill="1" applyAlignment="1">
      <alignment horizontal="center" vertical="top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center" vertical="top"/>
    </xf>
    <xf numFmtId="0" fontId="2" fillId="0" borderId="17" xfId="0" applyFont="1" applyFill="1" applyBorder="1" applyAlignment="1">
      <alignment vertical="top"/>
    </xf>
    <xf numFmtId="0" fontId="2" fillId="0" borderId="18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46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4">
    <cellStyle name="Hyperlink" xfId="3" builtinId="8"/>
    <cellStyle name="Hyperlink 2" xfId="2" xr:uid="{37AAA8D7-0AA4-4F0A-8FC4-4C6FB17D5A09}"/>
    <cellStyle name="Normal" xfId="0" builtinId="0"/>
    <cellStyle name="Normal 2" xfId="1" xr:uid="{3DBDB0F1-EA91-4A31-8419-63A626591D08}"/>
  </cellStyles>
  <dxfs count="9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bgColor theme="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numFmt numFmtId="171" formatCode="[=0]&quot;&quot;;#.#0"/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 val="0"/>
        <i/>
        <color theme="2" tint="-0.499984740745262"/>
      </font>
    </dxf>
    <dxf>
      <font>
        <b val="0"/>
        <i/>
        <strike/>
        <color theme="1" tint="0.499984740745262"/>
      </font>
    </dxf>
    <dxf>
      <font>
        <b/>
        <i val="0"/>
        <color theme="0"/>
      </font>
      <fill>
        <gradientFill degree="180">
          <stop position="0">
            <color theme="0"/>
          </stop>
          <stop position="1">
            <color theme="6"/>
          </stop>
        </gradientFill>
      </fill>
      <border>
        <bottom style="thin">
          <color theme="0"/>
        </bottom>
      </border>
    </dxf>
    <dxf>
      <font>
        <b/>
        <i val="0"/>
        <color theme="4"/>
      </font>
      <fill>
        <patternFill>
          <bgColor theme="3" tint="0.8999603259376811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/>
        <strike/>
        <color theme="1" tint="0.499984740745262"/>
      </font>
    </dxf>
    <dxf>
      <font>
        <b val="0"/>
        <i/>
        <strike/>
        <color theme="1" tint="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/>
        <color theme="1" tint="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3" tint="0.24994659260841701"/>
      </font>
      <fill>
        <patternFill patternType="none">
          <bgColor auto="1"/>
        </patternFill>
      </fill>
    </dxf>
    <dxf>
      <font>
        <b/>
        <i val="0"/>
        <color theme="5" tint="-0.24994659260841701"/>
      </font>
      <fill>
        <patternFill>
          <bgColor theme="5" tint="0.79998168889431442"/>
        </patternFill>
      </fill>
    </dxf>
    <dxf>
      <font>
        <b val="0"/>
        <i/>
        <strike/>
        <color theme="1" tint="0.499984740745262"/>
      </font>
    </dxf>
    <dxf>
      <font>
        <b/>
        <i val="0"/>
        <color theme="4"/>
      </font>
      <fill>
        <patternFill patternType="solid">
          <fgColor auto="1"/>
          <bgColor theme="3" tint="0.89996032593768116"/>
        </patternFill>
      </fill>
    </dxf>
    <dxf>
      <border>
        <top style="thin">
          <color auto="1"/>
        </top>
        <vertical/>
        <horizontal/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/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numFmt numFmtId="0" formatCode="General"/>
      <alignment horizontal="center" vertical="center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b/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right" vertical="center" textRotation="0" wrapText="1" indent="1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vertAlign val="baseline"/>
        <sz val="11"/>
        <color theme="3" tint="0.249977111117893"/>
        <name val="Calibri"/>
        <family val="2"/>
        <scheme val="none"/>
      </font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8" formatCode="#,##0.0;;&quot;--&quot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67" formatCode="#,##0.0;;;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2" tint="-9.9948118533890809E-2"/>
        </top>
        <bottom style="thin">
          <color theme="2" tint="-9.9948118533890809E-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2" tint="-9.9948118533890809E-2"/>
        </top>
        <bottom style="thin">
          <color theme="2" tint="-9.9948118533890809E-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>
          <fgColor indexed="64"/>
          <bgColor theme="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  <protection hidden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 patternType="none">
          <fgColor indexed="64"/>
          <bgColor theme="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>
          <fgColor indexed="64"/>
          <bgColor theme="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center" textRotation="0" wrapText="0" indent="0" justifyLastLine="0" shrinkToFit="0" readingOrder="0"/>
      <protection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protection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63F84D-949E-4400-AAAC-4E0C04335AA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AE2B1B3-9997-428D-86D1-7376D4DD1D68}">
      <dgm:prSet phldrT="[Text]"/>
      <dgm:spPr/>
      <dgm:t>
        <a:bodyPr/>
        <a:lstStyle/>
        <a:p>
          <a:pPr>
            <a:buNone/>
          </a:pPr>
          <a:r>
            <a:rPr lang="en-US" b="1" i="0"/>
            <a:t>AP+SF+MDM+AF+AU</a:t>
          </a:r>
          <a:endParaRPr lang="en-US"/>
        </a:p>
      </dgm:t>
    </dgm:pt>
    <dgm:pt modelId="{E0B39337-7010-4BF9-9513-24B24A39CCEB}" type="parTrans" cxnId="{D090FD8B-E49B-4FF9-9410-EAB62B4BE485}">
      <dgm:prSet/>
      <dgm:spPr/>
      <dgm:t>
        <a:bodyPr/>
        <a:lstStyle/>
        <a:p>
          <a:endParaRPr lang="en-US"/>
        </a:p>
      </dgm:t>
    </dgm:pt>
    <dgm:pt modelId="{27792570-5096-4743-9B56-047B01439871}" type="sibTrans" cxnId="{D090FD8B-E49B-4FF9-9410-EAB62B4BE485}">
      <dgm:prSet/>
      <dgm:spPr/>
      <dgm:t>
        <a:bodyPr/>
        <a:lstStyle/>
        <a:p>
          <a:endParaRPr lang="en-US"/>
        </a:p>
      </dgm:t>
    </dgm:pt>
    <dgm:pt modelId="{6C0DFE3C-EBA5-4891-B4CE-04DAC90C390C}">
      <dgm:prSet phldrT="[Text]"/>
      <dgm:spPr/>
      <dgm:t>
        <a:bodyPr/>
        <a:lstStyle/>
        <a:p>
          <a:pPr>
            <a:buNone/>
          </a:pPr>
          <a:r>
            <a:rPr lang="en-US" b="0" i="0"/>
            <a:t>AU Operation Performance Dashboard-CN-GSBHZ33</a:t>
          </a:r>
          <a:endParaRPr lang="en-US"/>
        </a:p>
      </dgm:t>
    </dgm:pt>
    <dgm:pt modelId="{78356D54-026C-4375-898A-37EF52D0FABB}" type="parTrans" cxnId="{E368FED7-EF37-43ED-8F77-4C6AAA347A62}">
      <dgm:prSet/>
      <dgm:spPr/>
      <dgm:t>
        <a:bodyPr/>
        <a:lstStyle/>
        <a:p>
          <a:endParaRPr lang="en-US"/>
        </a:p>
      </dgm:t>
    </dgm:pt>
    <dgm:pt modelId="{4805E76E-898F-4D48-A40A-E5D818E6B217}" type="sibTrans" cxnId="{E368FED7-EF37-43ED-8F77-4C6AAA347A62}">
      <dgm:prSet/>
      <dgm:spPr/>
      <dgm:t>
        <a:bodyPr/>
        <a:lstStyle/>
        <a:p>
          <a:endParaRPr lang="en-US"/>
        </a:p>
      </dgm:t>
    </dgm:pt>
    <dgm:pt modelId="{7DFF5416-5D9A-4D40-83A0-0E0EC8A04C28}">
      <dgm:prSet phldrT="[Text]"/>
      <dgm:spPr/>
      <dgm:t>
        <a:bodyPr/>
        <a:lstStyle/>
        <a:p>
          <a:pPr>
            <a:buNone/>
          </a:pPr>
          <a:r>
            <a:rPr lang="en-US" b="0" i="0"/>
            <a:t>AU Operation Performance Dashboard</a:t>
          </a:r>
          <a:endParaRPr lang="en-US"/>
        </a:p>
      </dgm:t>
    </dgm:pt>
    <dgm:pt modelId="{60C67E67-201C-42BC-99FA-71020A7AAAF6}" type="parTrans" cxnId="{AC7951D6-D2B8-4959-A58B-16847B589465}">
      <dgm:prSet/>
      <dgm:spPr/>
      <dgm:t>
        <a:bodyPr/>
        <a:lstStyle/>
        <a:p>
          <a:endParaRPr lang="en-US"/>
        </a:p>
      </dgm:t>
    </dgm:pt>
    <dgm:pt modelId="{A776D2E3-F569-45F1-8525-09998B42EE21}" type="sibTrans" cxnId="{AC7951D6-D2B8-4959-A58B-16847B589465}">
      <dgm:prSet/>
      <dgm:spPr/>
      <dgm:t>
        <a:bodyPr/>
        <a:lstStyle/>
        <a:p>
          <a:endParaRPr lang="en-US"/>
        </a:p>
      </dgm:t>
    </dgm:pt>
    <dgm:pt modelId="{67115C51-A883-4EE3-B409-08189BBE3D53}">
      <dgm:prSet phldrT="[Text]"/>
      <dgm:spPr/>
      <dgm:t>
        <a:bodyPr/>
        <a:lstStyle/>
        <a:p>
          <a:r>
            <a:rPr lang="en-US"/>
            <a:t>AF I&amp;E</a:t>
          </a:r>
        </a:p>
      </dgm:t>
    </dgm:pt>
    <dgm:pt modelId="{1ED30823-374E-4FB2-9C75-BA331A127176}" type="parTrans" cxnId="{08F7ACE9-E020-4AA9-BBDB-B908593403A8}">
      <dgm:prSet/>
      <dgm:spPr/>
      <dgm:t>
        <a:bodyPr/>
        <a:lstStyle/>
        <a:p>
          <a:endParaRPr lang="en-US"/>
        </a:p>
      </dgm:t>
    </dgm:pt>
    <dgm:pt modelId="{51B66E91-37FF-4E83-8934-5375A039ED2D}" type="sibTrans" cxnId="{08F7ACE9-E020-4AA9-BBDB-B908593403A8}">
      <dgm:prSet/>
      <dgm:spPr/>
      <dgm:t>
        <a:bodyPr/>
        <a:lstStyle/>
        <a:p>
          <a:endParaRPr lang="en-US"/>
        </a:p>
      </dgm:t>
    </dgm:pt>
    <dgm:pt modelId="{E2DE8768-7A24-4DA1-A00F-9966F424C496}">
      <dgm:prSet phldrT="[Text]"/>
      <dgm:spPr/>
      <dgm:t>
        <a:bodyPr/>
        <a:lstStyle/>
        <a:p>
          <a:pPr>
            <a:buNone/>
          </a:pPr>
          <a:r>
            <a:rPr lang="en-US" b="0" i="0"/>
            <a:t>SF Operation Performance Report</a:t>
          </a:r>
          <a:endParaRPr lang="en-US"/>
        </a:p>
      </dgm:t>
    </dgm:pt>
    <dgm:pt modelId="{EC027A1F-5CA4-4116-B8EA-9DC1FD88C86D}" type="parTrans" cxnId="{9F43880D-169B-4FF7-AFA8-DD04D5BC0BD1}">
      <dgm:prSet/>
      <dgm:spPr/>
      <dgm:t>
        <a:bodyPr/>
        <a:lstStyle/>
        <a:p>
          <a:endParaRPr lang="en-US"/>
        </a:p>
      </dgm:t>
    </dgm:pt>
    <dgm:pt modelId="{17779583-8204-4EE9-B0D4-DA82D2ED117C}" type="sibTrans" cxnId="{9F43880D-169B-4FF7-AFA8-DD04D5BC0BD1}">
      <dgm:prSet/>
      <dgm:spPr/>
      <dgm:t>
        <a:bodyPr/>
        <a:lstStyle/>
        <a:p>
          <a:endParaRPr lang="en-US"/>
        </a:p>
      </dgm:t>
    </dgm:pt>
    <dgm:pt modelId="{D6B761BE-A976-4ECA-B6F0-BC9C7584A165}">
      <dgm:prSet/>
      <dgm:spPr/>
      <dgm:t>
        <a:bodyPr/>
        <a:lstStyle/>
        <a:p>
          <a:pPr>
            <a:buNone/>
          </a:pPr>
          <a:r>
            <a:rPr lang="en-US" b="0" i="0"/>
            <a:t>MDM Performance Dashboard</a:t>
          </a:r>
          <a:endParaRPr lang="en-US"/>
        </a:p>
      </dgm:t>
    </dgm:pt>
    <dgm:pt modelId="{4E1C9DEE-0F2E-428C-9ECB-12261F7CA45B}" type="parTrans" cxnId="{532D3888-27FF-4BA0-A350-F16DD2DA720C}">
      <dgm:prSet/>
      <dgm:spPr/>
      <dgm:t>
        <a:bodyPr/>
        <a:lstStyle/>
        <a:p>
          <a:endParaRPr lang="en-US"/>
        </a:p>
      </dgm:t>
    </dgm:pt>
    <dgm:pt modelId="{5F8FC1EE-B241-43F2-A5D9-9988357A8008}" type="sibTrans" cxnId="{532D3888-27FF-4BA0-A350-F16DD2DA720C}">
      <dgm:prSet/>
      <dgm:spPr/>
      <dgm:t>
        <a:bodyPr/>
        <a:lstStyle/>
        <a:p>
          <a:endParaRPr lang="en-US"/>
        </a:p>
      </dgm:t>
    </dgm:pt>
    <dgm:pt modelId="{DAE8B020-C315-4CEF-B769-662976B69168}">
      <dgm:prSet/>
      <dgm:spPr/>
      <dgm:t>
        <a:bodyPr/>
        <a:lstStyle/>
        <a:p>
          <a:pPr>
            <a:buNone/>
          </a:pPr>
          <a:r>
            <a:rPr lang="en-US" b="0" i="0"/>
            <a:t>SF Operation Billing Performance Report-WUHL21024</a:t>
          </a:r>
          <a:endParaRPr lang="en-US"/>
        </a:p>
      </dgm:t>
    </dgm:pt>
    <dgm:pt modelId="{E6187345-E4EF-4176-B5F1-E84D2E4BDAA6}" type="parTrans" cxnId="{6A19020D-9E02-420F-BFC0-FA614EE6C0A2}">
      <dgm:prSet/>
      <dgm:spPr/>
      <dgm:t>
        <a:bodyPr/>
        <a:lstStyle/>
        <a:p>
          <a:endParaRPr lang="en-US"/>
        </a:p>
      </dgm:t>
    </dgm:pt>
    <dgm:pt modelId="{7A124993-2594-4D73-A51D-14C8FCEFD74B}" type="sibTrans" cxnId="{6A19020D-9E02-420F-BFC0-FA614EE6C0A2}">
      <dgm:prSet/>
      <dgm:spPr/>
      <dgm:t>
        <a:bodyPr/>
        <a:lstStyle/>
        <a:p>
          <a:endParaRPr lang="en-US"/>
        </a:p>
      </dgm:t>
    </dgm:pt>
    <dgm:pt modelId="{F16C4312-3482-4996-A08E-D84057BAF975}">
      <dgm:prSet/>
      <dgm:spPr/>
      <dgm:t>
        <a:bodyPr/>
        <a:lstStyle/>
        <a:p>
          <a:pPr>
            <a:buNone/>
          </a:pPr>
          <a:r>
            <a:rPr lang="en-US" b="0" i="0"/>
            <a:t>SF Operation Billing Performance Report</a:t>
          </a:r>
          <a:endParaRPr lang="en-US"/>
        </a:p>
      </dgm:t>
    </dgm:pt>
    <dgm:pt modelId="{95066366-8E4E-468E-A832-7F95130E789B}" type="parTrans" cxnId="{72A6CDFA-A17B-4A32-90BD-0750EC1E3B7C}">
      <dgm:prSet/>
      <dgm:spPr/>
      <dgm:t>
        <a:bodyPr/>
        <a:lstStyle/>
        <a:p>
          <a:endParaRPr lang="en-US"/>
        </a:p>
      </dgm:t>
    </dgm:pt>
    <dgm:pt modelId="{F6BED35D-C81A-4E07-A917-3AA3D5B443A0}" type="sibTrans" cxnId="{72A6CDFA-A17B-4A32-90BD-0750EC1E3B7C}">
      <dgm:prSet/>
      <dgm:spPr/>
      <dgm:t>
        <a:bodyPr/>
        <a:lstStyle/>
        <a:p>
          <a:endParaRPr lang="en-US"/>
        </a:p>
      </dgm:t>
    </dgm:pt>
    <dgm:pt modelId="{A998D712-3886-4493-ABD9-35D107D57B88}">
      <dgm:prSet/>
      <dgm:spPr/>
      <dgm:t>
        <a:bodyPr/>
        <a:lstStyle/>
        <a:p>
          <a:pPr>
            <a:buNone/>
          </a:pPr>
          <a:r>
            <a:rPr lang="en-US" b="0" i="0"/>
            <a:t>AF HMS</a:t>
          </a:r>
          <a:endParaRPr lang="en-US"/>
        </a:p>
      </dgm:t>
    </dgm:pt>
    <dgm:pt modelId="{65F66A1B-C06B-4B59-A511-970B43A8ED69}" type="parTrans" cxnId="{17113A2E-7E9E-43EA-9E8E-EFE8EBCF578B}">
      <dgm:prSet/>
      <dgm:spPr/>
      <dgm:t>
        <a:bodyPr/>
        <a:lstStyle/>
        <a:p>
          <a:endParaRPr lang="en-US"/>
        </a:p>
      </dgm:t>
    </dgm:pt>
    <dgm:pt modelId="{E4876C81-BF53-40F8-A61B-C94F0CA2BFE4}" type="sibTrans" cxnId="{17113A2E-7E9E-43EA-9E8E-EFE8EBCF578B}">
      <dgm:prSet/>
      <dgm:spPr/>
      <dgm:t>
        <a:bodyPr/>
        <a:lstStyle/>
        <a:p>
          <a:endParaRPr lang="en-US"/>
        </a:p>
      </dgm:t>
    </dgm:pt>
    <dgm:pt modelId="{5472EC96-B82C-47DA-A70B-97309B3FB5AA}">
      <dgm:prSet/>
      <dgm:spPr/>
      <dgm:t>
        <a:bodyPr/>
        <a:lstStyle/>
        <a:p>
          <a:pPr>
            <a:buNone/>
          </a:pPr>
          <a:r>
            <a:rPr lang="en-US" b="0" i="0"/>
            <a:t>AP Invoice Performance Reports</a:t>
          </a:r>
          <a:endParaRPr lang="en-US"/>
        </a:p>
      </dgm:t>
    </dgm:pt>
    <dgm:pt modelId="{6E1B3ADA-089D-4FA8-BB07-24C0BFAD8447}" type="parTrans" cxnId="{A7FFE20C-6975-4F37-8D3A-BD984CAFAFCC}">
      <dgm:prSet/>
      <dgm:spPr/>
      <dgm:t>
        <a:bodyPr/>
        <a:lstStyle/>
        <a:p>
          <a:endParaRPr lang="en-US"/>
        </a:p>
      </dgm:t>
    </dgm:pt>
    <dgm:pt modelId="{7BF41144-2D7E-4470-A968-1FB18CA512DF}" type="sibTrans" cxnId="{A7FFE20C-6975-4F37-8D3A-BD984CAFAFCC}">
      <dgm:prSet/>
      <dgm:spPr/>
      <dgm:t>
        <a:bodyPr/>
        <a:lstStyle/>
        <a:p>
          <a:endParaRPr lang="en-US"/>
        </a:p>
      </dgm:t>
    </dgm:pt>
    <dgm:pt modelId="{450C4EF1-59A3-4E65-9159-43ECF89F4A80}">
      <dgm:prSet/>
      <dgm:spPr/>
      <dgm:t>
        <a:bodyPr/>
        <a:lstStyle/>
        <a:p>
          <a:pPr>
            <a:buNone/>
          </a:pPr>
          <a:r>
            <a:rPr lang="en-US" b="0" i="0"/>
            <a:t>AU SF Performance Dashboard-CN-FWP24D3</a:t>
          </a:r>
          <a:endParaRPr lang="en-US"/>
        </a:p>
      </dgm:t>
    </dgm:pt>
    <dgm:pt modelId="{BA8DEF98-3557-44CD-8CE3-681D6746E2B7}" type="parTrans" cxnId="{DB709127-DFA8-4E4C-B7F3-4A7902E22001}">
      <dgm:prSet/>
      <dgm:spPr/>
      <dgm:t>
        <a:bodyPr/>
        <a:lstStyle/>
        <a:p>
          <a:endParaRPr lang="en-US"/>
        </a:p>
      </dgm:t>
    </dgm:pt>
    <dgm:pt modelId="{C03C5246-69ED-40C5-8E0F-B004A6A52952}" type="sibTrans" cxnId="{DB709127-DFA8-4E4C-B7F3-4A7902E22001}">
      <dgm:prSet/>
      <dgm:spPr/>
      <dgm:t>
        <a:bodyPr/>
        <a:lstStyle/>
        <a:p>
          <a:endParaRPr lang="en-US"/>
        </a:p>
      </dgm:t>
    </dgm:pt>
    <dgm:pt modelId="{670C2973-B458-4DF4-80A5-9AE9DD6E3924}">
      <dgm:prSet/>
      <dgm:spPr/>
      <dgm:t>
        <a:bodyPr/>
        <a:lstStyle/>
        <a:p>
          <a:pPr>
            <a:buNone/>
          </a:pPr>
          <a:r>
            <a:rPr lang="en-US" b="0" i="0"/>
            <a:t>AU SF Performance Dashboard</a:t>
          </a:r>
          <a:endParaRPr lang="en-US"/>
        </a:p>
      </dgm:t>
    </dgm:pt>
    <dgm:pt modelId="{FD0F9AA3-438A-4272-BC8C-07C21BBC5CD2}" type="parTrans" cxnId="{8CB7BC20-0DCC-4172-9316-7248538C4432}">
      <dgm:prSet/>
      <dgm:spPr/>
      <dgm:t>
        <a:bodyPr/>
        <a:lstStyle/>
        <a:p>
          <a:endParaRPr lang="en-US"/>
        </a:p>
      </dgm:t>
    </dgm:pt>
    <dgm:pt modelId="{AB5DF819-E93F-4DB4-B362-AAEF70C86B42}" type="sibTrans" cxnId="{8CB7BC20-0DCC-4172-9316-7248538C4432}">
      <dgm:prSet/>
      <dgm:spPr/>
      <dgm:t>
        <a:bodyPr/>
        <a:lstStyle/>
        <a:p>
          <a:endParaRPr lang="en-US"/>
        </a:p>
      </dgm:t>
    </dgm:pt>
    <dgm:pt modelId="{ADF91D25-03F0-4D66-AD4B-E1A551C3B5B6}" type="pres">
      <dgm:prSet presAssocID="{DA63F84D-949E-4400-AAAC-4E0C04335AA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618C2DE-69B6-4EE6-975C-C3EB59363F3B}" type="pres">
      <dgm:prSet presAssocID="{AAE2B1B3-9997-428D-86D1-7376D4DD1D68}" presName="hierRoot1" presStyleCnt="0">
        <dgm:presLayoutVars>
          <dgm:hierBranch val="init"/>
        </dgm:presLayoutVars>
      </dgm:prSet>
      <dgm:spPr/>
    </dgm:pt>
    <dgm:pt modelId="{F7F001C0-43F1-4547-950F-04983EB6C938}" type="pres">
      <dgm:prSet presAssocID="{AAE2B1B3-9997-428D-86D1-7376D4DD1D68}" presName="rootComposite1" presStyleCnt="0"/>
      <dgm:spPr/>
    </dgm:pt>
    <dgm:pt modelId="{60F7721B-BCA3-4AD1-839A-1EA558D56030}" type="pres">
      <dgm:prSet presAssocID="{AAE2B1B3-9997-428D-86D1-7376D4DD1D68}" presName="rootText1" presStyleLbl="node0" presStyleIdx="0" presStyleCnt="1">
        <dgm:presLayoutVars>
          <dgm:chPref val="3"/>
        </dgm:presLayoutVars>
      </dgm:prSet>
      <dgm:spPr/>
    </dgm:pt>
    <dgm:pt modelId="{E6F69A6F-B698-4813-924B-7F5869D5499E}" type="pres">
      <dgm:prSet presAssocID="{AAE2B1B3-9997-428D-86D1-7376D4DD1D68}" presName="rootConnector1" presStyleLbl="node1" presStyleIdx="0" presStyleCnt="0"/>
      <dgm:spPr/>
    </dgm:pt>
    <dgm:pt modelId="{287EDC87-D461-44EA-BA6C-3F444559BE1E}" type="pres">
      <dgm:prSet presAssocID="{AAE2B1B3-9997-428D-86D1-7376D4DD1D68}" presName="hierChild2" presStyleCnt="0"/>
      <dgm:spPr/>
    </dgm:pt>
    <dgm:pt modelId="{6B10C729-394F-4DF5-8868-AE9841BCC9C9}" type="pres">
      <dgm:prSet presAssocID="{78356D54-026C-4375-898A-37EF52D0FABB}" presName="Name37" presStyleLbl="parChTrans1D2" presStyleIdx="0" presStyleCnt="11"/>
      <dgm:spPr/>
    </dgm:pt>
    <dgm:pt modelId="{5D84123A-8022-4D21-9A01-5FEF0C8CE2F0}" type="pres">
      <dgm:prSet presAssocID="{6C0DFE3C-EBA5-4891-B4CE-04DAC90C390C}" presName="hierRoot2" presStyleCnt="0">
        <dgm:presLayoutVars>
          <dgm:hierBranch val="init"/>
        </dgm:presLayoutVars>
      </dgm:prSet>
      <dgm:spPr/>
    </dgm:pt>
    <dgm:pt modelId="{33C5BCC3-EA15-47ED-916B-A211BE9E4CE6}" type="pres">
      <dgm:prSet presAssocID="{6C0DFE3C-EBA5-4891-B4CE-04DAC90C390C}" presName="rootComposite" presStyleCnt="0"/>
      <dgm:spPr/>
    </dgm:pt>
    <dgm:pt modelId="{FF0F2BDA-A548-45EE-B74F-25D89BE33C4F}" type="pres">
      <dgm:prSet presAssocID="{6C0DFE3C-EBA5-4891-B4CE-04DAC90C390C}" presName="rootText" presStyleLbl="node2" presStyleIdx="0" presStyleCnt="11">
        <dgm:presLayoutVars>
          <dgm:chPref val="3"/>
        </dgm:presLayoutVars>
      </dgm:prSet>
      <dgm:spPr/>
    </dgm:pt>
    <dgm:pt modelId="{E5888C2A-F8A0-4582-A1CE-143E5D56C5F1}" type="pres">
      <dgm:prSet presAssocID="{6C0DFE3C-EBA5-4891-B4CE-04DAC90C390C}" presName="rootConnector" presStyleLbl="node2" presStyleIdx="0" presStyleCnt="11"/>
      <dgm:spPr/>
    </dgm:pt>
    <dgm:pt modelId="{32C9ADBD-A502-40FD-B558-EA942DF2BC89}" type="pres">
      <dgm:prSet presAssocID="{6C0DFE3C-EBA5-4891-B4CE-04DAC90C390C}" presName="hierChild4" presStyleCnt="0"/>
      <dgm:spPr/>
    </dgm:pt>
    <dgm:pt modelId="{D9A33233-09F2-4B87-9BA1-B8E2F014B1D4}" type="pres">
      <dgm:prSet presAssocID="{6C0DFE3C-EBA5-4891-B4CE-04DAC90C390C}" presName="hierChild5" presStyleCnt="0"/>
      <dgm:spPr/>
    </dgm:pt>
    <dgm:pt modelId="{31DE8AE3-074D-4C76-9F6F-E5EE6420A116}" type="pres">
      <dgm:prSet presAssocID="{60C67E67-201C-42BC-99FA-71020A7AAAF6}" presName="Name37" presStyleLbl="parChTrans1D2" presStyleIdx="1" presStyleCnt="11"/>
      <dgm:spPr/>
    </dgm:pt>
    <dgm:pt modelId="{A84059A8-6D6F-4176-B683-669A0946AAFC}" type="pres">
      <dgm:prSet presAssocID="{7DFF5416-5D9A-4D40-83A0-0E0EC8A04C28}" presName="hierRoot2" presStyleCnt="0">
        <dgm:presLayoutVars>
          <dgm:hierBranch val="init"/>
        </dgm:presLayoutVars>
      </dgm:prSet>
      <dgm:spPr/>
    </dgm:pt>
    <dgm:pt modelId="{C029E956-0A49-4512-818E-C81FB7DDF62A}" type="pres">
      <dgm:prSet presAssocID="{7DFF5416-5D9A-4D40-83A0-0E0EC8A04C28}" presName="rootComposite" presStyleCnt="0"/>
      <dgm:spPr/>
    </dgm:pt>
    <dgm:pt modelId="{CB8CDFAB-5197-456C-9DAF-272844F42B0F}" type="pres">
      <dgm:prSet presAssocID="{7DFF5416-5D9A-4D40-83A0-0E0EC8A04C28}" presName="rootText" presStyleLbl="node2" presStyleIdx="1" presStyleCnt="11">
        <dgm:presLayoutVars>
          <dgm:chPref val="3"/>
        </dgm:presLayoutVars>
      </dgm:prSet>
      <dgm:spPr/>
    </dgm:pt>
    <dgm:pt modelId="{49DD5EBC-49EA-4CAA-AA83-7610046646AB}" type="pres">
      <dgm:prSet presAssocID="{7DFF5416-5D9A-4D40-83A0-0E0EC8A04C28}" presName="rootConnector" presStyleLbl="node2" presStyleIdx="1" presStyleCnt="11"/>
      <dgm:spPr/>
    </dgm:pt>
    <dgm:pt modelId="{5E19466F-ED48-48B5-804B-8B0FC3BED3D3}" type="pres">
      <dgm:prSet presAssocID="{7DFF5416-5D9A-4D40-83A0-0E0EC8A04C28}" presName="hierChild4" presStyleCnt="0"/>
      <dgm:spPr/>
    </dgm:pt>
    <dgm:pt modelId="{983F15A9-4F0D-452E-9023-D7EB08244B75}" type="pres">
      <dgm:prSet presAssocID="{7DFF5416-5D9A-4D40-83A0-0E0EC8A04C28}" presName="hierChild5" presStyleCnt="0"/>
      <dgm:spPr/>
    </dgm:pt>
    <dgm:pt modelId="{C4C2D3BB-6ECF-4C99-85F6-7DC9A440335B}" type="pres">
      <dgm:prSet presAssocID="{1ED30823-374E-4FB2-9C75-BA331A127176}" presName="Name37" presStyleLbl="parChTrans1D2" presStyleIdx="2" presStyleCnt="11"/>
      <dgm:spPr/>
    </dgm:pt>
    <dgm:pt modelId="{B3F215F8-58E1-471E-BDD9-EE0C8E8FB191}" type="pres">
      <dgm:prSet presAssocID="{67115C51-A883-4EE3-B409-08189BBE3D53}" presName="hierRoot2" presStyleCnt="0">
        <dgm:presLayoutVars>
          <dgm:hierBranch val="init"/>
        </dgm:presLayoutVars>
      </dgm:prSet>
      <dgm:spPr/>
    </dgm:pt>
    <dgm:pt modelId="{198517FC-1D34-4058-BEEC-9A64A8718D3D}" type="pres">
      <dgm:prSet presAssocID="{67115C51-A883-4EE3-B409-08189BBE3D53}" presName="rootComposite" presStyleCnt="0"/>
      <dgm:spPr/>
    </dgm:pt>
    <dgm:pt modelId="{7C29528A-4ABB-4D9E-8CC9-A4580DAB076F}" type="pres">
      <dgm:prSet presAssocID="{67115C51-A883-4EE3-B409-08189BBE3D53}" presName="rootText" presStyleLbl="node2" presStyleIdx="2" presStyleCnt="11">
        <dgm:presLayoutVars>
          <dgm:chPref val="3"/>
        </dgm:presLayoutVars>
      </dgm:prSet>
      <dgm:spPr/>
    </dgm:pt>
    <dgm:pt modelId="{F29D254B-0BCF-4ED3-8E37-4FEBA5DE8B92}" type="pres">
      <dgm:prSet presAssocID="{67115C51-A883-4EE3-B409-08189BBE3D53}" presName="rootConnector" presStyleLbl="node2" presStyleIdx="2" presStyleCnt="11"/>
      <dgm:spPr/>
    </dgm:pt>
    <dgm:pt modelId="{5CCCF1BB-EEEA-4CF1-AFC1-28323908C830}" type="pres">
      <dgm:prSet presAssocID="{67115C51-A883-4EE3-B409-08189BBE3D53}" presName="hierChild4" presStyleCnt="0"/>
      <dgm:spPr/>
    </dgm:pt>
    <dgm:pt modelId="{679A0A91-8899-4675-8FB5-9C1326F074C4}" type="pres">
      <dgm:prSet presAssocID="{67115C51-A883-4EE3-B409-08189BBE3D53}" presName="hierChild5" presStyleCnt="0"/>
      <dgm:spPr/>
    </dgm:pt>
    <dgm:pt modelId="{814BE817-20BD-4068-96E7-D3A555217CF8}" type="pres">
      <dgm:prSet presAssocID="{EC027A1F-5CA4-4116-B8EA-9DC1FD88C86D}" presName="Name37" presStyleLbl="parChTrans1D2" presStyleIdx="3" presStyleCnt="11"/>
      <dgm:spPr/>
    </dgm:pt>
    <dgm:pt modelId="{6923D88B-90B0-4552-9294-50AB03EDF271}" type="pres">
      <dgm:prSet presAssocID="{E2DE8768-7A24-4DA1-A00F-9966F424C496}" presName="hierRoot2" presStyleCnt="0">
        <dgm:presLayoutVars>
          <dgm:hierBranch val="init"/>
        </dgm:presLayoutVars>
      </dgm:prSet>
      <dgm:spPr/>
    </dgm:pt>
    <dgm:pt modelId="{348A1FA0-C9B0-4525-A71E-DA83AECD0D6F}" type="pres">
      <dgm:prSet presAssocID="{E2DE8768-7A24-4DA1-A00F-9966F424C496}" presName="rootComposite" presStyleCnt="0"/>
      <dgm:spPr/>
    </dgm:pt>
    <dgm:pt modelId="{6F198D07-DEE2-4762-8B2A-D14985831D80}" type="pres">
      <dgm:prSet presAssocID="{E2DE8768-7A24-4DA1-A00F-9966F424C496}" presName="rootText" presStyleLbl="node2" presStyleIdx="3" presStyleCnt="11">
        <dgm:presLayoutVars>
          <dgm:chPref val="3"/>
        </dgm:presLayoutVars>
      </dgm:prSet>
      <dgm:spPr/>
    </dgm:pt>
    <dgm:pt modelId="{6527FCFA-10F3-4077-AC2F-7AB670854C83}" type="pres">
      <dgm:prSet presAssocID="{E2DE8768-7A24-4DA1-A00F-9966F424C496}" presName="rootConnector" presStyleLbl="node2" presStyleIdx="3" presStyleCnt="11"/>
      <dgm:spPr/>
    </dgm:pt>
    <dgm:pt modelId="{1C2DE34D-8E12-4FBF-B68D-027DC5ABAACD}" type="pres">
      <dgm:prSet presAssocID="{E2DE8768-7A24-4DA1-A00F-9966F424C496}" presName="hierChild4" presStyleCnt="0"/>
      <dgm:spPr/>
    </dgm:pt>
    <dgm:pt modelId="{37FA2799-46E3-4354-A0A3-C0BE8243F84A}" type="pres">
      <dgm:prSet presAssocID="{E2DE8768-7A24-4DA1-A00F-9966F424C496}" presName="hierChild5" presStyleCnt="0"/>
      <dgm:spPr/>
    </dgm:pt>
    <dgm:pt modelId="{AC18C936-1665-46F5-A9BC-16E717423B83}" type="pres">
      <dgm:prSet presAssocID="{4E1C9DEE-0F2E-428C-9ECB-12261F7CA45B}" presName="Name37" presStyleLbl="parChTrans1D2" presStyleIdx="4" presStyleCnt="11"/>
      <dgm:spPr/>
    </dgm:pt>
    <dgm:pt modelId="{B4B12CE4-6F4E-41D7-B53C-E3A7CEC7F797}" type="pres">
      <dgm:prSet presAssocID="{D6B761BE-A976-4ECA-B6F0-BC9C7584A165}" presName="hierRoot2" presStyleCnt="0">
        <dgm:presLayoutVars>
          <dgm:hierBranch val="init"/>
        </dgm:presLayoutVars>
      </dgm:prSet>
      <dgm:spPr/>
    </dgm:pt>
    <dgm:pt modelId="{BE01550E-A620-4733-8610-62773C487676}" type="pres">
      <dgm:prSet presAssocID="{D6B761BE-A976-4ECA-B6F0-BC9C7584A165}" presName="rootComposite" presStyleCnt="0"/>
      <dgm:spPr/>
    </dgm:pt>
    <dgm:pt modelId="{11C3DFDB-BF2C-42CB-886F-621FFCFDDBC7}" type="pres">
      <dgm:prSet presAssocID="{D6B761BE-A976-4ECA-B6F0-BC9C7584A165}" presName="rootText" presStyleLbl="node2" presStyleIdx="4" presStyleCnt="11">
        <dgm:presLayoutVars>
          <dgm:chPref val="3"/>
        </dgm:presLayoutVars>
      </dgm:prSet>
      <dgm:spPr/>
    </dgm:pt>
    <dgm:pt modelId="{83F3D29B-5E52-4616-8EDD-931622F616A5}" type="pres">
      <dgm:prSet presAssocID="{D6B761BE-A976-4ECA-B6F0-BC9C7584A165}" presName="rootConnector" presStyleLbl="node2" presStyleIdx="4" presStyleCnt="11"/>
      <dgm:spPr/>
    </dgm:pt>
    <dgm:pt modelId="{21E1EF2C-3122-4CBF-8B96-494EF28FD74D}" type="pres">
      <dgm:prSet presAssocID="{D6B761BE-A976-4ECA-B6F0-BC9C7584A165}" presName="hierChild4" presStyleCnt="0"/>
      <dgm:spPr/>
    </dgm:pt>
    <dgm:pt modelId="{30D30E72-CEAD-4DB1-A100-567921775532}" type="pres">
      <dgm:prSet presAssocID="{D6B761BE-A976-4ECA-B6F0-BC9C7584A165}" presName="hierChild5" presStyleCnt="0"/>
      <dgm:spPr/>
    </dgm:pt>
    <dgm:pt modelId="{538B4536-2091-4673-8161-518AF3E8AFB9}" type="pres">
      <dgm:prSet presAssocID="{E6187345-E4EF-4176-B5F1-E84D2E4BDAA6}" presName="Name37" presStyleLbl="parChTrans1D2" presStyleIdx="5" presStyleCnt="11"/>
      <dgm:spPr/>
    </dgm:pt>
    <dgm:pt modelId="{7244E5D6-6999-4D4E-B5FB-E6F40F364D45}" type="pres">
      <dgm:prSet presAssocID="{DAE8B020-C315-4CEF-B769-662976B69168}" presName="hierRoot2" presStyleCnt="0">
        <dgm:presLayoutVars>
          <dgm:hierBranch val="init"/>
        </dgm:presLayoutVars>
      </dgm:prSet>
      <dgm:spPr/>
    </dgm:pt>
    <dgm:pt modelId="{18594C34-2547-4FDB-AF33-39FE349113B9}" type="pres">
      <dgm:prSet presAssocID="{DAE8B020-C315-4CEF-B769-662976B69168}" presName="rootComposite" presStyleCnt="0"/>
      <dgm:spPr/>
    </dgm:pt>
    <dgm:pt modelId="{9F115E95-D69A-4459-90A8-45629E5A2B29}" type="pres">
      <dgm:prSet presAssocID="{DAE8B020-C315-4CEF-B769-662976B69168}" presName="rootText" presStyleLbl="node2" presStyleIdx="5" presStyleCnt="11">
        <dgm:presLayoutVars>
          <dgm:chPref val="3"/>
        </dgm:presLayoutVars>
      </dgm:prSet>
      <dgm:spPr/>
    </dgm:pt>
    <dgm:pt modelId="{36893894-B76B-4875-B69A-2D97CA9BBD3F}" type="pres">
      <dgm:prSet presAssocID="{DAE8B020-C315-4CEF-B769-662976B69168}" presName="rootConnector" presStyleLbl="node2" presStyleIdx="5" presStyleCnt="11"/>
      <dgm:spPr/>
    </dgm:pt>
    <dgm:pt modelId="{EFABAC0D-FA91-48D3-B882-4E10AA8055C7}" type="pres">
      <dgm:prSet presAssocID="{DAE8B020-C315-4CEF-B769-662976B69168}" presName="hierChild4" presStyleCnt="0"/>
      <dgm:spPr/>
    </dgm:pt>
    <dgm:pt modelId="{5EFB08A5-F895-44FB-A00C-543D802CD5C6}" type="pres">
      <dgm:prSet presAssocID="{DAE8B020-C315-4CEF-B769-662976B69168}" presName="hierChild5" presStyleCnt="0"/>
      <dgm:spPr/>
    </dgm:pt>
    <dgm:pt modelId="{8C1631EA-2946-42A0-A368-2EE1103C8CB2}" type="pres">
      <dgm:prSet presAssocID="{95066366-8E4E-468E-A832-7F95130E789B}" presName="Name37" presStyleLbl="parChTrans1D2" presStyleIdx="6" presStyleCnt="11"/>
      <dgm:spPr/>
    </dgm:pt>
    <dgm:pt modelId="{B422BA11-5E85-4B33-BCE6-ACD2C9447078}" type="pres">
      <dgm:prSet presAssocID="{F16C4312-3482-4996-A08E-D84057BAF975}" presName="hierRoot2" presStyleCnt="0">
        <dgm:presLayoutVars>
          <dgm:hierBranch val="init"/>
        </dgm:presLayoutVars>
      </dgm:prSet>
      <dgm:spPr/>
    </dgm:pt>
    <dgm:pt modelId="{2EB88B71-0905-42DA-80E7-64E6E1EEA2B4}" type="pres">
      <dgm:prSet presAssocID="{F16C4312-3482-4996-A08E-D84057BAF975}" presName="rootComposite" presStyleCnt="0"/>
      <dgm:spPr/>
    </dgm:pt>
    <dgm:pt modelId="{8E969031-C241-40CC-8781-44DB0FFC754A}" type="pres">
      <dgm:prSet presAssocID="{F16C4312-3482-4996-A08E-D84057BAF975}" presName="rootText" presStyleLbl="node2" presStyleIdx="6" presStyleCnt="11">
        <dgm:presLayoutVars>
          <dgm:chPref val="3"/>
        </dgm:presLayoutVars>
      </dgm:prSet>
      <dgm:spPr/>
    </dgm:pt>
    <dgm:pt modelId="{03580885-869A-45BD-9F1D-C75C17D55CB9}" type="pres">
      <dgm:prSet presAssocID="{F16C4312-3482-4996-A08E-D84057BAF975}" presName="rootConnector" presStyleLbl="node2" presStyleIdx="6" presStyleCnt="11"/>
      <dgm:spPr/>
    </dgm:pt>
    <dgm:pt modelId="{C6A9152E-1CF7-4663-B0FA-0B2F98BC1160}" type="pres">
      <dgm:prSet presAssocID="{F16C4312-3482-4996-A08E-D84057BAF975}" presName="hierChild4" presStyleCnt="0"/>
      <dgm:spPr/>
    </dgm:pt>
    <dgm:pt modelId="{BF1D4AB3-F254-4CFA-8D83-F97058730171}" type="pres">
      <dgm:prSet presAssocID="{F16C4312-3482-4996-A08E-D84057BAF975}" presName="hierChild5" presStyleCnt="0"/>
      <dgm:spPr/>
    </dgm:pt>
    <dgm:pt modelId="{05E18328-0098-4B2A-9E8C-4663BB90CD5B}" type="pres">
      <dgm:prSet presAssocID="{65F66A1B-C06B-4B59-A511-970B43A8ED69}" presName="Name37" presStyleLbl="parChTrans1D2" presStyleIdx="7" presStyleCnt="11"/>
      <dgm:spPr/>
    </dgm:pt>
    <dgm:pt modelId="{5DC17E1F-1C6C-4D2B-881C-46250FD1269C}" type="pres">
      <dgm:prSet presAssocID="{A998D712-3886-4493-ABD9-35D107D57B88}" presName="hierRoot2" presStyleCnt="0">
        <dgm:presLayoutVars>
          <dgm:hierBranch val="init"/>
        </dgm:presLayoutVars>
      </dgm:prSet>
      <dgm:spPr/>
    </dgm:pt>
    <dgm:pt modelId="{FAC33B43-85B5-4E29-9537-1E005C5E95C7}" type="pres">
      <dgm:prSet presAssocID="{A998D712-3886-4493-ABD9-35D107D57B88}" presName="rootComposite" presStyleCnt="0"/>
      <dgm:spPr/>
    </dgm:pt>
    <dgm:pt modelId="{188A5A3D-7E9D-40C9-9E3A-74E22FE328A8}" type="pres">
      <dgm:prSet presAssocID="{A998D712-3886-4493-ABD9-35D107D57B88}" presName="rootText" presStyleLbl="node2" presStyleIdx="7" presStyleCnt="11">
        <dgm:presLayoutVars>
          <dgm:chPref val="3"/>
        </dgm:presLayoutVars>
      </dgm:prSet>
      <dgm:spPr/>
    </dgm:pt>
    <dgm:pt modelId="{AD23A8B7-1CFF-4D4B-AE58-C9DE4D94B034}" type="pres">
      <dgm:prSet presAssocID="{A998D712-3886-4493-ABD9-35D107D57B88}" presName="rootConnector" presStyleLbl="node2" presStyleIdx="7" presStyleCnt="11"/>
      <dgm:spPr/>
    </dgm:pt>
    <dgm:pt modelId="{E87ACB7A-B92B-4DD2-BF9F-89334527A281}" type="pres">
      <dgm:prSet presAssocID="{A998D712-3886-4493-ABD9-35D107D57B88}" presName="hierChild4" presStyleCnt="0"/>
      <dgm:spPr/>
    </dgm:pt>
    <dgm:pt modelId="{AA5F5A5B-8A11-4FFE-A942-563324EB4FBB}" type="pres">
      <dgm:prSet presAssocID="{A998D712-3886-4493-ABD9-35D107D57B88}" presName="hierChild5" presStyleCnt="0"/>
      <dgm:spPr/>
    </dgm:pt>
    <dgm:pt modelId="{ACDB2EF2-E95D-4CEF-8529-C0BBF4E8BA11}" type="pres">
      <dgm:prSet presAssocID="{6E1B3ADA-089D-4FA8-BB07-24C0BFAD8447}" presName="Name37" presStyleLbl="parChTrans1D2" presStyleIdx="8" presStyleCnt="11"/>
      <dgm:spPr/>
    </dgm:pt>
    <dgm:pt modelId="{2070A64B-C4B0-4CA3-A7D3-C9B4C11D061D}" type="pres">
      <dgm:prSet presAssocID="{5472EC96-B82C-47DA-A70B-97309B3FB5AA}" presName="hierRoot2" presStyleCnt="0">
        <dgm:presLayoutVars>
          <dgm:hierBranch val="init"/>
        </dgm:presLayoutVars>
      </dgm:prSet>
      <dgm:spPr/>
    </dgm:pt>
    <dgm:pt modelId="{6DE7D7AB-260B-420F-98D7-C5829C3A6D7B}" type="pres">
      <dgm:prSet presAssocID="{5472EC96-B82C-47DA-A70B-97309B3FB5AA}" presName="rootComposite" presStyleCnt="0"/>
      <dgm:spPr/>
    </dgm:pt>
    <dgm:pt modelId="{5A4509EF-4742-487D-92D6-06749990D434}" type="pres">
      <dgm:prSet presAssocID="{5472EC96-B82C-47DA-A70B-97309B3FB5AA}" presName="rootText" presStyleLbl="node2" presStyleIdx="8" presStyleCnt="11">
        <dgm:presLayoutVars>
          <dgm:chPref val="3"/>
        </dgm:presLayoutVars>
      </dgm:prSet>
      <dgm:spPr/>
    </dgm:pt>
    <dgm:pt modelId="{C2299060-A3E6-425B-937C-A5EE7F1A18BA}" type="pres">
      <dgm:prSet presAssocID="{5472EC96-B82C-47DA-A70B-97309B3FB5AA}" presName="rootConnector" presStyleLbl="node2" presStyleIdx="8" presStyleCnt="11"/>
      <dgm:spPr/>
    </dgm:pt>
    <dgm:pt modelId="{4A2198EE-6BD2-4EAE-BCE3-4C02956634C5}" type="pres">
      <dgm:prSet presAssocID="{5472EC96-B82C-47DA-A70B-97309B3FB5AA}" presName="hierChild4" presStyleCnt="0"/>
      <dgm:spPr/>
    </dgm:pt>
    <dgm:pt modelId="{C07618E7-A20D-4A7D-8170-411CFB34D81D}" type="pres">
      <dgm:prSet presAssocID="{5472EC96-B82C-47DA-A70B-97309B3FB5AA}" presName="hierChild5" presStyleCnt="0"/>
      <dgm:spPr/>
    </dgm:pt>
    <dgm:pt modelId="{30DBF784-E7E0-4040-B7A2-37CC3EAB80F8}" type="pres">
      <dgm:prSet presAssocID="{BA8DEF98-3557-44CD-8CE3-681D6746E2B7}" presName="Name37" presStyleLbl="parChTrans1D2" presStyleIdx="9" presStyleCnt="11"/>
      <dgm:spPr/>
    </dgm:pt>
    <dgm:pt modelId="{CB555178-F4E8-432F-9FCF-BD6075BBC546}" type="pres">
      <dgm:prSet presAssocID="{450C4EF1-59A3-4E65-9159-43ECF89F4A80}" presName="hierRoot2" presStyleCnt="0">
        <dgm:presLayoutVars>
          <dgm:hierBranch val="init"/>
        </dgm:presLayoutVars>
      </dgm:prSet>
      <dgm:spPr/>
    </dgm:pt>
    <dgm:pt modelId="{234D6511-DBC5-4F55-9BDB-94B1AA50FE5A}" type="pres">
      <dgm:prSet presAssocID="{450C4EF1-59A3-4E65-9159-43ECF89F4A80}" presName="rootComposite" presStyleCnt="0"/>
      <dgm:spPr/>
    </dgm:pt>
    <dgm:pt modelId="{A7FBFD35-40F1-4A8B-A831-58EBF2BE9093}" type="pres">
      <dgm:prSet presAssocID="{450C4EF1-59A3-4E65-9159-43ECF89F4A80}" presName="rootText" presStyleLbl="node2" presStyleIdx="9" presStyleCnt="11">
        <dgm:presLayoutVars>
          <dgm:chPref val="3"/>
        </dgm:presLayoutVars>
      </dgm:prSet>
      <dgm:spPr/>
    </dgm:pt>
    <dgm:pt modelId="{2115575F-2B63-4260-9315-D1C256D2DCF6}" type="pres">
      <dgm:prSet presAssocID="{450C4EF1-59A3-4E65-9159-43ECF89F4A80}" presName="rootConnector" presStyleLbl="node2" presStyleIdx="9" presStyleCnt="11"/>
      <dgm:spPr/>
    </dgm:pt>
    <dgm:pt modelId="{339B2EE7-93B7-48DE-BE6E-DFEB53A42E45}" type="pres">
      <dgm:prSet presAssocID="{450C4EF1-59A3-4E65-9159-43ECF89F4A80}" presName="hierChild4" presStyleCnt="0"/>
      <dgm:spPr/>
    </dgm:pt>
    <dgm:pt modelId="{9D6CDE1C-538A-4459-8BCA-4BE61D87E483}" type="pres">
      <dgm:prSet presAssocID="{450C4EF1-59A3-4E65-9159-43ECF89F4A80}" presName="hierChild5" presStyleCnt="0"/>
      <dgm:spPr/>
    </dgm:pt>
    <dgm:pt modelId="{090885F2-256F-4D05-827D-DD55AE8F3CBD}" type="pres">
      <dgm:prSet presAssocID="{FD0F9AA3-438A-4272-BC8C-07C21BBC5CD2}" presName="Name37" presStyleLbl="parChTrans1D2" presStyleIdx="10" presStyleCnt="11"/>
      <dgm:spPr/>
    </dgm:pt>
    <dgm:pt modelId="{8C66EE93-41CF-40BE-957D-E6D5E56ADDFB}" type="pres">
      <dgm:prSet presAssocID="{670C2973-B458-4DF4-80A5-9AE9DD6E3924}" presName="hierRoot2" presStyleCnt="0">
        <dgm:presLayoutVars>
          <dgm:hierBranch val="init"/>
        </dgm:presLayoutVars>
      </dgm:prSet>
      <dgm:spPr/>
    </dgm:pt>
    <dgm:pt modelId="{CF7163A7-1E7C-4308-84E6-21F550A7EE97}" type="pres">
      <dgm:prSet presAssocID="{670C2973-B458-4DF4-80A5-9AE9DD6E3924}" presName="rootComposite" presStyleCnt="0"/>
      <dgm:spPr/>
    </dgm:pt>
    <dgm:pt modelId="{346E088F-2C8F-4BB4-A8D1-D13B9BE43B05}" type="pres">
      <dgm:prSet presAssocID="{670C2973-B458-4DF4-80A5-9AE9DD6E3924}" presName="rootText" presStyleLbl="node2" presStyleIdx="10" presStyleCnt="11">
        <dgm:presLayoutVars>
          <dgm:chPref val="3"/>
        </dgm:presLayoutVars>
      </dgm:prSet>
      <dgm:spPr/>
    </dgm:pt>
    <dgm:pt modelId="{67A51AA6-D57B-4976-83E4-99540045BA44}" type="pres">
      <dgm:prSet presAssocID="{670C2973-B458-4DF4-80A5-9AE9DD6E3924}" presName="rootConnector" presStyleLbl="node2" presStyleIdx="10" presStyleCnt="11"/>
      <dgm:spPr/>
    </dgm:pt>
    <dgm:pt modelId="{B9A96976-1240-44D2-A71F-AF04BA58FF3E}" type="pres">
      <dgm:prSet presAssocID="{670C2973-B458-4DF4-80A5-9AE9DD6E3924}" presName="hierChild4" presStyleCnt="0"/>
      <dgm:spPr/>
    </dgm:pt>
    <dgm:pt modelId="{180FAF06-CDD9-4A55-AECF-370E455C47C6}" type="pres">
      <dgm:prSet presAssocID="{670C2973-B458-4DF4-80A5-9AE9DD6E3924}" presName="hierChild5" presStyleCnt="0"/>
      <dgm:spPr/>
    </dgm:pt>
    <dgm:pt modelId="{F3B36C01-ECE6-47F4-AA24-EE6BCC975CCC}" type="pres">
      <dgm:prSet presAssocID="{AAE2B1B3-9997-428D-86D1-7376D4DD1D68}" presName="hierChild3" presStyleCnt="0"/>
      <dgm:spPr/>
    </dgm:pt>
  </dgm:ptLst>
  <dgm:cxnLst>
    <dgm:cxn modelId="{11138501-3E50-40F0-8EB9-1DDA39E06B14}" type="presOf" srcId="{E6187345-E4EF-4176-B5F1-E84D2E4BDAA6}" destId="{538B4536-2091-4673-8161-518AF3E8AFB9}" srcOrd="0" destOrd="0" presId="urn:microsoft.com/office/officeart/2005/8/layout/orgChart1"/>
    <dgm:cxn modelId="{76998A09-C914-4B8E-ABF1-6D37D0F066D9}" type="presOf" srcId="{7DFF5416-5D9A-4D40-83A0-0E0EC8A04C28}" destId="{49DD5EBC-49EA-4CAA-AA83-7610046646AB}" srcOrd="1" destOrd="0" presId="urn:microsoft.com/office/officeart/2005/8/layout/orgChart1"/>
    <dgm:cxn modelId="{EA51670A-8833-4EAB-9DF1-F64B3D99C589}" type="presOf" srcId="{65F66A1B-C06B-4B59-A511-970B43A8ED69}" destId="{05E18328-0098-4B2A-9E8C-4663BB90CD5B}" srcOrd="0" destOrd="0" presId="urn:microsoft.com/office/officeart/2005/8/layout/orgChart1"/>
    <dgm:cxn modelId="{A7FFE20C-6975-4F37-8D3A-BD984CAFAFCC}" srcId="{AAE2B1B3-9997-428D-86D1-7376D4DD1D68}" destId="{5472EC96-B82C-47DA-A70B-97309B3FB5AA}" srcOrd="8" destOrd="0" parTransId="{6E1B3ADA-089D-4FA8-BB07-24C0BFAD8447}" sibTransId="{7BF41144-2D7E-4470-A968-1FB18CA512DF}"/>
    <dgm:cxn modelId="{6A19020D-9E02-420F-BFC0-FA614EE6C0A2}" srcId="{AAE2B1B3-9997-428D-86D1-7376D4DD1D68}" destId="{DAE8B020-C315-4CEF-B769-662976B69168}" srcOrd="5" destOrd="0" parTransId="{E6187345-E4EF-4176-B5F1-E84D2E4BDAA6}" sibTransId="{7A124993-2594-4D73-A51D-14C8FCEFD74B}"/>
    <dgm:cxn modelId="{9F43880D-169B-4FF7-AFA8-DD04D5BC0BD1}" srcId="{AAE2B1B3-9997-428D-86D1-7376D4DD1D68}" destId="{E2DE8768-7A24-4DA1-A00F-9966F424C496}" srcOrd="3" destOrd="0" parTransId="{EC027A1F-5CA4-4116-B8EA-9DC1FD88C86D}" sibTransId="{17779583-8204-4EE9-B0D4-DA82D2ED117C}"/>
    <dgm:cxn modelId="{E32BB10D-19B0-4031-8C08-639E95E5156C}" type="presOf" srcId="{A998D712-3886-4493-ABD9-35D107D57B88}" destId="{188A5A3D-7E9D-40C9-9E3A-74E22FE328A8}" srcOrd="0" destOrd="0" presId="urn:microsoft.com/office/officeart/2005/8/layout/orgChart1"/>
    <dgm:cxn modelId="{E9773410-8F71-469A-883F-99A80D062DC1}" type="presOf" srcId="{FD0F9AA3-438A-4272-BC8C-07C21BBC5CD2}" destId="{090885F2-256F-4D05-827D-DD55AE8F3CBD}" srcOrd="0" destOrd="0" presId="urn:microsoft.com/office/officeart/2005/8/layout/orgChart1"/>
    <dgm:cxn modelId="{36571B12-6C37-42E8-8447-709D544C3329}" type="presOf" srcId="{DAE8B020-C315-4CEF-B769-662976B69168}" destId="{9F115E95-D69A-4459-90A8-45629E5A2B29}" srcOrd="0" destOrd="0" presId="urn:microsoft.com/office/officeart/2005/8/layout/orgChart1"/>
    <dgm:cxn modelId="{5B4E0018-E619-46D9-AC39-D969AB76AEE5}" type="presOf" srcId="{D6B761BE-A976-4ECA-B6F0-BC9C7584A165}" destId="{83F3D29B-5E52-4616-8EDD-931622F616A5}" srcOrd="1" destOrd="0" presId="urn:microsoft.com/office/officeart/2005/8/layout/orgChart1"/>
    <dgm:cxn modelId="{473FD91C-1915-407E-B76A-43B9BF1D96FA}" type="presOf" srcId="{F16C4312-3482-4996-A08E-D84057BAF975}" destId="{8E969031-C241-40CC-8781-44DB0FFC754A}" srcOrd="0" destOrd="0" presId="urn:microsoft.com/office/officeart/2005/8/layout/orgChart1"/>
    <dgm:cxn modelId="{F6FE6A1E-560D-4891-B771-86BDAAAA12F9}" type="presOf" srcId="{BA8DEF98-3557-44CD-8CE3-681D6746E2B7}" destId="{30DBF784-E7E0-4040-B7A2-37CC3EAB80F8}" srcOrd="0" destOrd="0" presId="urn:microsoft.com/office/officeart/2005/8/layout/orgChart1"/>
    <dgm:cxn modelId="{8CB7BC20-0DCC-4172-9316-7248538C4432}" srcId="{AAE2B1B3-9997-428D-86D1-7376D4DD1D68}" destId="{670C2973-B458-4DF4-80A5-9AE9DD6E3924}" srcOrd="10" destOrd="0" parTransId="{FD0F9AA3-438A-4272-BC8C-07C21BBC5CD2}" sibTransId="{AB5DF819-E93F-4DB4-B362-AAEF70C86B42}"/>
    <dgm:cxn modelId="{BD0CF721-3AD2-44E7-BB4F-09A6BBE89F6E}" type="presOf" srcId="{E2DE8768-7A24-4DA1-A00F-9966F424C496}" destId="{6527FCFA-10F3-4077-AC2F-7AB670854C83}" srcOrd="1" destOrd="0" presId="urn:microsoft.com/office/officeart/2005/8/layout/orgChart1"/>
    <dgm:cxn modelId="{DB709127-DFA8-4E4C-B7F3-4A7902E22001}" srcId="{AAE2B1B3-9997-428D-86D1-7376D4DD1D68}" destId="{450C4EF1-59A3-4E65-9159-43ECF89F4A80}" srcOrd="9" destOrd="0" parTransId="{BA8DEF98-3557-44CD-8CE3-681D6746E2B7}" sibTransId="{C03C5246-69ED-40C5-8E0F-B004A6A52952}"/>
    <dgm:cxn modelId="{B2E0EB2A-D2D9-4233-9EED-F3FBC4AADC65}" type="presOf" srcId="{95066366-8E4E-468E-A832-7F95130E789B}" destId="{8C1631EA-2946-42A0-A368-2EE1103C8CB2}" srcOrd="0" destOrd="0" presId="urn:microsoft.com/office/officeart/2005/8/layout/orgChart1"/>
    <dgm:cxn modelId="{17113A2E-7E9E-43EA-9E8E-EFE8EBCF578B}" srcId="{AAE2B1B3-9997-428D-86D1-7376D4DD1D68}" destId="{A998D712-3886-4493-ABD9-35D107D57B88}" srcOrd="7" destOrd="0" parTransId="{65F66A1B-C06B-4B59-A511-970B43A8ED69}" sibTransId="{E4876C81-BF53-40F8-A61B-C94F0CA2BFE4}"/>
    <dgm:cxn modelId="{4C93FA39-E0DE-4C60-B6A4-F268CFB7C65F}" type="presOf" srcId="{DAE8B020-C315-4CEF-B769-662976B69168}" destId="{36893894-B76B-4875-B69A-2D97CA9BBD3F}" srcOrd="1" destOrd="0" presId="urn:microsoft.com/office/officeart/2005/8/layout/orgChart1"/>
    <dgm:cxn modelId="{B56F915E-1D00-4B4C-A87B-85FD399AF1EF}" type="presOf" srcId="{6C0DFE3C-EBA5-4891-B4CE-04DAC90C390C}" destId="{FF0F2BDA-A548-45EE-B74F-25D89BE33C4F}" srcOrd="0" destOrd="0" presId="urn:microsoft.com/office/officeart/2005/8/layout/orgChart1"/>
    <dgm:cxn modelId="{BD144761-7782-47E6-8BAF-7C8F58B694FD}" type="presOf" srcId="{AAE2B1B3-9997-428D-86D1-7376D4DD1D68}" destId="{E6F69A6F-B698-4813-924B-7F5869D5499E}" srcOrd="1" destOrd="0" presId="urn:microsoft.com/office/officeart/2005/8/layout/orgChart1"/>
    <dgm:cxn modelId="{4B836A62-34C0-4145-94A7-E54DE9EC3B5F}" type="presOf" srcId="{D6B761BE-A976-4ECA-B6F0-BC9C7584A165}" destId="{11C3DFDB-BF2C-42CB-886F-621FFCFDDBC7}" srcOrd="0" destOrd="0" presId="urn:microsoft.com/office/officeart/2005/8/layout/orgChart1"/>
    <dgm:cxn modelId="{4EFB064A-C8CE-4337-92AC-F6123C717CDF}" type="presOf" srcId="{DA63F84D-949E-4400-AAAC-4E0C04335AA9}" destId="{ADF91D25-03F0-4D66-AD4B-E1A551C3B5B6}" srcOrd="0" destOrd="0" presId="urn:microsoft.com/office/officeart/2005/8/layout/orgChart1"/>
    <dgm:cxn modelId="{42B6286B-4A7B-4E1A-B552-2A623B16950B}" type="presOf" srcId="{5472EC96-B82C-47DA-A70B-97309B3FB5AA}" destId="{C2299060-A3E6-425B-937C-A5EE7F1A18BA}" srcOrd="1" destOrd="0" presId="urn:microsoft.com/office/officeart/2005/8/layout/orgChart1"/>
    <dgm:cxn modelId="{C148164E-F09D-4C24-9071-AB1942E3B9A2}" type="presOf" srcId="{1ED30823-374E-4FB2-9C75-BA331A127176}" destId="{C4C2D3BB-6ECF-4C99-85F6-7DC9A440335B}" srcOrd="0" destOrd="0" presId="urn:microsoft.com/office/officeart/2005/8/layout/orgChart1"/>
    <dgm:cxn modelId="{026B2172-E370-4BB2-B6A3-85715AF4D79A}" type="presOf" srcId="{7DFF5416-5D9A-4D40-83A0-0E0EC8A04C28}" destId="{CB8CDFAB-5197-456C-9DAF-272844F42B0F}" srcOrd="0" destOrd="0" presId="urn:microsoft.com/office/officeart/2005/8/layout/orgChart1"/>
    <dgm:cxn modelId="{B276C352-86F5-42E2-B88C-E3351F1EF5A1}" type="presOf" srcId="{4E1C9DEE-0F2E-428C-9ECB-12261F7CA45B}" destId="{AC18C936-1665-46F5-A9BC-16E717423B83}" srcOrd="0" destOrd="0" presId="urn:microsoft.com/office/officeart/2005/8/layout/orgChart1"/>
    <dgm:cxn modelId="{3022C872-9778-4C3B-B406-AAE1CED267F8}" type="presOf" srcId="{E2DE8768-7A24-4DA1-A00F-9966F424C496}" destId="{6F198D07-DEE2-4762-8B2A-D14985831D80}" srcOrd="0" destOrd="0" presId="urn:microsoft.com/office/officeart/2005/8/layout/orgChart1"/>
    <dgm:cxn modelId="{41953B53-D919-4327-BEF1-B7ADAB6D2497}" type="presOf" srcId="{5472EC96-B82C-47DA-A70B-97309B3FB5AA}" destId="{5A4509EF-4742-487D-92D6-06749990D434}" srcOrd="0" destOrd="0" presId="urn:microsoft.com/office/officeart/2005/8/layout/orgChart1"/>
    <dgm:cxn modelId="{6177CB73-17BA-4931-9F2D-961377888CD4}" type="presOf" srcId="{F16C4312-3482-4996-A08E-D84057BAF975}" destId="{03580885-869A-45BD-9F1D-C75C17D55CB9}" srcOrd="1" destOrd="0" presId="urn:microsoft.com/office/officeart/2005/8/layout/orgChart1"/>
    <dgm:cxn modelId="{76E79F79-B649-49BC-A0DC-311136D0BBAB}" type="presOf" srcId="{EC027A1F-5CA4-4116-B8EA-9DC1FD88C86D}" destId="{814BE817-20BD-4068-96E7-D3A555217CF8}" srcOrd="0" destOrd="0" presId="urn:microsoft.com/office/officeart/2005/8/layout/orgChart1"/>
    <dgm:cxn modelId="{9772745A-91C7-4E5A-BE9F-A06FBFA99168}" type="presOf" srcId="{78356D54-026C-4375-898A-37EF52D0FABB}" destId="{6B10C729-394F-4DF5-8868-AE9841BCC9C9}" srcOrd="0" destOrd="0" presId="urn:microsoft.com/office/officeart/2005/8/layout/orgChart1"/>
    <dgm:cxn modelId="{532D3888-27FF-4BA0-A350-F16DD2DA720C}" srcId="{AAE2B1B3-9997-428D-86D1-7376D4DD1D68}" destId="{D6B761BE-A976-4ECA-B6F0-BC9C7584A165}" srcOrd="4" destOrd="0" parTransId="{4E1C9DEE-0F2E-428C-9ECB-12261F7CA45B}" sibTransId="{5F8FC1EE-B241-43F2-A5D9-9988357A8008}"/>
    <dgm:cxn modelId="{37F1338A-7DA6-43AC-9315-BDBE9FDDDDD1}" type="presOf" srcId="{450C4EF1-59A3-4E65-9159-43ECF89F4A80}" destId="{2115575F-2B63-4260-9315-D1C256D2DCF6}" srcOrd="1" destOrd="0" presId="urn:microsoft.com/office/officeart/2005/8/layout/orgChart1"/>
    <dgm:cxn modelId="{27EB638A-051F-4D42-9529-CBD6F4B186CA}" type="presOf" srcId="{AAE2B1B3-9997-428D-86D1-7376D4DD1D68}" destId="{60F7721B-BCA3-4AD1-839A-1EA558D56030}" srcOrd="0" destOrd="0" presId="urn:microsoft.com/office/officeart/2005/8/layout/orgChart1"/>
    <dgm:cxn modelId="{D090FD8B-E49B-4FF9-9410-EAB62B4BE485}" srcId="{DA63F84D-949E-4400-AAAC-4E0C04335AA9}" destId="{AAE2B1B3-9997-428D-86D1-7376D4DD1D68}" srcOrd="0" destOrd="0" parTransId="{E0B39337-7010-4BF9-9513-24B24A39CCEB}" sibTransId="{27792570-5096-4743-9B56-047B01439871}"/>
    <dgm:cxn modelId="{B2CCE59E-550E-4C21-B521-0E44860AE27A}" type="presOf" srcId="{6E1B3ADA-089D-4FA8-BB07-24C0BFAD8447}" destId="{ACDB2EF2-E95D-4CEF-8529-C0BBF4E8BA11}" srcOrd="0" destOrd="0" presId="urn:microsoft.com/office/officeart/2005/8/layout/orgChart1"/>
    <dgm:cxn modelId="{9D0266A6-0168-4654-9E88-DB80DE4D0265}" type="presOf" srcId="{450C4EF1-59A3-4E65-9159-43ECF89F4A80}" destId="{A7FBFD35-40F1-4A8B-A831-58EBF2BE9093}" srcOrd="0" destOrd="0" presId="urn:microsoft.com/office/officeart/2005/8/layout/orgChart1"/>
    <dgm:cxn modelId="{A2A8C1CA-9901-4C5D-B8C0-6D1048E156FA}" type="presOf" srcId="{670C2973-B458-4DF4-80A5-9AE9DD6E3924}" destId="{346E088F-2C8F-4BB4-A8D1-D13B9BE43B05}" srcOrd="0" destOrd="0" presId="urn:microsoft.com/office/officeart/2005/8/layout/orgChart1"/>
    <dgm:cxn modelId="{F1B210CF-AFB3-40E5-AED7-F5CF5E83267F}" type="presOf" srcId="{60C67E67-201C-42BC-99FA-71020A7AAAF6}" destId="{31DE8AE3-074D-4C76-9F6F-E5EE6420A116}" srcOrd="0" destOrd="0" presId="urn:microsoft.com/office/officeart/2005/8/layout/orgChart1"/>
    <dgm:cxn modelId="{DD60A3D2-63C4-4CA4-9D4E-159CA1E07EB0}" type="presOf" srcId="{67115C51-A883-4EE3-B409-08189BBE3D53}" destId="{F29D254B-0BCF-4ED3-8E37-4FEBA5DE8B92}" srcOrd="1" destOrd="0" presId="urn:microsoft.com/office/officeart/2005/8/layout/orgChart1"/>
    <dgm:cxn modelId="{AC7951D6-D2B8-4959-A58B-16847B589465}" srcId="{AAE2B1B3-9997-428D-86D1-7376D4DD1D68}" destId="{7DFF5416-5D9A-4D40-83A0-0E0EC8A04C28}" srcOrd="1" destOrd="0" parTransId="{60C67E67-201C-42BC-99FA-71020A7AAAF6}" sibTransId="{A776D2E3-F569-45F1-8525-09998B42EE21}"/>
    <dgm:cxn modelId="{E368FED7-EF37-43ED-8F77-4C6AAA347A62}" srcId="{AAE2B1B3-9997-428D-86D1-7376D4DD1D68}" destId="{6C0DFE3C-EBA5-4891-B4CE-04DAC90C390C}" srcOrd="0" destOrd="0" parTransId="{78356D54-026C-4375-898A-37EF52D0FABB}" sibTransId="{4805E76E-898F-4D48-A40A-E5D818E6B217}"/>
    <dgm:cxn modelId="{08F7ACE9-E020-4AA9-BBDB-B908593403A8}" srcId="{AAE2B1B3-9997-428D-86D1-7376D4DD1D68}" destId="{67115C51-A883-4EE3-B409-08189BBE3D53}" srcOrd="2" destOrd="0" parTransId="{1ED30823-374E-4FB2-9C75-BA331A127176}" sibTransId="{51B66E91-37FF-4E83-8934-5375A039ED2D}"/>
    <dgm:cxn modelId="{B800DEEB-8BDE-46A9-AEC4-8EFB5472C763}" type="presOf" srcId="{6C0DFE3C-EBA5-4891-B4CE-04DAC90C390C}" destId="{E5888C2A-F8A0-4582-A1CE-143E5D56C5F1}" srcOrd="1" destOrd="0" presId="urn:microsoft.com/office/officeart/2005/8/layout/orgChart1"/>
    <dgm:cxn modelId="{C311BDEE-736C-4334-9BEE-8B89131B9E3E}" type="presOf" srcId="{670C2973-B458-4DF4-80A5-9AE9DD6E3924}" destId="{67A51AA6-D57B-4976-83E4-99540045BA44}" srcOrd="1" destOrd="0" presId="urn:microsoft.com/office/officeart/2005/8/layout/orgChart1"/>
    <dgm:cxn modelId="{C6E22DEF-BBFF-46EB-A9E6-79A63FC8942C}" type="presOf" srcId="{67115C51-A883-4EE3-B409-08189BBE3D53}" destId="{7C29528A-4ABB-4D9E-8CC9-A4580DAB076F}" srcOrd="0" destOrd="0" presId="urn:microsoft.com/office/officeart/2005/8/layout/orgChart1"/>
    <dgm:cxn modelId="{199FD5F0-3A1A-4696-B136-5025F510525B}" type="presOf" srcId="{A998D712-3886-4493-ABD9-35D107D57B88}" destId="{AD23A8B7-1CFF-4D4B-AE58-C9DE4D94B034}" srcOrd="1" destOrd="0" presId="urn:microsoft.com/office/officeart/2005/8/layout/orgChart1"/>
    <dgm:cxn modelId="{72A6CDFA-A17B-4A32-90BD-0750EC1E3B7C}" srcId="{AAE2B1B3-9997-428D-86D1-7376D4DD1D68}" destId="{F16C4312-3482-4996-A08E-D84057BAF975}" srcOrd="6" destOrd="0" parTransId="{95066366-8E4E-468E-A832-7F95130E789B}" sibTransId="{F6BED35D-C81A-4E07-A917-3AA3D5B443A0}"/>
    <dgm:cxn modelId="{C9376605-7697-47C1-9B51-5227B5AB525A}" type="presParOf" srcId="{ADF91D25-03F0-4D66-AD4B-E1A551C3B5B6}" destId="{C618C2DE-69B6-4EE6-975C-C3EB59363F3B}" srcOrd="0" destOrd="0" presId="urn:microsoft.com/office/officeart/2005/8/layout/orgChart1"/>
    <dgm:cxn modelId="{C4E216E7-D867-464B-9267-6BB8B73B65A1}" type="presParOf" srcId="{C618C2DE-69B6-4EE6-975C-C3EB59363F3B}" destId="{F7F001C0-43F1-4547-950F-04983EB6C938}" srcOrd="0" destOrd="0" presId="urn:microsoft.com/office/officeart/2005/8/layout/orgChart1"/>
    <dgm:cxn modelId="{0C8B0AC2-E5B9-489F-A59F-2CCD6A58058E}" type="presParOf" srcId="{F7F001C0-43F1-4547-950F-04983EB6C938}" destId="{60F7721B-BCA3-4AD1-839A-1EA558D56030}" srcOrd="0" destOrd="0" presId="urn:microsoft.com/office/officeart/2005/8/layout/orgChart1"/>
    <dgm:cxn modelId="{4F467B71-802D-4E6E-B889-9E77A43FFB43}" type="presParOf" srcId="{F7F001C0-43F1-4547-950F-04983EB6C938}" destId="{E6F69A6F-B698-4813-924B-7F5869D5499E}" srcOrd="1" destOrd="0" presId="urn:microsoft.com/office/officeart/2005/8/layout/orgChart1"/>
    <dgm:cxn modelId="{D822BA75-1772-4EA4-BD1B-F2F2DD4A094A}" type="presParOf" srcId="{C618C2DE-69B6-4EE6-975C-C3EB59363F3B}" destId="{287EDC87-D461-44EA-BA6C-3F444559BE1E}" srcOrd="1" destOrd="0" presId="urn:microsoft.com/office/officeart/2005/8/layout/orgChart1"/>
    <dgm:cxn modelId="{18FF9960-EA9F-4932-8FDD-006CF3118148}" type="presParOf" srcId="{287EDC87-D461-44EA-BA6C-3F444559BE1E}" destId="{6B10C729-394F-4DF5-8868-AE9841BCC9C9}" srcOrd="0" destOrd="0" presId="urn:microsoft.com/office/officeart/2005/8/layout/orgChart1"/>
    <dgm:cxn modelId="{449E1934-26B5-4543-865A-6730E0E77845}" type="presParOf" srcId="{287EDC87-D461-44EA-BA6C-3F444559BE1E}" destId="{5D84123A-8022-4D21-9A01-5FEF0C8CE2F0}" srcOrd="1" destOrd="0" presId="urn:microsoft.com/office/officeart/2005/8/layout/orgChart1"/>
    <dgm:cxn modelId="{68735D2C-6C7D-4CD3-8BCE-02DE87C8CECB}" type="presParOf" srcId="{5D84123A-8022-4D21-9A01-5FEF0C8CE2F0}" destId="{33C5BCC3-EA15-47ED-916B-A211BE9E4CE6}" srcOrd="0" destOrd="0" presId="urn:microsoft.com/office/officeart/2005/8/layout/orgChart1"/>
    <dgm:cxn modelId="{CE350B7A-2C54-4672-A3A0-87A285C4E06B}" type="presParOf" srcId="{33C5BCC3-EA15-47ED-916B-A211BE9E4CE6}" destId="{FF0F2BDA-A548-45EE-B74F-25D89BE33C4F}" srcOrd="0" destOrd="0" presId="urn:microsoft.com/office/officeart/2005/8/layout/orgChart1"/>
    <dgm:cxn modelId="{57DB6ECC-7565-4999-A664-A6E3549382EF}" type="presParOf" srcId="{33C5BCC3-EA15-47ED-916B-A211BE9E4CE6}" destId="{E5888C2A-F8A0-4582-A1CE-143E5D56C5F1}" srcOrd="1" destOrd="0" presId="urn:microsoft.com/office/officeart/2005/8/layout/orgChart1"/>
    <dgm:cxn modelId="{A4F0AB99-90F3-4AA8-9476-404D64C651B1}" type="presParOf" srcId="{5D84123A-8022-4D21-9A01-5FEF0C8CE2F0}" destId="{32C9ADBD-A502-40FD-B558-EA942DF2BC89}" srcOrd="1" destOrd="0" presId="urn:microsoft.com/office/officeart/2005/8/layout/orgChart1"/>
    <dgm:cxn modelId="{C0C436EA-BBD4-48F1-8EFE-4467F578CC7F}" type="presParOf" srcId="{5D84123A-8022-4D21-9A01-5FEF0C8CE2F0}" destId="{D9A33233-09F2-4B87-9BA1-B8E2F014B1D4}" srcOrd="2" destOrd="0" presId="urn:microsoft.com/office/officeart/2005/8/layout/orgChart1"/>
    <dgm:cxn modelId="{DBAAB97A-2E6C-46A8-9092-42014385C0EC}" type="presParOf" srcId="{287EDC87-D461-44EA-BA6C-3F444559BE1E}" destId="{31DE8AE3-074D-4C76-9F6F-E5EE6420A116}" srcOrd="2" destOrd="0" presId="urn:microsoft.com/office/officeart/2005/8/layout/orgChart1"/>
    <dgm:cxn modelId="{35898899-4FB1-4661-8636-5A09F02BCCC3}" type="presParOf" srcId="{287EDC87-D461-44EA-BA6C-3F444559BE1E}" destId="{A84059A8-6D6F-4176-B683-669A0946AAFC}" srcOrd="3" destOrd="0" presId="urn:microsoft.com/office/officeart/2005/8/layout/orgChart1"/>
    <dgm:cxn modelId="{5B7729D1-A721-4B35-AB52-232E6907988D}" type="presParOf" srcId="{A84059A8-6D6F-4176-B683-669A0946AAFC}" destId="{C029E956-0A49-4512-818E-C81FB7DDF62A}" srcOrd="0" destOrd="0" presId="urn:microsoft.com/office/officeart/2005/8/layout/orgChart1"/>
    <dgm:cxn modelId="{B6EF5A1E-3583-49FF-88AB-5178A8BCFCC7}" type="presParOf" srcId="{C029E956-0A49-4512-818E-C81FB7DDF62A}" destId="{CB8CDFAB-5197-456C-9DAF-272844F42B0F}" srcOrd="0" destOrd="0" presId="urn:microsoft.com/office/officeart/2005/8/layout/orgChart1"/>
    <dgm:cxn modelId="{5099FE5B-9337-4109-AAE3-251991F7F87E}" type="presParOf" srcId="{C029E956-0A49-4512-818E-C81FB7DDF62A}" destId="{49DD5EBC-49EA-4CAA-AA83-7610046646AB}" srcOrd="1" destOrd="0" presId="urn:microsoft.com/office/officeart/2005/8/layout/orgChart1"/>
    <dgm:cxn modelId="{026B3566-F2F8-4987-B717-E2D268E0E37F}" type="presParOf" srcId="{A84059A8-6D6F-4176-B683-669A0946AAFC}" destId="{5E19466F-ED48-48B5-804B-8B0FC3BED3D3}" srcOrd="1" destOrd="0" presId="urn:microsoft.com/office/officeart/2005/8/layout/orgChart1"/>
    <dgm:cxn modelId="{4BE3B22B-53CC-42FD-ACA4-B0A77CC67A76}" type="presParOf" srcId="{A84059A8-6D6F-4176-B683-669A0946AAFC}" destId="{983F15A9-4F0D-452E-9023-D7EB08244B75}" srcOrd="2" destOrd="0" presId="urn:microsoft.com/office/officeart/2005/8/layout/orgChart1"/>
    <dgm:cxn modelId="{826A5A97-5734-47F7-9CD1-A1E960353471}" type="presParOf" srcId="{287EDC87-D461-44EA-BA6C-3F444559BE1E}" destId="{C4C2D3BB-6ECF-4C99-85F6-7DC9A440335B}" srcOrd="4" destOrd="0" presId="urn:microsoft.com/office/officeart/2005/8/layout/orgChart1"/>
    <dgm:cxn modelId="{1F7378B2-F9D0-42F1-B43D-28EA3F68A992}" type="presParOf" srcId="{287EDC87-D461-44EA-BA6C-3F444559BE1E}" destId="{B3F215F8-58E1-471E-BDD9-EE0C8E8FB191}" srcOrd="5" destOrd="0" presId="urn:microsoft.com/office/officeart/2005/8/layout/orgChart1"/>
    <dgm:cxn modelId="{80A7F6DA-5DB8-40B5-B769-D8E2898F278D}" type="presParOf" srcId="{B3F215F8-58E1-471E-BDD9-EE0C8E8FB191}" destId="{198517FC-1D34-4058-BEEC-9A64A8718D3D}" srcOrd="0" destOrd="0" presId="urn:microsoft.com/office/officeart/2005/8/layout/orgChart1"/>
    <dgm:cxn modelId="{16F68F20-6B52-45BC-BBB7-45E72F78E406}" type="presParOf" srcId="{198517FC-1D34-4058-BEEC-9A64A8718D3D}" destId="{7C29528A-4ABB-4D9E-8CC9-A4580DAB076F}" srcOrd="0" destOrd="0" presId="urn:microsoft.com/office/officeart/2005/8/layout/orgChart1"/>
    <dgm:cxn modelId="{D5D86D48-C7E6-4845-B936-AE5748D78E96}" type="presParOf" srcId="{198517FC-1D34-4058-BEEC-9A64A8718D3D}" destId="{F29D254B-0BCF-4ED3-8E37-4FEBA5DE8B92}" srcOrd="1" destOrd="0" presId="urn:microsoft.com/office/officeart/2005/8/layout/orgChart1"/>
    <dgm:cxn modelId="{66D1432D-858E-4713-9AC6-380539724FBF}" type="presParOf" srcId="{B3F215F8-58E1-471E-BDD9-EE0C8E8FB191}" destId="{5CCCF1BB-EEEA-4CF1-AFC1-28323908C830}" srcOrd="1" destOrd="0" presId="urn:microsoft.com/office/officeart/2005/8/layout/orgChart1"/>
    <dgm:cxn modelId="{534FABC3-38F5-4D7F-BC0A-6B95DFDC1EBA}" type="presParOf" srcId="{B3F215F8-58E1-471E-BDD9-EE0C8E8FB191}" destId="{679A0A91-8899-4675-8FB5-9C1326F074C4}" srcOrd="2" destOrd="0" presId="urn:microsoft.com/office/officeart/2005/8/layout/orgChart1"/>
    <dgm:cxn modelId="{FED2E08E-6C6E-4E2B-B2EB-82E549B68FBF}" type="presParOf" srcId="{287EDC87-D461-44EA-BA6C-3F444559BE1E}" destId="{814BE817-20BD-4068-96E7-D3A555217CF8}" srcOrd="6" destOrd="0" presId="urn:microsoft.com/office/officeart/2005/8/layout/orgChart1"/>
    <dgm:cxn modelId="{31A690CC-58D8-45E1-BF14-254CAE4EBC15}" type="presParOf" srcId="{287EDC87-D461-44EA-BA6C-3F444559BE1E}" destId="{6923D88B-90B0-4552-9294-50AB03EDF271}" srcOrd="7" destOrd="0" presId="urn:microsoft.com/office/officeart/2005/8/layout/orgChart1"/>
    <dgm:cxn modelId="{9FDFB7D0-E1F6-4B02-8C04-70A43526ACCB}" type="presParOf" srcId="{6923D88B-90B0-4552-9294-50AB03EDF271}" destId="{348A1FA0-C9B0-4525-A71E-DA83AECD0D6F}" srcOrd="0" destOrd="0" presId="urn:microsoft.com/office/officeart/2005/8/layout/orgChart1"/>
    <dgm:cxn modelId="{3B786423-95F3-4659-911A-96D7E59878D8}" type="presParOf" srcId="{348A1FA0-C9B0-4525-A71E-DA83AECD0D6F}" destId="{6F198D07-DEE2-4762-8B2A-D14985831D80}" srcOrd="0" destOrd="0" presId="urn:microsoft.com/office/officeart/2005/8/layout/orgChart1"/>
    <dgm:cxn modelId="{DE7E0EB3-2D01-4D66-879A-C6AA64BAE331}" type="presParOf" srcId="{348A1FA0-C9B0-4525-A71E-DA83AECD0D6F}" destId="{6527FCFA-10F3-4077-AC2F-7AB670854C83}" srcOrd="1" destOrd="0" presId="urn:microsoft.com/office/officeart/2005/8/layout/orgChart1"/>
    <dgm:cxn modelId="{152EA04A-C823-440E-9B18-3EC6CE8B116F}" type="presParOf" srcId="{6923D88B-90B0-4552-9294-50AB03EDF271}" destId="{1C2DE34D-8E12-4FBF-B68D-027DC5ABAACD}" srcOrd="1" destOrd="0" presId="urn:microsoft.com/office/officeart/2005/8/layout/orgChart1"/>
    <dgm:cxn modelId="{2F8104EB-1D10-406A-86E3-45A56AEED813}" type="presParOf" srcId="{6923D88B-90B0-4552-9294-50AB03EDF271}" destId="{37FA2799-46E3-4354-A0A3-C0BE8243F84A}" srcOrd="2" destOrd="0" presId="urn:microsoft.com/office/officeart/2005/8/layout/orgChart1"/>
    <dgm:cxn modelId="{63B536E2-7E26-4502-B461-A5B4E8AE54A9}" type="presParOf" srcId="{287EDC87-D461-44EA-BA6C-3F444559BE1E}" destId="{AC18C936-1665-46F5-A9BC-16E717423B83}" srcOrd="8" destOrd="0" presId="urn:microsoft.com/office/officeart/2005/8/layout/orgChart1"/>
    <dgm:cxn modelId="{C119A4EA-E779-4BCF-A55B-18F571683D22}" type="presParOf" srcId="{287EDC87-D461-44EA-BA6C-3F444559BE1E}" destId="{B4B12CE4-6F4E-41D7-B53C-E3A7CEC7F797}" srcOrd="9" destOrd="0" presId="urn:microsoft.com/office/officeart/2005/8/layout/orgChart1"/>
    <dgm:cxn modelId="{860CA96E-A503-4824-8DD4-D8EFF43FD3B4}" type="presParOf" srcId="{B4B12CE4-6F4E-41D7-B53C-E3A7CEC7F797}" destId="{BE01550E-A620-4733-8610-62773C487676}" srcOrd="0" destOrd="0" presId="urn:microsoft.com/office/officeart/2005/8/layout/orgChart1"/>
    <dgm:cxn modelId="{5B9386FA-A1A2-4A30-985A-75ADA9F6B5FF}" type="presParOf" srcId="{BE01550E-A620-4733-8610-62773C487676}" destId="{11C3DFDB-BF2C-42CB-886F-621FFCFDDBC7}" srcOrd="0" destOrd="0" presId="urn:microsoft.com/office/officeart/2005/8/layout/orgChart1"/>
    <dgm:cxn modelId="{18C7D738-AA0B-445E-8A93-FE16FE0293F0}" type="presParOf" srcId="{BE01550E-A620-4733-8610-62773C487676}" destId="{83F3D29B-5E52-4616-8EDD-931622F616A5}" srcOrd="1" destOrd="0" presId="urn:microsoft.com/office/officeart/2005/8/layout/orgChart1"/>
    <dgm:cxn modelId="{1E812E78-50BB-44FE-845C-606D01D1FCF3}" type="presParOf" srcId="{B4B12CE4-6F4E-41D7-B53C-E3A7CEC7F797}" destId="{21E1EF2C-3122-4CBF-8B96-494EF28FD74D}" srcOrd="1" destOrd="0" presId="urn:microsoft.com/office/officeart/2005/8/layout/orgChart1"/>
    <dgm:cxn modelId="{69E02D27-D452-49D7-B2B4-709796F3BC8D}" type="presParOf" srcId="{B4B12CE4-6F4E-41D7-B53C-E3A7CEC7F797}" destId="{30D30E72-CEAD-4DB1-A100-567921775532}" srcOrd="2" destOrd="0" presId="urn:microsoft.com/office/officeart/2005/8/layout/orgChart1"/>
    <dgm:cxn modelId="{78EC3AEA-8EF4-495A-BD5E-D8A7CA43389F}" type="presParOf" srcId="{287EDC87-D461-44EA-BA6C-3F444559BE1E}" destId="{538B4536-2091-4673-8161-518AF3E8AFB9}" srcOrd="10" destOrd="0" presId="urn:microsoft.com/office/officeart/2005/8/layout/orgChart1"/>
    <dgm:cxn modelId="{7E0EBFD7-F77D-48F6-B214-181127891D06}" type="presParOf" srcId="{287EDC87-D461-44EA-BA6C-3F444559BE1E}" destId="{7244E5D6-6999-4D4E-B5FB-E6F40F364D45}" srcOrd="11" destOrd="0" presId="urn:microsoft.com/office/officeart/2005/8/layout/orgChart1"/>
    <dgm:cxn modelId="{1894B805-0326-4DAA-B34B-7C25E0EA5B98}" type="presParOf" srcId="{7244E5D6-6999-4D4E-B5FB-E6F40F364D45}" destId="{18594C34-2547-4FDB-AF33-39FE349113B9}" srcOrd="0" destOrd="0" presId="urn:microsoft.com/office/officeart/2005/8/layout/orgChart1"/>
    <dgm:cxn modelId="{0D2E4C76-7BC1-4ED4-9709-09C8E4D179BA}" type="presParOf" srcId="{18594C34-2547-4FDB-AF33-39FE349113B9}" destId="{9F115E95-D69A-4459-90A8-45629E5A2B29}" srcOrd="0" destOrd="0" presId="urn:microsoft.com/office/officeart/2005/8/layout/orgChart1"/>
    <dgm:cxn modelId="{1C3E7988-25D6-4F68-A0D2-E4BBB34CFC6F}" type="presParOf" srcId="{18594C34-2547-4FDB-AF33-39FE349113B9}" destId="{36893894-B76B-4875-B69A-2D97CA9BBD3F}" srcOrd="1" destOrd="0" presId="urn:microsoft.com/office/officeart/2005/8/layout/orgChart1"/>
    <dgm:cxn modelId="{56AC3EC8-73AE-4EFA-B620-D8B7D0F460F4}" type="presParOf" srcId="{7244E5D6-6999-4D4E-B5FB-E6F40F364D45}" destId="{EFABAC0D-FA91-48D3-B882-4E10AA8055C7}" srcOrd="1" destOrd="0" presId="urn:microsoft.com/office/officeart/2005/8/layout/orgChart1"/>
    <dgm:cxn modelId="{19740FBB-EF32-4C4E-BDAA-54D008CE3244}" type="presParOf" srcId="{7244E5D6-6999-4D4E-B5FB-E6F40F364D45}" destId="{5EFB08A5-F895-44FB-A00C-543D802CD5C6}" srcOrd="2" destOrd="0" presId="urn:microsoft.com/office/officeart/2005/8/layout/orgChart1"/>
    <dgm:cxn modelId="{1F182D14-1786-4E44-B853-CE8963E5109A}" type="presParOf" srcId="{287EDC87-D461-44EA-BA6C-3F444559BE1E}" destId="{8C1631EA-2946-42A0-A368-2EE1103C8CB2}" srcOrd="12" destOrd="0" presId="urn:microsoft.com/office/officeart/2005/8/layout/orgChart1"/>
    <dgm:cxn modelId="{344D97D4-2DEB-4DAB-BE2E-018F1C7C5985}" type="presParOf" srcId="{287EDC87-D461-44EA-BA6C-3F444559BE1E}" destId="{B422BA11-5E85-4B33-BCE6-ACD2C9447078}" srcOrd="13" destOrd="0" presId="urn:microsoft.com/office/officeart/2005/8/layout/orgChart1"/>
    <dgm:cxn modelId="{A55CD027-1F79-48B5-B5D0-19FACB686C39}" type="presParOf" srcId="{B422BA11-5E85-4B33-BCE6-ACD2C9447078}" destId="{2EB88B71-0905-42DA-80E7-64E6E1EEA2B4}" srcOrd="0" destOrd="0" presId="urn:microsoft.com/office/officeart/2005/8/layout/orgChart1"/>
    <dgm:cxn modelId="{9B8F4E1C-159D-4B5E-8D01-9D7896919F6B}" type="presParOf" srcId="{2EB88B71-0905-42DA-80E7-64E6E1EEA2B4}" destId="{8E969031-C241-40CC-8781-44DB0FFC754A}" srcOrd="0" destOrd="0" presId="urn:microsoft.com/office/officeart/2005/8/layout/orgChart1"/>
    <dgm:cxn modelId="{FFFA4CD1-CA97-482F-90B4-0D6E27544D12}" type="presParOf" srcId="{2EB88B71-0905-42DA-80E7-64E6E1EEA2B4}" destId="{03580885-869A-45BD-9F1D-C75C17D55CB9}" srcOrd="1" destOrd="0" presId="urn:microsoft.com/office/officeart/2005/8/layout/orgChart1"/>
    <dgm:cxn modelId="{BA0608CC-3295-4ED9-9092-486101B51906}" type="presParOf" srcId="{B422BA11-5E85-4B33-BCE6-ACD2C9447078}" destId="{C6A9152E-1CF7-4663-B0FA-0B2F98BC1160}" srcOrd="1" destOrd="0" presId="urn:microsoft.com/office/officeart/2005/8/layout/orgChart1"/>
    <dgm:cxn modelId="{F2BF1FFF-2B88-47E0-8235-3DD13822EBD3}" type="presParOf" srcId="{B422BA11-5E85-4B33-BCE6-ACD2C9447078}" destId="{BF1D4AB3-F254-4CFA-8D83-F97058730171}" srcOrd="2" destOrd="0" presId="urn:microsoft.com/office/officeart/2005/8/layout/orgChart1"/>
    <dgm:cxn modelId="{734190DE-6496-4288-BA79-EB12A78B2485}" type="presParOf" srcId="{287EDC87-D461-44EA-BA6C-3F444559BE1E}" destId="{05E18328-0098-4B2A-9E8C-4663BB90CD5B}" srcOrd="14" destOrd="0" presId="urn:microsoft.com/office/officeart/2005/8/layout/orgChart1"/>
    <dgm:cxn modelId="{81A0C31D-CF66-46DB-8A4E-6B18F7046C2C}" type="presParOf" srcId="{287EDC87-D461-44EA-BA6C-3F444559BE1E}" destId="{5DC17E1F-1C6C-4D2B-881C-46250FD1269C}" srcOrd="15" destOrd="0" presId="urn:microsoft.com/office/officeart/2005/8/layout/orgChart1"/>
    <dgm:cxn modelId="{182781A8-8040-4022-BC39-20A9C3E7F1D7}" type="presParOf" srcId="{5DC17E1F-1C6C-4D2B-881C-46250FD1269C}" destId="{FAC33B43-85B5-4E29-9537-1E005C5E95C7}" srcOrd="0" destOrd="0" presId="urn:microsoft.com/office/officeart/2005/8/layout/orgChart1"/>
    <dgm:cxn modelId="{DB313807-2038-4D5F-95A5-C00F874DD0B5}" type="presParOf" srcId="{FAC33B43-85B5-4E29-9537-1E005C5E95C7}" destId="{188A5A3D-7E9D-40C9-9E3A-74E22FE328A8}" srcOrd="0" destOrd="0" presId="urn:microsoft.com/office/officeart/2005/8/layout/orgChart1"/>
    <dgm:cxn modelId="{0591614B-BB27-45E7-A4DF-06F0328EAAA1}" type="presParOf" srcId="{FAC33B43-85B5-4E29-9537-1E005C5E95C7}" destId="{AD23A8B7-1CFF-4D4B-AE58-C9DE4D94B034}" srcOrd="1" destOrd="0" presId="urn:microsoft.com/office/officeart/2005/8/layout/orgChart1"/>
    <dgm:cxn modelId="{AA033EB5-0F3A-41EB-B46D-3A9B0B563D86}" type="presParOf" srcId="{5DC17E1F-1C6C-4D2B-881C-46250FD1269C}" destId="{E87ACB7A-B92B-4DD2-BF9F-89334527A281}" srcOrd="1" destOrd="0" presId="urn:microsoft.com/office/officeart/2005/8/layout/orgChart1"/>
    <dgm:cxn modelId="{0E8966BA-D985-492C-B1F0-C595C481B9A1}" type="presParOf" srcId="{5DC17E1F-1C6C-4D2B-881C-46250FD1269C}" destId="{AA5F5A5B-8A11-4FFE-A942-563324EB4FBB}" srcOrd="2" destOrd="0" presId="urn:microsoft.com/office/officeart/2005/8/layout/orgChart1"/>
    <dgm:cxn modelId="{E7E1EEBC-1D09-4A19-8AAB-A65F4563CABF}" type="presParOf" srcId="{287EDC87-D461-44EA-BA6C-3F444559BE1E}" destId="{ACDB2EF2-E95D-4CEF-8529-C0BBF4E8BA11}" srcOrd="16" destOrd="0" presId="urn:microsoft.com/office/officeart/2005/8/layout/orgChart1"/>
    <dgm:cxn modelId="{DE01BB8B-A869-45C4-822E-20C53CD8394A}" type="presParOf" srcId="{287EDC87-D461-44EA-BA6C-3F444559BE1E}" destId="{2070A64B-C4B0-4CA3-A7D3-C9B4C11D061D}" srcOrd="17" destOrd="0" presId="urn:microsoft.com/office/officeart/2005/8/layout/orgChart1"/>
    <dgm:cxn modelId="{954CF2F0-6924-41F8-9B41-A1ABFBC03FE1}" type="presParOf" srcId="{2070A64B-C4B0-4CA3-A7D3-C9B4C11D061D}" destId="{6DE7D7AB-260B-420F-98D7-C5829C3A6D7B}" srcOrd="0" destOrd="0" presId="urn:microsoft.com/office/officeart/2005/8/layout/orgChart1"/>
    <dgm:cxn modelId="{032D47FA-6D6F-4D51-8852-4E98261B7ACB}" type="presParOf" srcId="{6DE7D7AB-260B-420F-98D7-C5829C3A6D7B}" destId="{5A4509EF-4742-487D-92D6-06749990D434}" srcOrd="0" destOrd="0" presId="urn:microsoft.com/office/officeart/2005/8/layout/orgChart1"/>
    <dgm:cxn modelId="{49BAB483-53A0-4C84-BECF-0E50CEE8B1EF}" type="presParOf" srcId="{6DE7D7AB-260B-420F-98D7-C5829C3A6D7B}" destId="{C2299060-A3E6-425B-937C-A5EE7F1A18BA}" srcOrd="1" destOrd="0" presId="urn:microsoft.com/office/officeart/2005/8/layout/orgChart1"/>
    <dgm:cxn modelId="{A426D775-A2F9-4556-A598-AF5CCCB891BA}" type="presParOf" srcId="{2070A64B-C4B0-4CA3-A7D3-C9B4C11D061D}" destId="{4A2198EE-6BD2-4EAE-BCE3-4C02956634C5}" srcOrd="1" destOrd="0" presId="urn:microsoft.com/office/officeart/2005/8/layout/orgChart1"/>
    <dgm:cxn modelId="{DF2FD463-85C5-45A0-885B-1B30DF2CB042}" type="presParOf" srcId="{2070A64B-C4B0-4CA3-A7D3-C9B4C11D061D}" destId="{C07618E7-A20D-4A7D-8170-411CFB34D81D}" srcOrd="2" destOrd="0" presId="urn:microsoft.com/office/officeart/2005/8/layout/orgChart1"/>
    <dgm:cxn modelId="{4A4267BE-6585-441B-A7AD-7A88703DE1AC}" type="presParOf" srcId="{287EDC87-D461-44EA-BA6C-3F444559BE1E}" destId="{30DBF784-E7E0-4040-B7A2-37CC3EAB80F8}" srcOrd="18" destOrd="0" presId="urn:microsoft.com/office/officeart/2005/8/layout/orgChart1"/>
    <dgm:cxn modelId="{D60373F8-3C3F-4AB7-8776-CA9AD1D9C1D0}" type="presParOf" srcId="{287EDC87-D461-44EA-BA6C-3F444559BE1E}" destId="{CB555178-F4E8-432F-9FCF-BD6075BBC546}" srcOrd="19" destOrd="0" presId="urn:microsoft.com/office/officeart/2005/8/layout/orgChart1"/>
    <dgm:cxn modelId="{1093D337-F23A-4609-B45D-99A10DA9A226}" type="presParOf" srcId="{CB555178-F4E8-432F-9FCF-BD6075BBC546}" destId="{234D6511-DBC5-4F55-9BDB-94B1AA50FE5A}" srcOrd="0" destOrd="0" presId="urn:microsoft.com/office/officeart/2005/8/layout/orgChart1"/>
    <dgm:cxn modelId="{AE960B94-138A-43AA-A056-4D27CBF8DE62}" type="presParOf" srcId="{234D6511-DBC5-4F55-9BDB-94B1AA50FE5A}" destId="{A7FBFD35-40F1-4A8B-A831-58EBF2BE9093}" srcOrd="0" destOrd="0" presId="urn:microsoft.com/office/officeart/2005/8/layout/orgChart1"/>
    <dgm:cxn modelId="{194D9742-292D-47E1-8788-E2307C29C91F}" type="presParOf" srcId="{234D6511-DBC5-4F55-9BDB-94B1AA50FE5A}" destId="{2115575F-2B63-4260-9315-D1C256D2DCF6}" srcOrd="1" destOrd="0" presId="urn:microsoft.com/office/officeart/2005/8/layout/orgChart1"/>
    <dgm:cxn modelId="{BE72D42E-DEEB-4B23-A870-E4223C89C627}" type="presParOf" srcId="{CB555178-F4E8-432F-9FCF-BD6075BBC546}" destId="{339B2EE7-93B7-48DE-BE6E-DFEB53A42E45}" srcOrd="1" destOrd="0" presId="urn:microsoft.com/office/officeart/2005/8/layout/orgChart1"/>
    <dgm:cxn modelId="{48EB19DD-4E56-4CBF-843F-7A634ABFC644}" type="presParOf" srcId="{CB555178-F4E8-432F-9FCF-BD6075BBC546}" destId="{9D6CDE1C-538A-4459-8BCA-4BE61D87E483}" srcOrd="2" destOrd="0" presId="urn:microsoft.com/office/officeart/2005/8/layout/orgChart1"/>
    <dgm:cxn modelId="{11132A9D-9658-4B86-AC06-9EEC260032A8}" type="presParOf" srcId="{287EDC87-D461-44EA-BA6C-3F444559BE1E}" destId="{090885F2-256F-4D05-827D-DD55AE8F3CBD}" srcOrd="20" destOrd="0" presId="urn:microsoft.com/office/officeart/2005/8/layout/orgChart1"/>
    <dgm:cxn modelId="{A347C254-DB03-4AD4-87F0-5AF1CBEC0B21}" type="presParOf" srcId="{287EDC87-D461-44EA-BA6C-3F444559BE1E}" destId="{8C66EE93-41CF-40BE-957D-E6D5E56ADDFB}" srcOrd="21" destOrd="0" presId="urn:microsoft.com/office/officeart/2005/8/layout/orgChart1"/>
    <dgm:cxn modelId="{334CA16A-3F8D-4244-939F-9D8296A25581}" type="presParOf" srcId="{8C66EE93-41CF-40BE-957D-E6D5E56ADDFB}" destId="{CF7163A7-1E7C-4308-84E6-21F550A7EE97}" srcOrd="0" destOrd="0" presId="urn:microsoft.com/office/officeart/2005/8/layout/orgChart1"/>
    <dgm:cxn modelId="{A0FF2E62-E339-446D-BCB1-D1A505F1F2EC}" type="presParOf" srcId="{CF7163A7-1E7C-4308-84E6-21F550A7EE97}" destId="{346E088F-2C8F-4BB4-A8D1-D13B9BE43B05}" srcOrd="0" destOrd="0" presId="urn:microsoft.com/office/officeart/2005/8/layout/orgChart1"/>
    <dgm:cxn modelId="{D708F214-5111-42CD-9654-E75719404CBE}" type="presParOf" srcId="{CF7163A7-1E7C-4308-84E6-21F550A7EE97}" destId="{67A51AA6-D57B-4976-83E4-99540045BA44}" srcOrd="1" destOrd="0" presId="urn:microsoft.com/office/officeart/2005/8/layout/orgChart1"/>
    <dgm:cxn modelId="{1A8959E6-27F9-4DAA-A984-A90965F29909}" type="presParOf" srcId="{8C66EE93-41CF-40BE-957D-E6D5E56ADDFB}" destId="{B9A96976-1240-44D2-A71F-AF04BA58FF3E}" srcOrd="1" destOrd="0" presId="urn:microsoft.com/office/officeart/2005/8/layout/orgChart1"/>
    <dgm:cxn modelId="{23B52968-775F-4F75-9DEB-E304B8FA6984}" type="presParOf" srcId="{8C66EE93-41CF-40BE-957D-E6D5E56ADDFB}" destId="{180FAF06-CDD9-4A55-AECF-370E455C47C6}" srcOrd="2" destOrd="0" presId="urn:microsoft.com/office/officeart/2005/8/layout/orgChart1"/>
    <dgm:cxn modelId="{BDE046DB-FE12-4872-A7C2-70E99202A0C6}" type="presParOf" srcId="{C618C2DE-69B6-4EE6-975C-C3EB59363F3B}" destId="{F3B36C01-ECE6-47F4-AA24-EE6BCC975CC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90885F2-256F-4D05-827D-DD55AE8F3CBD}">
      <dsp:nvSpPr>
        <dsp:cNvPr id="0" name=""/>
        <dsp:cNvSpPr/>
      </dsp:nvSpPr>
      <dsp:spPr>
        <a:xfrm>
          <a:off x="7606833" y="2011164"/>
          <a:ext cx="702229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7022299" y="121874"/>
              </a:lnTo>
              <a:lnTo>
                <a:pt x="702229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BF784-E7E0-4040-B7A2-37CC3EAB80F8}">
      <dsp:nvSpPr>
        <dsp:cNvPr id="0" name=""/>
        <dsp:cNvSpPr/>
      </dsp:nvSpPr>
      <dsp:spPr>
        <a:xfrm>
          <a:off x="7606833" y="2011164"/>
          <a:ext cx="561783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5617839" y="121874"/>
              </a:lnTo>
              <a:lnTo>
                <a:pt x="561783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DB2EF2-E95D-4CEF-8529-C0BBF4E8BA11}">
      <dsp:nvSpPr>
        <dsp:cNvPr id="0" name=""/>
        <dsp:cNvSpPr/>
      </dsp:nvSpPr>
      <dsp:spPr>
        <a:xfrm>
          <a:off x="7606833" y="2011164"/>
          <a:ext cx="421337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4213379" y="121874"/>
              </a:lnTo>
              <a:lnTo>
                <a:pt x="421337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E18328-0098-4B2A-9E8C-4663BB90CD5B}">
      <dsp:nvSpPr>
        <dsp:cNvPr id="0" name=""/>
        <dsp:cNvSpPr/>
      </dsp:nvSpPr>
      <dsp:spPr>
        <a:xfrm>
          <a:off x="7606833" y="2011164"/>
          <a:ext cx="280891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2808919" y="121874"/>
              </a:lnTo>
              <a:lnTo>
                <a:pt x="280891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1631EA-2946-42A0-A368-2EE1103C8CB2}">
      <dsp:nvSpPr>
        <dsp:cNvPr id="0" name=""/>
        <dsp:cNvSpPr/>
      </dsp:nvSpPr>
      <dsp:spPr>
        <a:xfrm>
          <a:off x="7606833" y="2011164"/>
          <a:ext cx="1404459" cy="2437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874"/>
              </a:lnTo>
              <a:lnTo>
                <a:pt x="1404459" y="121874"/>
              </a:lnTo>
              <a:lnTo>
                <a:pt x="1404459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8B4536-2091-4673-8161-518AF3E8AFB9}">
      <dsp:nvSpPr>
        <dsp:cNvPr id="0" name=""/>
        <dsp:cNvSpPr/>
      </dsp:nvSpPr>
      <dsp:spPr>
        <a:xfrm>
          <a:off x="7561112" y="2011164"/>
          <a:ext cx="91440" cy="2437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18C936-1665-46F5-A9BC-16E717423B83}">
      <dsp:nvSpPr>
        <dsp:cNvPr id="0" name=""/>
        <dsp:cNvSpPr/>
      </dsp:nvSpPr>
      <dsp:spPr>
        <a:xfrm>
          <a:off x="6202373" y="2011164"/>
          <a:ext cx="1404459" cy="243749"/>
        </a:xfrm>
        <a:custGeom>
          <a:avLst/>
          <a:gdLst/>
          <a:ahLst/>
          <a:cxnLst/>
          <a:rect l="0" t="0" r="0" b="0"/>
          <a:pathLst>
            <a:path>
              <a:moveTo>
                <a:pt x="1404459" y="0"/>
              </a:moveTo>
              <a:lnTo>
                <a:pt x="140445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4BE817-20BD-4068-96E7-D3A555217CF8}">
      <dsp:nvSpPr>
        <dsp:cNvPr id="0" name=""/>
        <dsp:cNvSpPr/>
      </dsp:nvSpPr>
      <dsp:spPr>
        <a:xfrm>
          <a:off x="4797913" y="2011164"/>
          <a:ext cx="2808919" cy="243749"/>
        </a:xfrm>
        <a:custGeom>
          <a:avLst/>
          <a:gdLst/>
          <a:ahLst/>
          <a:cxnLst/>
          <a:rect l="0" t="0" r="0" b="0"/>
          <a:pathLst>
            <a:path>
              <a:moveTo>
                <a:pt x="2808919" y="0"/>
              </a:moveTo>
              <a:lnTo>
                <a:pt x="280891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C2D3BB-6ECF-4C99-85F6-7DC9A440335B}">
      <dsp:nvSpPr>
        <dsp:cNvPr id="0" name=""/>
        <dsp:cNvSpPr/>
      </dsp:nvSpPr>
      <dsp:spPr>
        <a:xfrm>
          <a:off x="3393453" y="2011164"/>
          <a:ext cx="4213379" cy="243749"/>
        </a:xfrm>
        <a:custGeom>
          <a:avLst/>
          <a:gdLst/>
          <a:ahLst/>
          <a:cxnLst/>
          <a:rect l="0" t="0" r="0" b="0"/>
          <a:pathLst>
            <a:path>
              <a:moveTo>
                <a:pt x="4213379" y="0"/>
              </a:moveTo>
              <a:lnTo>
                <a:pt x="421337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DE8AE3-074D-4C76-9F6F-E5EE6420A116}">
      <dsp:nvSpPr>
        <dsp:cNvPr id="0" name=""/>
        <dsp:cNvSpPr/>
      </dsp:nvSpPr>
      <dsp:spPr>
        <a:xfrm>
          <a:off x="1988993" y="2011164"/>
          <a:ext cx="5617839" cy="243749"/>
        </a:xfrm>
        <a:custGeom>
          <a:avLst/>
          <a:gdLst/>
          <a:ahLst/>
          <a:cxnLst/>
          <a:rect l="0" t="0" r="0" b="0"/>
          <a:pathLst>
            <a:path>
              <a:moveTo>
                <a:pt x="5617839" y="0"/>
              </a:moveTo>
              <a:lnTo>
                <a:pt x="561783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10C729-394F-4DF5-8868-AE9841BCC9C9}">
      <dsp:nvSpPr>
        <dsp:cNvPr id="0" name=""/>
        <dsp:cNvSpPr/>
      </dsp:nvSpPr>
      <dsp:spPr>
        <a:xfrm>
          <a:off x="584533" y="2011164"/>
          <a:ext cx="7022299" cy="243749"/>
        </a:xfrm>
        <a:custGeom>
          <a:avLst/>
          <a:gdLst/>
          <a:ahLst/>
          <a:cxnLst/>
          <a:rect l="0" t="0" r="0" b="0"/>
          <a:pathLst>
            <a:path>
              <a:moveTo>
                <a:pt x="7022299" y="0"/>
              </a:moveTo>
              <a:lnTo>
                <a:pt x="7022299" y="121874"/>
              </a:lnTo>
              <a:lnTo>
                <a:pt x="0" y="121874"/>
              </a:lnTo>
              <a:lnTo>
                <a:pt x="0" y="243749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7721B-BCA3-4AD1-839A-1EA558D56030}">
      <dsp:nvSpPr>
        <dsp:cNvPr id="0" name=""/>
        <dsp:cNvSpPr/>
      </dsp:nvSpPr>
      <dsp:spPr>
        <a:xfrm>
          <a:off x="7026477" y="1430809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i="0" kern="1200"/>
            <a:t>AP+SF+MDM+AF+AU</a:t>
          </a:r>
          <a:endParaRPr lang="en-US" sz="1000" kern="1200"/>
        </a:p>
      </dsp:txBody>
      <dsp:txXfrm>
        <a:off x="7026477" y="1430809"/>
        <a:ext cx="1160710" cy="580355"/>
      </dsp:txXfrm>
    </dsp:sp>
    <dsp:sp modelId="{FF0F2BDA-A548-45EE-B74F-25D89BE33C4F}">
      <dsp:nvSpPr>
        <dsp:cNvPr id="0" name=""/>
        <dsp:cNvSpPr/>
      </dsp:nvSpPr>
      <dsp:spPr>
        <a:xfrm>
          <a:off x="417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Operation Performance Dashboard-CN-GSBHZ33</a:t>
          </a:r>
          <a:endParaRPr lang="en-US" sz="1000" kern="1200"/>
        </a:p>
      </dsp:txBody>
      <dsp:txXfrm>
        <a:off x="4178" y="2254914"/>
        <a:ext cx="1160710" cy="580355"/>
      </dsp:txXfrm>
    </dsp:sp>
    <dsp:sp modelId="{CB8CDFAB-5197-456C-9DAF-272844F42B0F}">
      <dsp:nvSpPr>
        <dsp:cNvPr id="0" name=""/>
        <dsp:cNvSpPr/>
      </dsp:nvSpPr>
      <dsp:spPr>
        <a:xfrm>
          <a:off x="140863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Operation Performance Dashboard</a:t>
          </a:r>
          <a:endParaRPr lang="en-US" sz="1000" kern="1200"/>
        </a:p>
      </dsp:txBody>
      <dsp:txXfrm>
        <a:off x="1408638" y="2254914"/>
        <a:ext cx="1160710" cy="580355"/>
      </dsp:txXfrm>
    </dsp:sp>
    <dsp:sp modelId="{7C29528A-4ABB-4D9E-8CC9-A4580DAB076F}">
      <dsp:nvSpPr>
        <dsp:cNvPr id="0" name=""/>
        <dsp:cNvSpPr/>
      </dsp:nvSpPr>
      <dsp:spPr>
        <a:xfrm>
          <a:off x="281309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AF I&amp;E</a:t>
          </a:r>
        </a:p>
      </dsp:txBody>
      <dsp:txXfrm>
        <a:off x="2813098" y="2254914"/>
        <a:ext cx="1160710" cy="580355"/>
      </dsp:txXfrm>
    </dsp:sp>
    <dsp:sp modelId="{6F198D07-DEE2-4762-8B2A-D14985831D80}">
      <dsp:nvSpPr>
        <dsp:cNvPr id="0" name=""/>
        <dsp:cNvSpPr/>
      </dsp:nvSpPr>
      <dsp:spPr>
        <a:xfrm>
          <a:off x="4217558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SF Operation Performance Report</a:t>
          </a:r>
          <a:endParaRPr lang="en-US" sz="1000" kern="1200"/>
        </a:p>
      </dsp:txBody>
      <dsp:txXfrm>
        <a:off x="4217558" y="2254914"/>
        <a:ext cx="1160710" cy="580355"/>
      </dsp:txXfrm>
    </dsp:sp>
    <dsp:sp modelId="{11C3DFDB-BF2C-42CB-886F-621FFCFDDBC7}">
      <dsp:nvSpPr>
        <dsp:cNvPr id="0" name=""/>
        <dsp:cNvSpPr/>
      </dsp:nvSpPr>
      <dsp:spPr>
        <a:xfrm>
          <a:off x="562201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MDM Performance Dashboard</a:t>
          </a:r>
          <a:endParaRPr lang="en-US" sz="1000" kern="1200"/>
        </a:p>
      </dsp:txBody>
      <dsp:txXfrm>
        <a:off x="5622017" y="2254914"/>
        <a:ext cx="1160710" cy="580355"/>
      </dsp:txXfrm>
    </dsp:sp>
    <dsp:sp modelId="{9F115E95-D69A-4459-90A8-45629E5A2B29}">
      <dsp:nvSpPr>
        <dsp:cNvPr id="0" name=""/>
        <dsp:cNvSpPr/>
      </dsp:nvSpPr>
      <dsp:spPr>
        <a:xfrm>
          <a:off x="702647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SF Operation Billing Performance Report-WUHL21024</a:t>
          </a:r>
          <a:endParaRPr lang="en-US" sz="1000" kern="1200"/>
        </a:p>
      </dsp:txBody>
      <dsp:txXfrm>
        <a:off x="7026477" y="2254914"/>
        <a:ext cx="1160710" cy="580355"/>
      </dsp:txXfrm>
    </dsp:sp>
    <dsp:sp modelId="{8E969031-C241-40CC-8781-44DB0FFC754A}">
      <dsp:nvSpPr>
        <dsp:cNvPr id="0" name=""/>
        <dsp:cNvSpPr/>
      </dsp:nvSpPr>
      <dsp:spPr>
        <a:xfrm>
          <a:off x="843093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SF Operation Billing Performance Report</a:t>
          </a:r>
          <a:endParaRPr lang="en-US" sz="1000" kern="1200"/>
        </a:p>
      </dsp:txBody>
      <dsp:txXfrm>
        <a:off x="8430937" y="2254914"/>
        <a:ext cx="1160710" cy="580355"/>
      </dsp:txXfrm>
    </dsp:sp>
    <dsp:sp modelId="{188A5A3D-7E9D-40C9-9E3A-74E22FE328A8}">
      <dsp:nvSpPr>
        <dsp:cNvPr id="0" name=""/>
        <dsp:cNvSpPr/>
      </dsp:nvSpPr>
      <dsp:spPr>
        <a:xfrm>
          <a:off x="983539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AF HMS</a:t>
          </a:r>
          <a:endParaRPr lang="en-US" sz="1000" kern="1200"/>
        </a:p>
      </dsp:txBody>
      <dsp:txXfrm>
        <a:off x="9835397" y="2254914"/>
        <a:ext cx="1160710" cy="580355"/>
      </dsp:txXfrm>
    </dsp:sp>
    <dsp:sp modelId="{5A4509EF-4742-487D-92D6-06749990D434}">
      <dsp:nvSpPr>
        <dsp:cNvPr id="0" name=""/>
        <dsp:cNvSpPr/>
      </dsp:nvSpPr>
      <dsp:spPr>
        <a:xfrm>
          <a:off x="1123985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AP Invoice Performance Reports</a:t>
          </a:r>
          <a:endParaRPr lang="en-US" sz="1000" kern="1200"/>
        </a:p>
      </dsp:txBody>
      <dsp:txXfrm>
        <a:off x="11239857" y="2254914"/>
        <a:ext cx="1160710" cy="580355"/>
      </dsp:txXfrm>
    </dsp:sp>
    <dsp:sp modelId="{A7FBFD35-40F1-4A8B-A831-58EBF2BE9093}">
      <dsp:nvSpPr>
        <dsp:cNvPr id="0" name=""/>
        <dsp:cNvSpPr/>
      </dsp:nvSpPr>
      <dsp:spPr>
        <a:xfrm>
          <a:off x="12644317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SF Performance Dashboard-CN-FWP24D3</a:t>
          </a:r>
          <a:endParaRPr lang="en-US" sz="1000" kern="1200"/>
        </a:p>
      </dsp:txBody>
      <dsp:txXfrm>
        <a:off x="12644317" y="2254914"/>
        <a:ext cx="1160710" cy="580355"/>
      </dsp:txXfrm>
    </dsp:sp>
    <dsp:sp modelId="{346E088F-2C8F-4BB4-A8D1-D13B9BE43B05}">
      <dsp:nvSpPr>
        <dsp:cNvPr id="0" name=""/>
        <dsp:cNvSpPr/>
      </dsp:nvSpPr>
      <dsp:spPr>
        <a:xfrm>
          <a:off x="14048776" y="2254914"/>
          <a:ext cx="1160710" cy="580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kern="1200"/>
            <a:t>AU SF Performance Dashboard</a:t>
          </a:r>
          <a:endParaRPr lang="en-US" sz="1000" kern="1200"/>
        </a:p>
      </dsp:txBody>
      <dsp:txXfrm>
        <a:off x="14048776" y="2254914"/>
        <a:ext cx="1160710" cy="58035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100854</xdr:colOff>
      <xdr:row>6</xdr:row>
      <xdr:rowOff>9524</xdr:rowOff>
    </xdr:from>
    <xdr:to>
      <xdr:col>28</xdr:col>
      <xdr:colOff>186579</xdr:colOff>
      <xdr:row>28</xdr:row>
      <xdr:rowOff>84603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C406E8D-7FEE-0956-95BA-456829EBC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355D7C-BD67-4592-8514-40A3956982E1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Title" tableColumnId="1"/>
      <queryTableField id="7" dataBound="0" tableColumnId="8"/>
      <queryTableField id="2" name="TotalNoofTransactions" tableColumnId="2"/>
      <queryTableField id="3" name="TotalProductionDays" tableColumnId="3"/>
      <queryTableField id="4" name="ProductivityBaseline" tableColumnId="4"/>
      <queryTableField id="5" name="CalculationPeriod" tableColumnId="5"/>
      <queryTableField id="6" name="Remarks" tableColumnId="6"/>
      <queryTableField id="8" dataBound="0" tableColumnId="7"/>
      <queryTableField id="9" dataBound="0" tableColumnId="9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374D8C-FC7C-41F7-962B-F1DBF4010538}" name="capacityTbl" displayName="capacityTbl" ref="A1:N384" totalsRowShown="0" headerRowDxfId="91" dataDxfId="90">
  <autoFilter ref="A1:N384" xr:uid="{3B95BEE4-808C-47E1-9B03-7DCFD8668AB3}"/>
  <sortState xmlns:xlrd2="http://schemas.microsoft.com/office/spreadsheetml/2017/richdata2" ref="A2:N348">
    <sortCondition ref="A2:A348"/>
    <sortCondition ref="C2:C348"/>
    <sortCondition ref="B2:B348" customList="January,February,March,April,May,June,July,August,September,October,November,December"/>
  </sortState>
  <tableColumns count="14">
    <tableColumn id="1" xr3:uid="{83D5FFB6-F68A-4F25-8E80-6FD72C1F35B4}" name="Year" dataDxfId="89"/>
    <tableColumn id="2" xr3:uid="{17EAC12D-CA1C-4603-82C3-184217B0ACDE}" name="Month" dataDxfId="88"/>
    <tableColumn id="3" xr3:uid="{C7BBAA4E-74B8-4990-BC69-2F42CDA62E4A}" name="Process" dataDxfId="87"/>
    <tableColumn id="4" xr3:uid="{BC3CD25C-043D-4939-AD63-6E75B249BE08}" name="No. of Transaction" dataDxfId="86"/>
    <tableColumn id="5" xr3:uid="{C9EAE44A-38C1-49D4-B34C-68841E94B68D}" name="Production Days" dataDxfId="85"/>
    <tableColumn id="12" xr3:uid="{000089B0-D7D8-47AB-863A-6060C3D1455D}" name="FTE-WUHAN" dataDxfId="84">
      <calculatedColumnFormula array="1">IFERROR(INDEX(FTE_stdWD[FTE],MATCH(capacityTbl[[#This Row],[Process]]&amp;capacityTbl[[#This Row],[Month]]&amp;capacityTbl[[#This Row],[Year]]&amp;"WUH",FTE_stdWD[Service Description]&amp;FTE_stdWD[Month]&amp;FTE_stdWD[Year]&amp;FTE_stdWD[Country],0)),0)</calculatedColumnFormula>
    </tableColumn>
    <tableColumn id="10" xr3:uid="{42ACF48D-BFA4-484C-BE23-E4A372411A74}" name="FTE-MNL" dataDxfId="83">
      <calculatedColumnFormula array="1">IFERROR(INDEX(FTE_stdWD[FTE],MATCH(capacityTbl[[#This Row],[Process]]&amp;capacityTbl[[#This Row],[Month]]&amp;capacityTbl[[#This Row],[Year]]&amp;"MNL",FTE_stdWD[Service Description]&amp;FTE_stdWD[Month]&amp;FTE_stdWD[Year]&amp;FTE_stdWD[Country],0)),0)</calculatedColumnFormula>
    </tableColumn>
    <tableColumn id="16" xr3:uid="{446C3CE0-59EC-468F-8645-CD61C8131E68}" name="CH-Standard Working Days" dataDxfId="82"/>
    <tableColumn id="15" xr3:uid="{D19B11F3-0FA6-4C9C-91FA-F30CCB3BB82C}" name="PH-Standard Working Days" dataDxfId="81"/>
    <tableColumn id="6" xr3:uid="{5B0D8353-80D0-40FB-BDFD-3235A32085B3}" name="Weighted Working day" dataDxfId="80">
      <calculatedColumnFormula>IFERROR((capacityTbl[[#This Row],[FTE-WUHAN]]*capacityTbl[[#This Row],[CH-Standard Working Days]]+capacityTbl[[#This Row],[FTE-MNL]]*capacityTbl[[#This Row],[PH-Standard Working Days]])/SUM(capacityTbl[[#This Row],[FTE-WUHAN]:[FTE-MNL]]),0)</calculatedColumnFormula>
    </tableColumn>
    <tableColumn id="7" xr3:uid="{F418A66C-75BB-4E86-A823-7326F4395617}" name="Capacity FTE" dataDxfId="79">
      <calculatedColumnFormula>IFERROR(capacityTbl[[#This Row],[Production Days]]/capacityTbl[[#This Row],[Weighted Working day]],0)</calculatedColumnFormula>
    </tableColumn>
    <tableColumn id="8" xr3:uid="{B8C04005-D35B-47A5-A94B-D0A288CD06CF}" name="Productivity Baseline (Transation/FTE/Day)" dataDxfId="78"/>
    <tableColumn id="9" xr3:uid="{0EFB0D38-B1B6-4EFF-B4B4-D3D86985009A}" name="Workload FTE" dataDxfId="77">
      <calculatedColumnFormula>IFERROR(capacityTbl[[#This Row],[No. of Transaction]]/(capacityTbl[[#This Row],[Productivity Baseline (Transation/FTE/Day)]]*capacityTbl[[#This Row],[Weighted Working day]]),0)</calculatedColumnFormula>
    </tableColumn>
    <tableColumn id="11" xr3:uid="{6C09F83E-83C5-4494-899C-31D5BACE1F78}" name="Actual Productivity" dataDxfId="76">
      <calculatedColumnFormula>IFERROR(capacityTbl[[#This Row],[No. of Transaction]]/capacityTbl[[#This Row],[Production Days]],0)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157908-A265-4A8F-A577-9AB0956D2CDC}" name="FTE_stdWD" displayName="FTE_stdWD" ref="A1:I421" totalsRowShown="0" headerRowDxfId="75" dataDxfId="74">
  <autoFilter ref="A1:I421" xr:uid="{A7157908-A265-4A8F-A577-9AB0956D2CDC}">
    <filterColumn colId="5">
      <filters>
        <filter val="Carlo"/>
      </filters>
    </filterColumn>
  </autoFilter>
  <tableColumns count="9">
    <tableColumn id="1" xr3:uid="{1AB5E955-E72D-4502-AE6C-8ABC8A5FD11B}" name="Service Description" dataDxfId="73"/>
    <tableColumn id="2" xr3:uid="{C0E8AA28-BF0F-4559-8CDD-B8D29E0D8288}" name="Country" dataDxfId="72"/>
    <tableColumn id="3" xr3:uid="{E7DA5ECF-3D33-4D1A-AFB6-8EA975864F62}" name="Year" dataDxfId="71"/>
    <tableColumn id="4" xr3:uid="{F92EDAD2-4B80-4336-8E66-ED09A6EDE362}" name="Month" dataDxfId="70"/>
    <tableColumn id="6" xr3:uid="{83D31131-C642-4D6B-8E28-ED89172F1DCD}" name="FTE" dataDxfId="69"/>
    <tableColumn id="7" xr3:uid="{6A170B46-0FE3-4185-B01B-82841A4A52AC}" name="Service Owner" dataDxfId="68">
      <calculatedColumnFormula>INDEX(functionInfo[Service Lead],MATCH(FTE_stdWD[[#This Row],[Service Description]],functionInfo[Service Description For Invoicing &amp; SLA],0))</calculatedColumnFormula>
    </tableColumn>
    <tableColumn id="5" xr3:uid="{F2C4C063-C2F0-447D-B8FA-8DA0072858C4}" name="detectDuplicate" dataDxfId="67">
      <calculatedColumnFormula>FTE_stdWD[[#This Row],[Service Description]]&amp;FTE_stdWD[[#This Row],[Country]]&amp;FTE_stdWD[[#This Row],[Year]]&amp;FTE_stdWD[[#This Row],[Month]]</calculatedColumnFormula>
    </tableColumn>
    <tableColumn id="8" xr3:uid="{1C48D43D-29AC-49A8-98AF-C35AA5D1EB9D}" name="Needed Daily?" dataDxfId="66">
      <calculatedColumnFormula>INDEX(functionInfo[Daily Dashboard Set-up],MATCH(FTE_stdWD[[#This Row],[Service Description]],functionInfo[Service Description For Invoicing &amp; SLA],0))</calculatedColumnFormula>
    </tableColumn>
    <tableColumn id="9" xr3:uid="{1F3D2A2A-9703-416F-8051-191E70D3A34C}" name="Needed Monthly?" dataDxfId="65">
      <calculatedColumnFormula>INDEX(functionInfo[Monthly Dashboard],MATCH(FTE_stdWD[[#This Row],[Service Description]],functionInfo[Service Description For Invoicing &amp; SLA],0))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95ADF-9004-46CC-9585-B1E63CE973DB}" name="dailyVolumeData" displayName="dailyVolumeData" ref="A1:E2" insertRow="1" totalsRowShown="0" headerRowDxfId="53" dataDxfId="52">
  <autoFilter ref="A1:E2" xr:uid="{D0B95ADF-9004-46CC-9585-B1E63CE973DB}"/>
  <tableColumns count="5">
    <tableColumn id="1" xr3:uid="{B4BCA960-9088-4768-99E6-54EC4CDA3946}" name="Date" dataDxfId="51"/>
    <tableColumn id="2" xr3:uid="{4D44A937-5EE4-4354-A35D-5CDA72FDF81E}" name="Service Description" dataDxfId="50"/>
    <tableColumn id="3" xr3:uid="{EB8DB71C-0FBA-4BD6-8F6F-1634EB5323FF}" name="Country" dataDxfId="49"/>
    <tableColumn id="4" xr3:uid="{9A7B6D25-E2EB-4861-9B72-300C7DA56A1A}" name="Count" dataDxfId="48"/>
    <tableColumn id="6" xr3:uid="{C84937BB-2521-4345-B88F-705A02C5323F}" name="Actual FTE" dataDxfId="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055AE-6A56-429D-B4DF-6A57CCF5652C}" name="functionInfo" displayName="functionInfo" ref="A5:O65" totalsRowShown="0" headerRowDxfId="0" dataDxfId="45" headerRowBorderDxfId="46" tableBorderDxfId="44" totalsRowBorderDxfId="43">
  <autoFilter ref="A5:O65" xr:uid="{8EABC50B-4437-42C8-AE0B-CFDF307AB3CF}">
    <filterColumn colId="9">
      <filters>
        <filter val="Yes"/>
        <filter val="Yes-Later"/>
      </filters>
    </filterColumn>
  </autoFilter>
  <tableColumns count="15">
    <tableColumn id="1" xr3:uid="{03F7C110-211A-427D-A808-FB1F4C918937}" name="Function" dataDxfId="15"/>
    <tableColumn id="2" xr3:uid="{F711A06F-7BB7-4779-B49E-FE3EFF24DD55}" name="Service Delivery" dataDxfId="14"/>
    <tableColumn id="3" xr3:uid="{7BC12B0D-2481-4968-ABBE-B9C00D435392}" name="Service Description For Invoicing &amp; SLA" dataDxfId="13">
      <calculatedColumnFormula>functionInfo[[#This Row],[Function]]&amp;" - "&amp;functionInfo[[#This Row],[Service Delivery]]</calculatedColumnFormula>
    </tableColumn>
    <tableColumn id="4" xr3:uid="{9E2A2B08-027F-4A12-AD02-3C0DADDF3A82}" name="Service Level" dataDxfId="12"/>
    <tableColumn id="5" xr3:uid="{A12D89C2-A7CA-48C9-8D5C-EF017AF5FF51}" name="Detailed Description" dataDxfId="11"/>
    <tableColumn id="7" xr3:uid="{BAA936D1-D808-45B0-9C00-2AAAD1E1949B}" name="KPI Target Measurement_x000a_(per FTE)" dataDxfId="10"/>
    <tableColumn id="8" xr3:uid="{DC060C6F-863F-4D90-A196-62E2B6B06A55}" name="KPI Target Quantity (Day/FTE)" dataDxfId="9"/>
    <tableColumn id="6" xr3:uid="{B4FC9AB0-CD02-47AB-ACEB-9EBD7016F073}" name="Remarks" dataDxfId="8"/>
    <tableColumn id="9" xr3:uid="{D1181D02-7E4A-41D2-805D-68A3272A09A7}" name="2024 Baseline" dataDxfId="7">
      <calculatedColumnFormula>IFERROR(INDEX(ProductivityBaseline[ProductivityBaseline],MATCH(functionInfo[[#This Row],[Service Description For Invoicing &amp; SLA]],ProductivityBaseline[Title],0)),0)</calculatedColumnFormula>
    </tableColumn>
    <tableColumn id="11" xr3:uid="{465C1045-CF2B-4204-8FD5-23DC79107502}" name="Daily Dashboard Set-up" dataDxfId="6"/>
    <tableColumn id="10" xr3:uid="{C4B3008C-16E8-4F78-ABAE-76A3BF1E8447}" name="Monthly Dashboard" dataDxfId="5"/>
    <tableColumn id="12" xr3:uid="{60BBC390-61B2-408C-B414-47EB3C826D1C}" name="Service Lead" dataDxfId="4"/>
    <tableColumn id="13" xr3:uid="{E76A2B82-7228-4E26-8B38-D81908C370AE}" name="Data source" dataDxfId="3"/>
    <tableColumn id="14" xr3:uid="{47A805A6-4963-40FF-9DF6-64B3FC26AC14}" name="Datasource Remarks" dataDxfId="2"/>
    <tableColumn id="15" xr3:uid="{009C2774-EF5F-4810-84AB-5461405126BD}" name="2nd datasource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88FE1-0086-4A12-839F-C14AD483379E}" name="stdWorkingDays" displayName="stdWorkingDays" ref="A1:D13" totalsRowShown="0" headerRowDxfId="42" dataDxfId="41">
  <tableColumns count="4">
    <tableColumn id="1" xr3:uid="{6546A1FB-8B70-4207-BA71-82D2E8AD6236}" name="Year" dataDxfId="40"/>
    <tableColumn id="2" xr3:uid="{B2C01F72-61DD-40C7-BBB2-DC2DC692CE2B}" name="Month" dataDxfId="39"/>
    <tableColumn id="3" xr3:uid="{0ACE0DEC-E7C5-4582-8E2D-E1A678BDF274}" name="China" dataDxfId="38"/>
    <tableColumn id="4" xr3:uid="{217BC759-919B-4717-9F5F-7D078D48CDE6}" name="Philippine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5DA711-CE7B-4EB3-A017-480F1C64F5BA}" name="ProductivityBaseline" displayName="ProductivityBaseline" ref="A1:I32" tableType="queryTable" totalsRowShown="0" headerRowDxfId="64" dataDxfId="63">
  <autoFilter ref="A1:I32" xr:uid="{19E1CE7F-19FB-42A1-BB4E-FA079E9BDE21}"/>
  <sortState xmlns:xlrd2="http://schemas.microsoft.com/office/spreadsheetml/2017/richdata2" ref="A2:I32">
    <sortCondition ref="A1:A32"/>
  </sortState>
  <tableColumns count="9">
    <tableColumn id="1" xr3:uid="{55614FA1-2E41-42CE-9DCD-BF6B7D849AF1}" uniqueName="1" name="Title" queryTableFieldId="1" dataDxfId="62"/>
    <tableColumn id="8" xr3:uid="{16D7891E-67CE-4960-AB98-C65A4CB24D4C}" uniqueName="8" name="Year to use" queryTableFieldId="7" dataDxfId="61" dataCellStyle="Normal 2"/>
    <tableColumn id="2" xr3:uid="{E32FA5FF-F516-4BE3-935B-3FFADD3BD481}" uniqueName="2" name="TotalNoofTransactions" queryTableFieldId="2" dataDxfId="60"/>
    <tableColumn id="3" xr3:uid="{C193B832-50C3-4EB2-A996-39843D3875ED}" uniqueName="3" name="TotalProductionDays" queryTableFieldId="3" dataDxfId="59"/>
    <tableColumn id="4" xr3:uid="{B6AAE3B8-D38F-4BEE-8DCD-7338FE4CA32A}" uniqueName="4" name="ProductivityBaseline" queryTableFieldId="4" dataDxfId="58"/>
    <tableColumn id="5" xr3:uid="{225B541A-DB4D-44E2-B1AC-D19A3F86826B}" uniqueName="5" name="CalculationPeriod" queryTableFieldId="5" dataDxfId="57"/>
    <tableColumn id="6" xr3:uid="{1A17A880-51D5-4685-AED8-E302196620CE}" uniqueName="6" name="Remarks" queryTableFieldId="6" dataDxfId="56"/>
    <tableColumn id="7" xr3:uid="{B7615419-6319-4A7C-B7B0-5956BA1CB7EF}" uniqueName="7" name="duplicateCode" queryTableFieldId="8" dataDxfId="55">
      <calculatedColumnFormula>ProductivityBaseline[[#This Row],[Title]]&amp;ProductivityBaseline[[#This Row],[Year to use]]</calculatedColumnFormula>
    </tableColumn>
    <tableColumn id="9" xr3:uid="{B89C507E-388A-47A3-AFC6-19E220A058B7}" uniqueName="9" name="Process Owner" queryTableFieldId="9" dataDxfId="54">
      <calculatedColumnFormula>IFERROR(INDEX(functionInfo[Service Lead],MATCH(ProductivityBaseline[[#This Row],[Title]],functionInfo[Service Description For Invoicing &amp; SLA],0)),"--")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48E72-630A-4D8E-80F6-2906A3494A44}" name="Table19" displayName="Table19" ref="A1:E27" totalsRowShown="0" headerRowDxfId="36" dataDxfId="35">
  <autoFilter ref="A1:E27" xr:uid="{428F4273-DBDA-4E97-BD8F-1DC46DD8D4CF}"/>
  <tableColumns count="5">
    <tableColumn id="1" xr3:uid="{AADD915B-5606-4F5D-8D82-B6D690C11206}" name="Process Name" dataDxfId="34"/>
    <tableColumn id="2" xr3:uid="{A6782A49-0401-4917-8908-F2E126F1CF50}" name="Process Owner" dataDxfId="33"/>
    <tableColumn id="3" xr3:uid="{1746F77B-8462-4214-AE62-B7CCCBC974E7}" name="PBI Dashboard Name" dataDxfId="32">
      <calculatedColumnFormula>HYPERLINK("https://app.powerbi.com/groups/5f8eff56-61f0-4824-9f06-fc0961e08c98/reports/6c24a801-705f-46f5-9460-71cd42716206/ReportSection98f9bd1fc71fd2e308f1?experience=power-bi","AF HMS")</calculatedColumnFormula>
    </tableColumn>
    <tableColumn id="5" xr3:uid="{971A4D9E-EDE7-4EA6-B35A-FAAD0C590120}" name="Remarks" dataDxfId="31"/>
    <tableColumn id="4" xr3:uid="{5B92981F-7873-4A97-AD30-E21C3AF2B13E}" name="Active?" dataDxfId="3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5f8eff56-61f0-4824-9f06-fc0961e08c98/reports/118be7b0-cf1b-446b-a03f-ea5cb0eb4532/ReportSection780cb334a8da95d7e2c3?experience=power-bi" TargetMode="External"/><Relationship Id="rId13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3" Type="http://schemas.openxmlformats.org/officeDocument/2006/relationships/hyperlink" Target="https://app.powerbi.com/groups/5f8eff56-61f0-4824-9f06-fc0961e08c98/reports/0f74d8e1-bec7-4366-97c3-f3a8434f3b6f/ReportSection4b902f47121e3d14e754?experience=power-bi" TargetMode="External"/><Relationship Id="rId7" Type="http://schemas.openxmlformats.org/officeDocument/2006/relationships/hyperlink" Target="https://app.powerbi.com/groups/5f8eff56-61f0-4824-9f06-fc0961e08c98/reports/6f9d4cc6-a16f-490b-8a5d-7c73d5a1e208/297104b92429842bac33?experience=power-bi" TargetMode="External"/><Relationship Id="rId12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17" Type="http://schemas.openxmlformats.org/officeDocument/2006/relationships/table" Target="../tables/table4.xml"/><Relationship Id="rId2" Type="http://schemas.openxmlformats.org/officeDocument/2006/relationships/hyperlink" Target="https://app.powerbi.com/reportEmbed?reportId=be3be6b6-95fc-491f-b09b-e6263bd4253d&amp;autoAuth=true&amp;ctid=f1cf02ad-9661-4b67-ad60-9ae41c500550" TargetMode="External"/><Relationship Id="rId16" Type="http://schemas.openxmlformats.org/officeDocument/2006/relationships/hyperlink" Target="https://app.powerbi.com/groups/5f8eff56-61f0-4824-9f06-fc0961e08c98/reports/0f74d8e1-bec7-4366-97c3-f3a8434f3b6f/ReportSectione8ad13368d3adba6932f?ctid=f1cf02ad-9661-4b67-ad60-9ae41c500550&amp;openReportSource=ReportInvitation&amp;experience=power-bi" TargetMode="External"/><Relationship Id="rId1" Type="http://schemas.openxmlformats.org/officeDocument/2006/relationships/hyperlink" Target="https://app.powerbi.com/groups/me/reports/1355a83e-a8a9-452b-89b2-ecdbb2a7d942/0d95588263e00d07c953?ctid=f1cf02ad-9661-4b67-ad60-9ae41c500550&amp;openReportSource=ReportInvitation&amp;experience=power-bi" TargetMode="External"/><Relationship Id="rId6" Type="http://schemas.openxmlformats.org/officeDocument/2006/relationships/hyperlink" Target="https://app.powerbi.com/groups/5f8eff56-61f0-4824-9f06-fc0961e08c98/reports/118be7b0-cf1b-446b-a03f-ea5cb0eb4532/ReportSection898cd81d0751d7669fd4?experience=power-bi" TargetMode="External"/><Relationship Id="rId11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5" Type="http://schemas.openxmlformats.org/officeDocument/2006/relationships/hyperlink" Target="https://app.powerbi.com/groups/5f8eff56-61f0-4824-9f06-fc0961e08c98/reports/0f74d8e1-bec7-4366-97c3-f3a8434f3b6f/ReportSectione8ad13368d3adba6932f?experience=power-bi" TargetMode="External"/><Relationship Id="rId15" Type="http://schemas.openxmlformats.org/officeDocument/2006/relationships/hyperlink" Target="https://app.powerbi.com/groups/5f8eff56-61f0-4824-9f06-fc0961e08c98/reports/be3be6b6-95fc-491f-b09b-e6263bd4253d/ReportSection3cd5df952ae3e24f6567?ctid=f1cf02ad-9661-4b67-ad60-9ae41c500550&amp;openReportSource=ReportInvitation&amp;experience=power-bi" TargetMode="External"/><Relationship Id="rId10" Type="http://schemas.openxmlformats.org/officeDocument/2006/relationships/hyperlink" Target="https://app.powerbi.com/groups/5f8eff56-61f0-4824-9f06-fc0961e08c98/reports/118be7b0-cf1b-446b-a03f-ea5cb0eb4532/ReportSection780cb334a8da95d7e2c3?experience=power-bi" TargetMode="External"/><Relationship Id="rId4" Type="http://schemas.openxmlformats.org/officeDocument/2006/relationships/hyperlink" Target="https://app.powerbi.com/groups/5f8eff56-61f0-4824-9f06-fc0961e08c98/reports/0f74d8e1-bec7-4366-97c3-f3a8434f3b6f/01a0b62443de40eea946?experience=power-bi" TargetMode="External"/><Relationship Id="rId9" Type="http://schemas.openxmlformats.org/officeDocument/2006/relationships/hyperlink" Target="https://app.powerbi.com/groups/5f8eff56-61f0-4824-9f06-fc0961e08c98/reports/118be7b0-cf1b-446b-a03f-ea5cb0eb4532/ReportSection780cb334a8da95d7e2c3?experience=power-bi" TargetMode="External"/><Relationship Id="rId14" Type="http://schemas.openxmlformats.org/officeDocument/2006/relationships/hyperlink" Target="https://app.powerbi.com/reportEmbed?reportId=1c3ce76d-5b9a-4818-93cb-582bdaa28817&amp;autoAuth=true&amp;ctid=f1cf02ad-9661-4b67-ad60-9ae41c50055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reportEmbed?reportId=be3be6b6-95fc-491f-b09b-e6263bd4253d&amp;autoAuth=true&amp;ctid=f1cf02ad-9661-4b67-ad60-9ae41c500550" TargetMode="External"/><Relationship Id="rId3" Type="http://schemas.openxmlformats.org/officeDocument/2006/relationships/hyperlink" Target="https://app.powerbi.com/reportEmbed?reportId=be3be6b6-95fc-491f-b09b-e6263bd4253d&amp;autoAuth=true&amp;ctid=f1cf02ad-9661-4b67-ad60-9ae41c500550" TargetMode="External"/><Relationship Id="rId7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2" Type="http://schemas.openxmlformats.org/officeDocument/2006/relationships/hyperlink" Target="https://app.powerbi.com/reportEmbed?reportId=1c3ce76d-5b9a-4818-93cb-582bdaa28817&amp;autoAuth=true&amp;ctid=f1cf02ad-9661-4b67-ad60-9ae41c500550" TargetMode="External"/><Relationship Id="rId1" Type="http://schemas.openxmlformats.org/officeDocument/2006/relationships/hyperlink" Target="https://app.powerbi.com/reportEmbed?reportId=002d0326-95eb-4c87-baa4-d3499a2803a2&amp;autoAuth=true&amp;ctid=f1cf02ad-9661-4b67-ad60-9ae41c500550" TargetMode="External"/><Relationship Id="rId6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5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4" Type="http://schemas.openxmlformats.org/officeDocument/2006/relationships/hyperlink" Target="https://app.powerbi.com/reportEmbed?reportId=14a1cf07-8940-4f68-b4f6-b50d4354e329&amp;autoAuth=true&amp;ctid=f1cf02ad-9661-4b67-ad60-9ae41c500550" TargetMode="Externa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7F2B-98FD-4D62-B1DF-6DDE5FDC7A19}">
  <sheetPr>
    <tabColor theme="3" tint="0.749992370372631"/>
  </sheetPr>
  <dimension ref="A1:P384"/>
  <sheetViews>
    <sheetView showGridLines="0" zoomScale="70" zoomScaleNormal="70" workbookViewId="0">
      <pane xSplit="3" ySplit="1" topLeftCell="D183" activePane="bottomRight" state="frozen"/>
      <selection pane="topRight" activeCell="D1" sqref="D1"/>
      <selection pane="bottomLeft" activeCell="A2" sqref="A2"/>
      <selection pane="bottomRight" activeCell="D215" sqref="D215"/>
    </sheetView>
    <sheetView zoomScale="70" zoomScaleNormal="70" workbookViewId="1">
      <pane xSplit="3" ySplit="1" topLeftCell="D318" activePane="bottomRight" state="frozen"/>
      <selection pane="topRight" activeCell="D1" sqref="D1"/>
      <selection pane="bottomLeft" activeCell="A2" sqref="A2"/>
      <selection pane="bottomRight" activeCell="C349" sqref="C349"/>
    </sheetView>
  </sheetViews>
  <sheetFormatPr defaultColWidth="10" defaultRowHeight="15.75" outlineLevelRow="1" x14ac:dyDescent="0.25"/>
  <cols>
    <col min="1" max="1" width="10" style="15"/>
    <col min="2" max="2" width="13.5703125" style="15" customWidth="1"/>
    <col min="3" max="3" width="55.7109375" style="51" customWidth="1"/>
    <col min="4" max="4" width="25.5703125" style="52" customWidth="1"/>
    <col min="5" max="5" width="19.140625" style="15" customWidth="1"/>
    <col min="6" max="6" width="17.7109375" style="15" customWidth="1"/>
    <col min="7" max="7" width="16.42578125" style="15" customWidth="1"/>
    <col min="8" max="8" width="15.5703125" style="53" customWidth="1"/>
    <col min="9" max="9" width="16.85546875" style="15" customWidth="1"/>
    <col min="10" max="10" width="22.5703125" style="15" customWidth="1"/>
    <col min="11" max="12" width="23.7109375" style="15" customWidth="1"/>
    <col min="13" max="13" width="10" style="15"/>
    <col min="14" max="14" width="16.5703125" style="15" customWidth="1"/>
    <col min="15" max="15" width="2.42578125" style="15" customWidth="1"/>
    <col min="16" max="16" width="41.140625" style="15" bestFit="1" customWidth="1"/>
    <col min="17" max="16384" width="10" style="15"/>
  </cols>
  <sheetData>
    <row r="1" spans="1:16" ht="31.5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</row>
    <row r="2" spans="1:16" x14ac:dyDescent="0.25">
      <c r="A2" s="16">
        <v>2024</v>
      </c>
      <c r="B2" s="17" t="s">
        <v>14</v>
      </c>
      <c r="C2" s="135" t="s">
        <v>32</v>
      </c>
      <c r="D2" s="18">
        <v>660</v>
      </c>
      <c r="E2" s="19">
        <v>38</v>
      </c>
      <c r="F2" s="48" cm="1">
        <f t="array" ref="F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" s="20" cm="1">
        <f t="array" ref="G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" s="20">
        <v>22</v>
      </c>
      <c r="I2" s="20">
        <v>22</v>
      </c>
      <c r="J2" s="2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" s="21">
        <f>IFERROR(capacityTbl[[#This Row],[Production Days]]/capacityTbl[[#This Row],[Weighted Working day]],0)</f>
        <v>0</v>
      </c>
      <c r="L2" s="21">
        <v>14.3</v>
      </c>
      <c r="M2" s="22">
        <f>IFERROR(capacityTbl[[#This Row],[No. of Transaction]]/(capacityTbl[[#This Row],[Productivity Baseline (Transation/FTE/Day)]]*capacityTbl[[#This Row],[Weighted Working day]]),0)</f>
        <v>0</v>
      </c>
      <c r="N2" s="23">
        <f>IFERROR(capacityTbl[[#This Row],[No. of Transaction]]/capacityTbl[[#This Row],[Production Days]],0)</f>
        <v>17.368421052631579</v>
      </c>
      <c r="P2" s="15" t="s">
        <v>16</v>
      </c>
    </row>
    <row r="3" spans="1:16" hidden="1" outlineLevel="1" x14ac:dyDescent="0.25">
      <c r="A3" s="24">
        <v>2024</v>
      </c>
      <c r="B3" s="25" t="s">
        <v>17</v>
      </c>
      <c r="C3" s="26" t="s">
        <v>32</v>
      </c>
      <c r="D3" s="27">
        <v>473</v>
      </c>
      <c r="E3" s="28">
        <v>38</v>
      </c>
      <c r="F3" s="29" cm="1">
        <f t="array" ref="F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" s="30" cm="1">
        <f t="array" ref="G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" s="30">
        <v>18</v>
      </c>
      <c r="I3" s="30">
        <v>20</v>
      </c>
      <c r="J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" s="31">
        <f>IFERROR(capacityTbl[[#This Row],[Production Days]]/capacityTbl[[#This Row],[Weighted Working day]],0)</f>
        <v>0</v>
      </c>
      <c r="L3" s="31">
        <v>14.3</v>
      </c>
      <c r="M3" s="32">
        <f>IFERROR(capacityTbl[[#This Row],[No. of Transaction]]/(capacityTbl[[#This Row],[Productivity Baseline (Transation/FTE/Day)]]*capacityTbl[[#This Row],[Weighted Working day]]),0)</f>
        <v>0</v>
      </c>
      <c r="N3" s="33">
        <f>IFERROR(capacityTbl[[#This Row],[No. of Transaction]]/capacityTbl[[#This Row],[Production Days]],0)</f>
        <v>12.447368421052632</v>
      </c>
    </row>
    <row r="4" spans="1:16" hidden="1" outlineLevel="1" x14ac:dyDescent="0.25">
      <c r="A4" s="24">
        <v>2024</v>
      </c>
      <c r="B4" s="25" t="s">
        <v>18</v>
      </c>
      <c r="C4" s="26" t="s">
        <v>32</v>
      </c>
      <c r="D4" s="27">
        <v>562</v>
      </c>
      <c r="E4" s="28">
        <v>39</v>
      </c>
      <c r="F4" s="29" cm="1">
        <f t="array" ref="F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4" s="30" cm="1">
        <f t="array" ref="G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4" s="30">
        <v>21</v>
      </c>
      <c r="I4" s="30">
        <v>19</v>
      </c>
      <c r="J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4" s="31">
        <f>IFERROR(capacityTbl[[#This Row],[Production Days]]/capacityTbl[[#This Row],[Weighted Working day]],0)</f>
        <v>0</v>
      </c>
      <c r="L4" s="31">
        <v>14.3</v>
      </c>
      <c r="M4" s="32">
        <f>IFERROR(capacityTbl[[#This Row],[No. of Transaction]]/(capacityTbl[[#This Row],[Productivity Baseline (Transation/FTE/Day)]]*capacityTbl[[#This Row],[Weighted Working day]]),0)</f>
        <v>0</v>
      </c>
      <c r="N4" s="33">
        <f>IFERROR(capacityTbl[[#This Row],[No. of Transaction]]/capacityTbl[[#This Row],[Production Days]],0)</f>
        <v>14.410256410256411</v>
      </c>
    </row>
    <row r="5" spans="1:16" hidden="1" outlineLevel="1" x14ac:dyDescent="0.25">
      <c r="A5" s="24">
        <v>2024</v>
      </c>
      <c r="B5" s="25" t="s">
        <v>19</v>
      </c>
      <c r="C5" s="26" t="s">
        <v>32</v>
      </c>
      <c r="D5" s="27">
        <v>593</v>
      </c>
      <c r="E5" s="28">
        <v>41</v>
      </c>
      <c r="F5" s="29" cm="1">
        <f t="array" ref="F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" s="30" cm="1">
        <f t="array" ref="G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" s="30">
        <v>22</v>
      </c>
      <c r="I5" s="30">
        <v>21</v>
      </c>
      <c r="J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" s="31">
        <f>IFERROR(capacityTbl[[#This Row],[Production Days]]/capacityTbl[[#This Row],[Weighted Working day]],0)</f>
        <v>0</v>
      </c>
      <c r="L5" s="31">
        <v>14.3</v>
      </c>
      <c r="M5" s="32">
        <f>IFERROR(capacityTbl[[#This Row],[No. of Transaction]]/(capacityTbl[[#This Row],[Productivity Baseline (Transation/FTE/Day)]]*capacityTbl[[#This Row],[Weighted Working day]]),0)</f>
        <v>0</v>
      </c>
      <c r="N5" s="33">
        <f>IFERROR(capacityTbl[[#This Row],[No. of Transaction]]/capacityTbl[[#This Row],[Production Days]],0)</f>
        <v>14.463414634146341</v>
      </c>
    </row>
    <row r="6" spans="1:16" hidden="1" outlineLevel="1" x14ac:dyDescent="0.25">
      <c r="A6" s="24">
        <v>2024</v>
      </c>
      <c r="B6" s="25" t="s">
        <v>20</v>
      </c>
      <c r="C6" s="26" t="s">
        <v>32</v>
      </c>
      <c r="D6" s="27">
        <v>583</v>
      </c>
      <c r="E6" s="28">
        <v>41</v>
      </c>
      <c r="F6" s="29" cm="1">
        <f t="array" ref="F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" s="30" cm="1">
        <f t="array" ref="G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" s="30">
        <v>21</v>
      </c>
      <c r="I6" s="30">
        <v>22</v>
      </c>
      <c r="J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" s="31">
        <f>IFERROR(capacityTbl[[#This Row],[Production Days]]/capacityTbl[[#This Row],[Weighted Working day]],0)</f>
        <v>0</v>
      </c>
      <c r="L6" s="31">
        <v>14.3</v>
      </c>
      <c r="M6" s="32">
        <f>IFERROR(capacityTbl[[#This Row],[No. of Transaction]]/(capacityTbl[[#This Row],[Productivity Baseline (Transation/FTE/Day)]]*capacityTbl[[#This Row],[Weighted Working day]]),0)</f>
        <v>0</v>
      </c>
      <c r="N6" s="33">
        <f>IFERROR(capacityTbl[[#This Row],[No. of Transaction]]/capacityTbl[[#This Row],[Production Days]],0)</f>
        <v>14.219512195121951</v>
      </c>
    </row>
    <row r="7" spans="1:16" hidden="1" outlineLevel="1" x14ac:dyDescent="0.25">
      <c r="A7" s="24">
        <v>2024</v>
      </c>
      <c r="B7" s="25" t="s">
        <v>21</v>
      </c>
      <c r="C7" s="26" t="s">
        <v>32</v>
      </c>
      <c r="D7" s="27">
        <v>545</v>
      </c>
      <c r="E7" s="28">
        <v>33</v>
      </c>
      <c r="F7" s="29" cm="1">
        <f t="array" ref="F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" s="30" cm="1">
        <f t="array" ref="G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" s="30">
        <v>19</v>
      </c>
      <c r="I7" s="30">
        <v>18</v>
      </c>
      <c r="J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" s="31">
        <f>IFERROR(capacityTbl[[#This Row],[Production Days]]/capacityTbl[[#This Row],[Weighted Working day]],0)</f>
        <v>0</v>
      </c>
      <c r="L7" s="31">
        <v>14.3</v>
      </c>
      <c r="M7" s="32">
        <f>IFERROR(capacityTbl[[#This Row],[No. of Transaction]]/(capacityTbl[[#This Row],[Productivity Baseline (Transation/FTE/Day)]]*capacityTbl[[#This Row],[Weighted Working day]]),0)</f>
        <v>0</v>
      </c>
      <c r="N7" s="33">
        <f>IFERROR(capacityTbl[[#This Row],[No. of Transaction]]/capacityTbl[[#This Row],[Production Days]],0)</f>
        <v>16.515151515151516</v>
      </c>
    </row>
    <row r="8" spans="1:16" hidden="1" outlineLevel="1" x14ac:dyDescent="0.25">
      <c r="A8" s="24">
        <v>2024</v>
      </c>
      <c r="B8" s="25" t="s">
        <v>22</v>
      </c>
      <c r="C8" s="26" t="s">
        <v>32</v>
      </c>
      <c r="D8" s="27">
        <v>622</v>
      </c>
      <c r="E8" s="28">
        <v>45</v>
      </c>
      <c r="F8" s="29" cm="1">
        <f t="array" ref="F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" s="30" cm="1">
        <f t="array" ref="G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" s="30">
        <v>23</v>
      </c>
      <c r="I8" s="30">
        <v>23</v>
      </c>
      <c r="J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" s="31">
        <f>IFERROR(capacityTbl[[#This Row],[Production Days]]/capacityTbl[[#This Row],[Weighted Working day]],0)</f>
        <v>0</v>
      </c>
      <c r="L8" s="31">
        <v>14.3</v>
      </c>
      <c r="M8" s="32">
        <f>IFERROR(capacityTbl[[#This Row],[No. of Transaction]]/(capacityTbl[[#This Row],[Productivity Baseline (Transation/FTE/Day)]]*capacityTbl[[#This Row],[Weighted Working day]]),0)</f>
        <v>0</v>
      </c>
      <c r="N8" s="33">
        <f>IFERROR(capacityTbl[[#This Row],[No. of Transaction]]/capacityTbl[[#This Row],[Production Days]],0)</f>
        <v>13.822222222222223</v>
      </c>
    </row>
    <row r="9" spans="1:16" hidden="1" outlineLevel="1" x14ac:dyDescent="0.25">
      <c r="A9" s="24">
        <v>2024</v>
      </c>
      <c r="B9" s="25" t="s">
        <v>23</v>
      </c>
      <c r="C9" s="26" t="s">
        <v>32</v>
      </c>
      <c r="D9" s="27">
        <v>584</v>
      </c>
      <c r="E9" s="28">
        <v>42</v>
      </c>
      <c r="F9" s="29" cm="1">
        <f t="array" ref="F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" s="30" cm="1">
        <f t="array" ref="G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" s="30">
        <v>22</v>
      </c>
      <c r="I9" s="30">
        <v>20</v>
      </c>
      <c r="J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" s="31">
        <f>IFERROR(capacityTbl[[#This Row],[Production Days]]/capacityTbl[[#This Row],[Weighted Working day]],0)</f>
        <v>0</v>
      </c>
      <c r="L9" s="31">
        <v>14.3</v>
      </c>
      <c r="M9" s="32">
        <f>IFERROR(capacityTbl[[#This Row],[No. of Transaction]]/(capacityTbl[[#This Row],[Productivity Baseline (Transation/FTE/Day)]]*capacityTbl[[#This Row],[Weighted Working day]]),0)</f>
        <v>0</v>
      </c>
      <c r="N9" s="33">
        <f>IFERROR(capacityTbl[[#This Row],[No. of Transaction]]/capacityTbl[[#This Row],[Production Days]],0)</f>
        <v>13.904761904761905</v>
      </c>
    </row>
    <row r="10" spans="1:16" hidden="1" outlineLevel="1" x14ac:dyDescent="0.25">
      <c r="A10" s="24">
        <v>2024</v>
      </c>
      <c r="B10" s="25" t="s">
        <v>33</v>
      </c>
      <c r="C10" s="26" t="s">
        <v>32</v>
      </c>
      <c r="D10" s="27">
        <v>450</v>
      </c>
      <c r="E10" s="28">
        <v>37</v>
      </c>
      <c r="F10" s="29" cm="1">
        <f t="array" ref="F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" s="30" cm="1">
        <f t="array" ref="G1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" s="30">
        <v>21</v>
      </c>
      <c r="I10" s="30">
        <v>21</v>
      </c>
      <c r="J1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" s="31">
        <f>IFERROR(capacityTbl[[#This Row],[Production Days]]/capacityTbl[[#This Row],[Weighted Working day]],0)</f>
        <v>0</v>
      </c>
      <c r="L10" s="31">
        <v>14.3</v>
      </c>
      <c r="M10" s="32">
        <f>IFERROR(capacityTbl[[#This Row],[No. of Transaction]]/(capacityTbl[[#This Row],[Productivity Baseline (Transation/FTE/Day)]]*capacityTbl[[#This Row],[Weighted Working day]]),0)</f>
        <v>0</v>
      </c>
      <c r="N10" s="33">
        <f>IFERROR(capacityTbl[[#This Row],[No. of Transaction]]/capacityTbl[[#This Row],[Production Days]],0)</f>
        <v>12.162162162162161</v>
      </c>
    </row>
    <row r="11" spans="1:16" hidden="1" outlineLevel="1" x14ac:dyDescent="0.25">
      <c r="A11" s="24">
        <v>2024</v>
      </c>
      <c r="B11" s="25" t="s">
        <v>25</v>
      </c>
      <c r="C11" s="26" t="s">
        <v>32</v>
      </c>
      <c r="D11" s="27">
        <v>550</v>
      </c>
      <c r="E11" s="28">
        <v>41</v>
      </c>
      <c r="F11" s="29" cm="1">
        <f t="array" ref="F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" s="30" cm="1">
        <f t="array" ref="G1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" s="30">
        <v>19</v>
      </c>
      <c r="I11" s="30">
        <v>23</v>
      </c>
      <c r="J1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" s="31">
        <f>IFERROR(capacityTbl[[#This Row],[Production Days]]/capacityTbl[[#This Row],[Weighted Working day]],0)</f>
        <v>0</v>
      </c>
      <c r="L11" s="31">
        <v>14.3</v>
      </c>
      <c r="M11" s="32">
        <f>IFERROR(capacityTbl[[#This Row],[No. of Transaction]]/(capacityTbl[[#This Row],[Productivity Baseline (Transation/FTE/Day)]]*capacityTbl[[#This Row],[Weighted Working day]]),0)</f>
        <v>0</v>
      </c>
      <c r="N11" s="33">
        <f>IFERROR(capacityTbl[[#This Row],[No. of Transaction]]/capacityTbl[[#This Row],[Production Days]],0)</f>
        <v>13.414634146341463</v>
      </c>
    </row>
    <row r="12" spans="1:16" hidden="1" outlineLevel="1" x14ac:dyDescent="0.25">
      <c r="A12" s="24">
        <v>2024</v>
      </c>
      <c r="B12" s="25" t="s">
        <v>26</v>
      </c>
      <c r="C12" s="26" t="s">
        <v>32</v>
      </c>
      <c r="D12" s="27">
        <v>561</v>
      </c>
      <c r="E12" s="28">
        <v>32</v>
      </c>
      <c r="F12" s="29" cm="1">
        <f t="array" ref="F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" s="30" cm="1">
        <f t="array" ref="G1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" s="30">
        <v>21</v>
      </c>
      <c r="I12" s="30">
        <v>20</v>
      </c>
      <c r="J1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" s="31">
        <f>IFERROR(capacityTbl[[#This Row],[Production Days]]/capacityTbl[[#This Row],[Weighted Working day]],0)</f>
        <v>0</v>
      </c>
      <c r="L12" s="31">
        <v>14.3</v>
      </c>
      <c r="M12" s="32">
        <f>IFERROR(capacityTbl[[#This Row],[No. of Transaction]]/(capacityTbl[[#This Row],[Productivity Baseline (Transation/FTE/Day)]]*capacityTbl[[#This Row],[Weighted Working day]]),0)</f>
        <v>0</v>
      </c>
      <c r="N12" s="33">
        <f>IFERROR(capacityTbl[[#This Row],[No. of Transaction]]/capacityTbl[[#This Row],[Production Days]],0)</f>
        <v>17.53125</v>
      </c>
    </row>
    <row r="13" spans="1:16" hidden="1" outlineLevel="1" x14ac:dyDescent="0.25">
      <c r="A13" s="24">
        <v>2024</v>
      </c>
      <c r="B13" s="25" t="s">
        <v>27</v>
      </c>
      <c r="C13" s="26" t="s">
        <v>32</v>
      </c>
      <c r="D13" s="27">
        <v>450</v>
      </c>
      <c r="E13" s="28">
        <v>36</v>
      </c>
      <c r="F13" s="29" cm="1">
        <f t="array" ref="F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" s="30" cm="1">
        <f t="array" ref="G1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" s="30">
        <v>22</v>
      </c>
      <c r="I13" s="30">
        <v>18</v>
      </c>
      <c r="J1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" s="31">
        <f>IFERROR(capacityTbl[[#This Row],[Production Days]]/capacityTbl[[#This Row],[Weighted Working day]],0)</f>
        <v>0</v>
      </c>
      <c r="L13" s="31">
        <v>14.3</v>
      </c>
      <c r="M13" s="32">
        <f>IFERROR(capacityTbl[[#This Row],[No. of Transaction]]/(capacityTbl[[#This Row],[Productivity Baseline (Transation/FTE/Day)]]*capacityTbl[[#This Row],[Weighted Working day]]),0)</f>
        <v>0</v>
      </c>
      <c r="N13" s="33">
        <f>IFERROR(capacityTbl[[#This Row],[No. of Transaction]]/capacityTbl[[#This Row],[Production Days]],0)</f>
        <v>12.5</v>
      </c>
    </row>
    <row r="14" spans="1:16" hidden="1" outlineLevel="1" x14ac:dyDescent="0.25">
      <c r="A14" s="24">
        <v>2024</v>
      </c>
      <c r="B14" s="25" t="s">
        <v>14</v>
      </c>
      <c r="C14" s="26" t="s">
        <v>35</v>
      </c>
      <c r="D14" s="27">
        <v>774</v>
      </c>
      <c r="E14" s="28">
        <v>54</v>
      </c>
      <c r="F14" s="29" cm="1">
        <f t="array" ref="F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" s="30" cm="1">
        <f t="array" ref="G1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" s="30">
        <v>22</v>
      </c>
      <c r="I14" s="30">
        <v>22</v>
      </c>
      <c r="J1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" s="31">
        <f>IFERROR(capacityTbl[[#This Row],[Production Days]]/capacityTbl[[#This Row],[Weighted Working day]],0)</f>
        <v>0</v>
      </c>
      <c r="L14" s="31">
        <v>17.3</v>
      </c>
      <c r="M14" s="32">
        <f>IFERROR(capacityTbl[[#This Row],[No. of Transaction]]/(capacityTbl[[#This Row],[Productivity Baseline (Transation/FTE/Day)]]*capacityTbl[[#This Row],[Weighted Working day]]),0)</f>
        <v>0</v>
      </c>
      <c r="N14" s="33">
        <f>IFERROR(capacityTbl[[#This Row],[No. of Transaction]]/capacityTbl[[#This Row],[Production Days]],0)</f>
        <v>14.333333333333334</v>
      </c>
    </row>
    <row r="15" spans="1:16" hidden="1" outlineLevel="1" x14ac:dyDescent="0.25">
      <c r="A15" s="24">
        <v>2024</v>
      </c>
      <c r="B15" s="25" t="s">
        <v>17</v>
      </c>
      <c r="C15" s="26" t="s">
        <v>35</v>
      </c>
      <c r="D15" s="27">
        <v>792</v>
      </c>
      <c r="E15" s="28">
        <v>53</v>
      </c>
      <c r="F15" s="29" cm="1">
        <f t="array" ref="F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" s="30" cm="1">
        <f t="array" ref="G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" s="30">
        <v>18</v>
      </c>
      <c r="I15" s="30">
        <v>20</v>
      </c>
      <c r="J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" s="31">
        <f>IFERROR(capacityTbl[[#This Row],[Production Days]]/capacityTbl[[#This Row],[Weighted Working day]],0)</f>
        <v>0</v>
      </c>
      <c r="L15" s="31">
        <v>17.3</v>
      </c>
      <c r="M15" s="32">
        <f>IFERROR(capacityTbl[[#This Row],[No. of Transaction]]/(capacityTbl[[#This Row],[Productivity Baseline (Transation/FTE/Day)]]*capacityTbl[[#This Row],[Weighted Working day]]),0)</f>
        <v>0</v>
      </c>
      <c r="N15" s="33">
        <f>IFERROR(capacityTbl[[#This Row],[No. of Transaction]]/capacityTbl[[#This Row],[Production Days]],0)</f>
        <v>14.943396226415095</v>
      </c>
    </row>
    <row r="16" spans="1:16" hidden="1" outlineLevel="1" x14ac:dyDescent="0.25">
      <c r="A16" s="24">
        <v>2024</v>
      </c>
      <c r="B16" s="25" t="s">
        <v>18</v>
      </c>
      <c r="C16" s="26" t="s">
        <v>35</v>
      </c>
      <c r="D16" s="27">
        <v>853</v>
      </c>
      <c r="E16" s="28">
        <v>57</v>
      </c>
      <c r="F16" s="29" cm="1">
        <f t="array" ref="F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" s="30" cm="1">
        <f t="array" ref="G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" s="30">
        <v>21</v>
      </c>
      <c r="I16" s="30">
        <v>19</v>
      </c>
      <c r="J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" s="31">
        <f>IFERROR(capacityTbl[[#This Row],[Production Days]]/capacityTbl[[#This Row],[Weighted Working day]],0)</f>
        <v>0</v>
      </c>
      <c r="L16" s="31">
        <v>17.3</v>
      </c>
      <c r="M16" s="32">
        <f>IFERROR(capacityTbl[[#This Row],[No. of Transaction]]/(capacityTbl[[#This Row],[Productivity Baseline (Transation/FTE/Day)]]*capacityTbl[[#This Row],[Weighted Working day]]),0)</f>
        <v>0</v>
      </c>
      <c r="N16" s="33">
        <f>IFERROR(capacityTbl[[#This Row],[No. of Transaction]]/capacityTbl[[#This Row],[Production Days]],0)</f>
        <v>14.964912280701755</v>
      </c>
    </row>
    <row r="17" spans="1:14" hidden="1" outlineLevel="1" x14ac:dyDescent="0.25">
      <c r="A17" s="24">
        <v>2024</v>
      </c>
      <c r="B17" s="25" t="s">
        <v>19</v>
      </c>
      <c r="C17" s="26" t="s">
        <v>35</v>
      </c>
      <c r="D17" s="27">
        <v>762</v>
      </c>
      <c r="E17" s="28">
        <v>59</v>
      </c>
      <c r="F17" s="29" cm="1">
        <f t="array" ref="F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" s="30" cm="1">
        <f t="array" ref="G1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" s="30">
        <v>22</v>
      </c>
      <c r="I17" s="30">
        <v>21</v>
      </c>
      <c r="J1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" s="31">
        <f>IFERROR(capacityTbl[[#This Row],[Production Days]]/capacityTbl[[#This Row],[Weighted Working day]],0)</f>
        <v>0</v>
      </c>
      <c r="L17" s="31">
        <v>17.3</v>
      </c>
      <c r="M17" s="32">
        <f>IFERROR(capacityTbl[[#This Row],[No. of Transaction]]/(capacityTbl[[#This Row],[Productivity Baseline (Transation/FTE/Day)]]*capacityTbl[[#This Row],[Weighted Working day]]),0)</f>
        <v>0</v>
      </c>
      <c r="N17" s="33">
        <f>IFERROR(capacityTbl[[#This Row],[No. of Transaction]]/capacityTbl[[#This Row],[Production Days]],0)</f>
        <v>12.915254237288135</v>
      </c>
    </row>
    <row r="18" spans="1:14" hidden="1" outlineLevel="1" x14ac:dyDescent="0.25">
      <c r="A18" s="24">
        <v>2024</v>
      </c>
      <c r="B18" s="25" t="s">
        <v>20</v>
      </c>
      <c r="C18" s="26" t="s">
        <v>35</v>
      </c>
      <c r="D18" s="27">
        <v>756</v>
      </c>
      <c r="E18" s="28">
        <v>60</v>
      </c>
      <c r="F18" s="29" cm="1">
        <f t="array" ref="F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" s="30" cm="1">
        <f t="array" ref="G1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8" s="30">
        <v>21</v>
      </c>
      <c r="I18" s="30">
        <v>22</v>
      </c>
      <c r="J1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8" s="31">
        <f>IFERROR(capacityTbl[[#This Row],[Production Days]]/capacityTbl[[#This Row],[Weighted Working day]],0)</f>
        <v>0</v>
      </c>
      <c r="L18" s="31">
        <v>17.3</v>
      </c>
      <c r="M18" s="32">
        <f>IFERROR(capacityTbl[[#This Row],[No. of Transaction]]/(capacityTbl[[#This Row],[Productivity Baseline (Transation/FTE/Day)]]*capacityTbl[[#This Row],[Weighted Working day]]),0)</f>
        <v>0</v>
      </c>
      <c r="N18" s="33">
        <f>IFERROR(capacityTbl[[#This Row],[No. of Transaction]]/capacityTbl[[#This Row],[Production Days]],0)</f>
        <v>12.6</v>
      </c>
    </row>
    <row r="19" spans="1:14" hidden="1" outlineLevel="1" x14ac:dyDescent="0.25">
      <c r="A19" s="24">
        <v>2024</v>
      </c>
      <c r="B19" s="25" t="s">
        <v>21</v>
      </c>
      <c r="C19" s="26" t="s">
        <v>35</v>
      </c>
      <c r="D19" s="27">
        <v>788</v>
      </c>
      <c r="E19" s="28">
        <v>57</v>
      </c>
      <c r="F19" s="29" cm="1">
        <f t="array" ref="F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" s="30" cm="1">
        <f t="array" ref="G1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" s="30">
        <v>19</v>
      </c>
      <c r="I19" s="30">
        <v>18</v>
      </c>
      <c r="J1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" s="31">
        <f>IFERROR(capacityTbl[[#This Row],[Production Days]]/capacityTbl[[#This Row],[Weighted Working day]],0)</f>
        <v>0</v>
      </c>
      <c r="L19" s="31">
        <v>17.3</v>
      </c>
      <c r="M19" s="32">
        <f>IFERROR(capacityTbl[[#This Row],[No. of Transaction]]/(capacityTbl[[#This Row],[Productivity Baseline (Transation/FTE/Day)]]*capacityTbl[[#This Row],[Weighted Working day]]),0)</f>
        <v>0</v>
      </c>
      <c r="N19" s="33">
        <f>IFERROR(capacityTbl[[#This Row],[No. of Transaction]]/capacityTbl[[#This Row],[Production Days]],0)</f>
        <v>13.824561403508772</v>
      </c>
    </row>
    <row r="20" spans="1:14" hidden="1" outlineLevel="1" x14ac:dyDescent="0.25">
      <c r="A20" s="24">
        <v>2024</v>
      </c>
      <c r="B20" s="25" t="s">
        <v>22</v>
      </c>
      <c r="C20" s="26" t="s">
        <v>35</v>
      </c>
      <c r="D20" s="27">
        <v>940</v>
      </c>
      <c r="E20" s="28">
        <v>81.5</v>
      </c>
      <c r="F20" s="29" cm="1">
        <f t="array" ref="F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" s="30" cm="1">
        <f t="array" ref="G2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" s="30">
        <v>23</v>
      </c>
      <c r="I20" s="30">
        <v>23</v>
      </c>
      <c r="J2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" s="31">
        <f>IFERROR(capacityTbl[[#This Row],[Production Days]]/capacityTbl[[#This Row],[Weighted Working day]],0)</f>
        <v>0</v>
      </c>
      <c r="L20" s="31">
        <v>17.3</v>
      </c>
      <c r="M20" s="32">
        <f>IFERROR(capacityTbl[[#This Row],[No. of Transaction]]/(capacityTbl[[#This Row],[Productivity Baseline (Transation/FTE/Day)]]*capacityTbl[[#This Row],[Weighted Working day]]),0)</f>
        <v>0</v>
      </c>
      <c r="N20" s="33">
        <f>IFERROR(capacityTbl[[#This Row],[No. of Transaction]]/capacityTbl[[#This Row],[Production Days]],0)</f>
        <v>11.533742331288343</v>
      </c>
    </row>
    <row r="21" spans="1:14" hidden="1" outlineLevel="1" x14ac:dyDescent="0.25">
      <c r="A21" s="24">
        <v>2024</v>
      </c>
      <c r="B21" s="25" t="s">
        <v>23</v>
      </c>
      <c r="C21" s="26" t="s">
        <v>35</v>
      </c>
      <c r="D21" s="27">
        <v>1287</v>
      </c>
      <c r="E21" s="28">
        <v>74</v>
      </c>
      <c r="F21" s="29" cm="1">
        <f t="array" ref="F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" s="30" cm="1">
        <f t="array" ref="G2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1" s="30">
        <v>22</v>
      </c>
      <c r="I21" s="30">
        <v>20</v>
      </c>
      <c r="J2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1" s="31">
        <f>IFERROR(capacityTbl[[#This Row],[Production Days]]/capacityTbl[[#This Row],[Weighted Working day]],0)</f>
        <v>0</v>
      </c>
      <c r="L21" s="31">
        <v>17.3</v>
      </c>
      <c r="M21" s="32">
        <f>IFERROR(capacityTbl[[#This Row],[No. of Transaction]]/(capacityTbl[[#This Row],[Productivity Baseline (Transation/FTE/Day)]]*capacityTbl[[#This Row],[Weighted Working day]]),0)</f>
        <v>0</v>
      </c>
      <c r="N21" s="33">
        <f>IFERROR(capacityTbl[[#This Row],[No. of Transaction]]/capacityTbl[[#This Row],[Production Days]],0)</f>
        <v>17.391891891891891</v>
      </c>
    </row>
    <row r="22" spans="1:14" hidden="1" outlineLevel="1" x14ac:dyDescent="0.25">
      <c r="A22" s="24">
        <v>2024</v>
      </c>
      <c r="B22" s="25" t="s">
        <v>33</v>
      </c>
      <c r="C22" s="26" t="s">
        <v>35</v>
      </c>
      <c r="D22" s="27">
        <v>1364</v>
      </c>
      <c r="E22" s="28">
        <v>76</v>
      </c>
      <c r="F22" s="29" cm="1">
        <f t="array" ref="F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" s="30" cm="1">
        <f t="array" ref="G2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2" s="30">
        <v>21</v>
      </c>
      <c r="I22" s="30">
        <v>21</v>
      </c>
      <c r="J2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2" s="31">
        <f>IFERROR(capacityTbl[[#This Row],[Production Days]]/capacityTbl[[#This Row],[Weighted Working day]],0)</f>
        <v>0</v>
      </c>
      <c r="L22" s="31">
        <v>17.3</v>
      </c>
      <c r="M22" s="32">
        <f>IFERROR(capacityTbl[[#This Row],[No. of Transaction]]/(capacityTbl[[#This Row],[Productivity Baseline (Transation/FTE/Day)]]*capacityTbl[[#This Row],[Weighted Working day]]),0)</f>
        <v>0</v>
      </c>
      <c r="N22" s="33">
        <f>IFERROR(capacityTbl[[#This Row],[No. of Transaction]]/capacityTbl[[#This Row],[Production Days]],0)</f>
        <v>17.94736842105263</v>
      </c>
    </row>
    <row r="23" spans="1:14" hidden="1" outlineLevel="1" x14ac:dyDescent="0.25">
      <c r="A23" s="24">
        <v>2024</v>
      </c>
      <c r="B23" s="25" t="s">
        <v>25</v>
      </c>
      <c r="C23" s="26" t="s">
        <v>35</v>
      </c>
      <c r="D23" s="27">
        <v>1365</v>
      </c>
      <c r="E23" s="28">
        <v>83.5</v>
      </c>
      <c r="F23" s="29" cm="1">
        <f t="array" ref="F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" s="30" cm="1">
        <f t="array" ref="G2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" s="30">
        <v>19</v>
      </c>
      <c r="I23" s="30">
        <v>23</v>
      </c>
      <c r="J2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" s="31">
        <f>IFERROR(capacityTbl[[#This Row],[Production Days]]/capacityTbl[[#This Row],[Weighted Working day]],0)</f>
        <v>0</v>
      </c>
      <c r="L23" s="31">
        <v>17.3</v>
      </c>
      <c r="M23" s="32">
        <f>IFERROR(capacityTbl[[#This Row],[No. of Transaction]]/(capacityTbl[[#This Row],[Productivity Baseline (Transation/FTE/Day)]]*capacityTbl[[#This Row],[Weighted Working day]]),0)</f>
        <v>0</v>
      </c>
      <c r="N23" s="33">
        <f>IFERROR(capacityTbl[[#This Row],[No. of Transaction]]/capacityTbl[[#This Row],[Production Days]],0)</f>
        <v>16.347305389221557</v>
      </c>
    </row>
    <row r="24" spans="1:14" hidden="1" outlineLevel="1" x14ac:dyDescent="0.25">
      <c r="A24" s="24">
        <v>2024</v>
      </c>
      <c r="B24" s="25" t="s">
        <v>26</v>
      </c>
      <c r="C24" s="26" t="s">
        <v>35</v>
      </c>
      <c r="D24" s="27">
        <v>1343</v>
      </c>
      <c r="E24" s="28">
        <v>73</v>
      </c>
      <c r="F24" s="29" cm="1">
        <f t="array" ref="F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4" s="30" cm="1">
        <f t="array" ref="G2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4" s="30">
        <v>21</v>
      </c>
      <c r="I24" s="30">
        <v>20</v>
      </c>
      <c r="J2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4" s="31">
        <f>IFERROR(capacityTbl[[#This Row],[Production Days]]/capacityTbl[[#This Row],[Weighted Working day]],0)</f>
        <v>0</v>
      </c>
      <c r="L24" s="31">
        <v>17.3</v>
      </c>
      <c r="M24" s="32">
        <f>IFERROR(capacityTbl[[#This Row],[No. of Transaction]]/(capacityTbl[[#This Row],[Productivity Baseline (Transation/FTE/Day)]]*capacityTbl[[#This Row],[Weighted Working day]]),0)</f>
        <v>0</v>
      </c>
      <c r="N24" s="33">
        <f>IFERROR(capacityTbl[[#This Row],[No. of Transaction]]/capacityTbl[[#This Row],[Production Days]],0)</f>
        <v>18.397260273972602</v>
      </c>
    </row>
    <row r="25" spans="1:14" hidden="1" outlineLevel="1" x14ac:dyDescent="0.25">
      <c r="A25" s="24">
        <v>2024</v>
      </c>
      <c r="B25" s="25" t="s">
        <v>27</v>
      </c>
      <c r="C25" s="26" t="s">
        <v>35</v>
      </c>
      <c r="D25" s="27">
        <v>1333</v>
      </c>
      <c r="E25" s="28">
        <v>81</v>
      </c>
      <c r="F25" s="29" cm="1">
        <f t="array" ref="F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5" s="30" cm="1">
        <f t="array" ref="G2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5" s="30">
        <v>22</v>
      </c>
      <c r="I25" s="30">
        <v>18</v>
      </c>
      <c r="J2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5" s="31">
        <f>IFERROR(capacityTbl[[#This Row],[Production Days]]/capacityTbl[[#This Row],[Weighted Working day]],0)</f>
        <v>0</v>
      </c>
      <c r="L25" s="31">
        <v>17.3</v>
      </c>
      <c r="M25" s="32">
        <f>IFERROR(capacityTbl[[#This Row],[No. of Transaction]]/(capacityTbl[[#This Row],[Productivity Baseline (Transation/FTE/Day)]]*capacityTbl[[#This Row],[Weighted Working day]]),0)</f>
        <v>0</v>
      </c>
      <c r="N25" s="33">
        <f>IFERROR(capacityTbl[[#This Row],[No. of Transaction]]/capacityTbl[[#This Row],[Production Days]],0)</f>
        <v>16.456790123456791</v>
      </c>
    </row>
    <row r="26" spans="1:14" hidden="1" outlineLevel="1" x14ac:dyDescent="0.25">
      <c r="A26" s="24">
        <v>2024</v>
      </c>
      <c r="B26" s="25" t="s">
        <v>14</v>
      </c>
      <c r="C26" s="34" t="s">
        <v>31</v>
      </c>
      <c r="D26" s="27">
        <v>2682</v>
      </c>
      <c r="E26" s="28">
        <v>95</v>
      </c>
      <c r="F26" s="29" cm="1">
        <f t="array" ref="F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" s="30" cm="1">
        <f t="array" ref="G2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" s="30">
        <v>22</v>
      </c>
      <c r="I26" s="30">
        <v>22</v>
      </c>
      <c r="J2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" s="31">
        <f>IFERROR(capacityTbl[[#This Row],[Production Days]]/capacityTbl[[#This Row],[Weighted Working day]],0)</f>
        <v>0</v>
      </c>
      <c r="L26" s="31">
        <v>46.3</v>
      </c>
      <c r="M26" s="32">
        <f>IFERROR(capacityTbl[[#This Row],[No. of Transaction]]/(capacityTbl[[#This Row],[Productivity Baseline (Transation/FTE/Day)]]*capacityTbl[[#This Row],[Weighted Working day]]),0)</f>
        <v>0</v>
      </c>
      <c r="N26" s="33">
        <f>IFERROR(capacityTbl[[#This Row],[No. of Transaction]]/capacityTbl[[#This Row],[Production Days]],0)</f>
        <v>28.231578947368423</v>
      </c>
    </row>
    <row r="27" spans="1:14" hidden="1" outlineLevel="1" x14ac:dyDescent="0.25">
      <c r="A27" s="24">
        <v>2024</v>
      </c>
      <c r="B27" s="25" t="s">
        <v>17</v>
      </c>
      <c r="C27" s="26" t="s">
        <v>31</v>
      </c>
      <c r="D27" s="27">
        <v>2764</v>
      </c>
      <c r="E27" s="28">
        <v>74</v>
      </c>
      <c r="F27" s="29" cm="1">
        <f t="array" ref="F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" s="30" cm="1">
        <f t="array" ref="G2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" s="30">
        <v>18</v>
      </c>
      <c r="I27" s="30">
        <v>20</v>
      </c>
      <c r="J2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" s="31">
        <f>IFERROR(capacityTbl[[#This Row],[Production Days]]/capacityTbl[[#This Row],[Weighted Working day]],0)</f>
        <v>0</v>
      </c>
      <c r="L27" s="31">
        <v>46.3</v>
      </c>
      <c r="M27" s="32">
        <f>IFERROR(capacityTbl[[#This Row],[No. of Transaction]]/(capacityTbl[[#This Row],[Productivity Baseline (Transation/FTE/Day)]]*capacityTbl[[#This Row],[Weighted Working day]]),0)</f>
        <v>0</v>
      </c>
      <c r="N27" s="33">
        <f>IFERROR(capacityTbl[[#This Row],[No. of Transaction]]/capacityTbl[[#This Row],[Production Days]],0)</f>
        <v>37.351351351351354</v>
      </c>
    </row>
    <row r="28" spans="1:14" hidden="1" outlineLevel="1" x14ac:dyDescent="0.25">
      <c r="A28" s="24">
        <v>2024</v>
      </c>
      <c r="B28" s="25" t="s">
        <v>18</v>
      </c>
      <c r="C28" s="26" t="s">
        <v>31</v>
      </c>
      <c r="D28" s="27">
        <v>2601</v>
      </c>
      <c r="E28" s="28">
        <v>74</v>
      </c>
      <c r="F28" s="29" cm="1">
        <f t="array" ref="F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" s="30" cm="1">
        <f t="array" ref="G2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" s="30">
        <v>21</v>
      </c>
      <c r="I28" s="30">
        <v>19</v>
      </c>
      <c r="J2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" s="31">
        <f>IFERROR(capacityTbl[[#This Row],[Production Days]]/capacityTbl[[#This Row],[Weighted Working day]],0)</f>
        <v>0</v>
      </c>
      <c r="L28" s="31">
        <v>46.3</v>
      </c>
      <c r="M28" s="32">
        <f>IFERROR(capacityTbl[[#This Row],[No. of Transaction]]/(capacityTbl[[#This Row],[Productivity Baseline (Transation/FTE/Day)]]*capacityTbl[[#This Row],[Weighted Working day]]),0)</f>
        <v>0</v>
      </c>
      <c r="N28" s="33">
        <f>IFERROR(capacityTbl[[#This Row],[No. of Transaction]]/capacityTbl[[#This Row],[Production Days]],0)</f>
        <v>35.148648648648646</v>
      </c>
    </row>
    <row r="29" spans="1:14" hidden="1" outlineLevel="1" x14ac:dyDescent="0.25">
      <c r="A29" s="24">
        <v>2024</v>
      </c>
      <c r="B29" s="25" t="s">
        <v>19</v>
      </c>
      <c r="C29" s="26" t="s">
        <v>31</v>
      </c>
      <c r="D29" s="27">
        <v>2611</v>
      </c>
      <c r="E29" s="28">
        <v>66</v>
      </c>
      <c r="F29" s="29" cm="1">
        <f t="array" ref="F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9" s="30" cm="1">
        <f t="array" ref="G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" s="30">
        <v>22</v>
      </c>
      <c r="I29" s="30">
        <v>21</v>
      </c>
      <c r="J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9" s="31">
        <f>IFERROR(capacityTbl[[#This Row],[Production Days]]/capacityTbl[[#This Row],[Weighted Working day]],0)</f>
        <v>0</v>
      </c>
      <c r="L29" s="31">
        <v>46.3</v>
      </c>
      <c r="M29" s="32">
        <f>IFERROR(capacityTbl[[#This Row],[No. of Transaction]]/(capacityTbl[[#This Row],[Productivity Baseline (Transation/FTE/Day)]]*capacityTbl[[#This Row],[Weighted Working day]]),0)</f>
        <v>0</v>
      </c>
      <c r="N29" s="33">
        <f>IFERROR(capacityTbl[[#This Row],[No. of Transaction]]/capacityTbl[[#This Row],[Production Days]],0)</f>
        <v>39.560606060606062</v>
      </c>
    </row>
    <row r="30" spans="1:14" hidden="1" outlineLevel="1" x14ac:dyDescent="0.25">
      <c r="A30" s="24">
        <v>2024</v>
      </c>
      <c r="B30" s="25" t="s">
        <v>20</v>
      </c>
      <c r="C30" s="26" t="s">
        <v>31</v>
      </c>
      <c r="D30" s="27">
        <v>2923</v>
      </c>
      <c r="E30" s="28">
        <v>92</v>
      </c>
      <c r="F30" s="29" cm="1">
        <f t="array" ref="F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" s="30" cm="1">
        <f t="array" ref="G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" s="30">
        <v>21</v>
      </c>
      <c r="I30" s="30">
        <v>22</v>
      </c>
      <c r="J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" s="31">
        <f>IFERROR(capacityTbl[[#This Row],[Production Days]]/capacityTbl[[#This Row],[Weighted Working day]],0)</f>
        <v>0</v>
      </c>
      <c r="L30" s="31">
        <v>46.3</v>
      </c>
      <c r="M30" s="32">
        <f>IFERROR(capacityTbl[[#This Row],[No. of Transaction]]/(capacityTbl[[#This Row],[Productivity Baseline (Transation/FTE/Day)]]*capacityTbl[[#This Row],[Weighted Working day]]),0)</f>
        <v>0</v>
      </c>
      <c r="N30" s="33">
        <f>IFERROR(capacityTbl[[#This Row],[No. of Transaction]]/capacityTbl[[#This Row],[Production Days]],0)</f>
        <v>31.771739130434781</v>
      </c>
    </row>
    <row r="31" spans="1:14" hidden="1" outlineLevel="1" x14ac:dyDescent="0.25">
      <c r="A31" s="24">
        <v>2024</v>
      </c>
      <c r="B31" s="25" t="s">
        <v>21</v>
      </c>
      <c r="C31" s="26" t="s">
        <v>31</v>
      </c>
      <c r="D31" s="27">
        <v>1909</v>
      </c>
      <c r="E31" s="28">
        <v>53</v>
      </c>
      <c r="F31" s="29" cm="1">
        <f t="array" ref="F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" s="30" cm="1">
        <f t="array" ref="G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" s="30">
        <v>19</v>
      </c>
      <c r="I31" s="30">
        <v>18</v>
      </c>
      <c r="J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" s="31">
        <f>IFERROR(capacityTbl[[#This Row],[Production Days]]/capacityTbl[[#This Row],[Weighted Working day]],0)</f>
        <v>0</v>
      </c>
      <c r="L31" s="31">
        <v>46.3</v>
      </c>
      <c r="M31" s="32">
        <f>IFERROR(capacityTbl[[#This Row],[No. of Transaction]]/(capacityTbl[[#This Row],[Productivity Baseline (Transation/FTE/Day)]]*capacityTbl[[#This Row],[Weighted Working day]]),0)</f>
        <v>0</v>
      </c>
      <c r="N31" s="33">
        <f>IFERROR(capacityTbl[[#This Row],[No. of Transaction]]/capacityTbl[[#This Row],[Production Days]],0)</f>
        <v>36.018867924528301</v>
      </c>
    </row>
    <row r="32" spans="1:14" hidden="1" outlineLevel="1" x14ac:dyDescent="0.25">
      <c r="A32" s="24">
        <v>2024</v>
      </c>
      <c r="B32" s="25" t="s">
        <v>22</v>
      </c>
      <c r="C32" s="26" t="s">
        <v>31</v>
      </c>
      <c r="D32" s="27">
        <v>2164</v>
      </c>
      <c r="E32" s="28">
        <v>63</v>
      </c>
      <c r="F32" s="29" cm="1">
        <f t="array" ref="F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" s="30" cm="1">
        <f t="array" ref="G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" s="30">
        <v>23</v>
      </c>
      <c r="I32" s="30">
        <v>23</v>
      </c>
      <c r="J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" s="31">
        <f>IFERROR(capacityTbl[[#This Row],[Production Days]]/capacityTbl[[#This Row],[Weighted Working day]],0)</f>
        <v>0</v>
      </c>
      <c r="L32" s="31">
        <v>46.3</v>
      </c>
      <c r="M32" s="32">
        <f>IFERROR(capacityTbl[[#This Row],[No. of Transaction]]/(capacityTbl[[#This Row],[Productivity Baseline (Transation/FTE/Day)]]*capacityTbl[[#This Row],[Weighted Working day]]),0)</f>
        <v>0</v>
      </c>
      <c r="N32" s="33">
        <f>IFERROR(capacityTbl[[#This Row],[No. of Transaction]]/capacityTbl[[#This Row],[Production Days]],0)</f>
        <v>34.349206349206348</v>
      </c>
    </row>
    <row r="33" spans="1:14" hidden="1" outlineLevel="1" x14ac:dyDescent="0.25">
      <c r="A33" s="24">
        <v>2024</v>
      </c>
      <c r="B33" s="25" t="s">
        <v>23</v>
      </c>
      <c r="C33" s="26" t="s">
        <v>31</v>
      </c>
      <c r="D33" s="27">
        <v>2622</v>
      </c>
      <c r="E33" s="28">
        <v>50</v>
      </c>
      <c r="F33" s="29" cm="1">
        <f t="array" ref="F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" s="30" cm="1">
        <f t="array" ref="G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" s="30">
        <v>22</v>
      </c>
      <c r="I33" s="30">
        <v>20</v>
      </c>
      <c r="J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" s="31">
        <f>IFERROR(capacityTbl[[#This Row],[Production Days]]/capacityTbl[[#This Row],[Weighted Working day]],0)</f>
        <v>0</v>
      </c>
      <c r="L33" s="31">
        <v>46.3</v>
      </c>
      <c r="M33" s="32">
        <f>IFERROR(capacityTbl[[#This Row],[No. of Transaction]]/(capacityTbl[[#This Row],[Productivity Baseline (Transation/FTE/Day)]]*capacityTbl[[#This Row],[Weighted Working day]]),0)</f>
        <v>0</v>
      </c>
      <c r="N33" s="33">
        <f>IFERROR(capacityTbl[[#This Row],[No. of Transaction]]/capacityTbl[[#This Row],[Production Days]],0)</f>
        <v>52.44</v>
      </c>
    </row>
    <row r="34" spans="1:14" hidden="1" outlineLevel="1" x14ac:dyDescent="0.25">
      <c r="A34" s="24">
        <v>2024</v>
      </c>
      <c r="B34" s="25" t="s">
        <v>24</v>
      </c>
      <c r="C34" s="26" t="s">
        <v>31</v>
      </c>
      <c r="D34" s="27">
        <v>2465</v>
      </c>
      <c r="E34" s="28">
        <v>48</v>
      </c>
      <c r="F34" s="29" cm="1">
        <f t="array" ref="F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4" s="30" cm="1">
        <f t="array" ref="G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" s="30">
        <v>21</v>
      </c>
      <c r="I34" s="30">
        <v>21</v>
      </c>
      <c r="J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4" s="31">
        <f>IFERROR(capacityTbl[[#This Row],[Production Days]]/capacityTbl[[#This Row],[Weighted Working day]],0)</f>
        <v>0</v>
      </c>
      <c r="L34" s="31">
        <v>46.3</v>
      </c>
      <c r="M34" s="32">
        <f>IFERROR(capacityTbl[[#This Row],[No. of Transaction]]/(capacityTbl[[#This Row],[Productivity Baseline (Transation/FTE/Day)]]*capacityTbl[[#This Row],[Weighted Working day]]),0)</f>
        <v>0</v>
      </c>
      <c r="N34" s="33">
        <f>IFERROR(capacityTbl[[#This Row],[No. of Transaction]]/capacityTbl[[#This Row],[Production Days]],0)</f>
        <v>51.354166666666664</v>
      </c>
    </row>
    <row r="35" spans="1:14" hidden="1" outlineLevel="1" x14ac:dyDescent="0.25">
      <c r="A35" s="24">
        <v>2024</v>
      </c>
      <c r="B35" s="25" t="s">
        <v>25</v>
      </c>
      <c r="C35" s="26" t="s">
        <v>31</v>
      </c>
      <c r="D35" s="27">
        <v>2187</v>
      </c>
      <c r="E35" s="28">
        <v>49</v>
      </c>
      <c r="F35" s="29" cm="1">
        <f t="array" ref="F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" s="30" cm="1">
        <f t="array" ref="G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" s="30">
        <v>19</v>
      </c>
      <c r="I35" s="30">
        <v>23</v>
      </c>
      <c r="J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" s="31">
        <f>IFERROR(capacityTbl[[#This Row],[Production Days]]/capacityTbl[[#This Row],[Weighted Working day]],0)</f>
        <v>0</v>
      </c>
      <c r="L35" s="31">
        <v>46.3</v>
      </c>
      <c r="M35" s="32">
        <f>IFERROR(capacityTbl[[#This Row],[No. of Transaction]]/(capacityTbl[[#This Row],[Productivity Baseline (Transation/FTE/Day)]]*capacityTbl[[#This Row],[Weighted Working day]]),0)</f>
        <v>0</v>
      </c>
      <c r="N35" s="33">
        <f>IFERROR(capacityTbl[[#This Row],[No. of Transaction]]/capacityTbl[[#This Row],[Production Days]],0)</f>
        <v>44.632653061224488</v>
      </c>
    </row>
    <row r="36" spans="1:14" hidden="1" outlineLevel="1" x14ac:dyDescent="0.25">
      <c r="A36" s="24">
        <v>2024</v>
      </c>
      <c r="B36" s="25" t="s">
        <v>26</v>
      </c>
      <c r="C36" s="26" t="s">
        <v>31</v>
      </c>
      <c r="D36" s="27">
        <v>2314</v>
      </c>
      <c r="E36" s="28">
        <v>46</v>
      </c>
      <c r="F36" s="29" cm="1">
        <f t="array" ref="F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" s="30" cm="1">
        <f t="array" ref="G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" s="30">
        <v>21</v>
      </c>
      <c r="I36" s="30">
        <v>20</v>
      </c>
      <c r="J3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" s="31">
        <f>IFERROR(capacityTbl[[#This Row],[Production Days]]/capacityTbl[[#This Row],[Weighted Working day]],0)</f>
        <v>0</v>
      </c>
      <c r="L36" s="31">
        <v>46.3</v>
      </c>
      <c r="M36" s="32">
        <f>IFERROR(capacityTbl[[#This Row],[No. of Transaction]]/(capacityTbl[[#This Row],[Productivity Baseline (Transation/FTE/Day)]]*capacityTbl[[#This Row],[Weighted Working day]]),0)</f>
        <v>0</v>
      </c>
      <c r="N36" s="33">
        <f>IFERROR(capacityTbl[[#This Row],[No. of Transaction]]/capacityTbl[[#This Row],[Production Days]],0)</f>
        <v>50.304347826086953</v>
      </c>
    </row>
    <row r="37" spans="1:14" hidden="1" outlineLevel="1" x14ac:dyDescent="0.25">
      <c r="A37" s="24">
        <v>2024</v>
      </c>
      <c r="B37" s="25" t="s">
        <v>27</v>
      </c>
      <c r="C37" s="26" t="s">
        <v>31</v>
      </c>
      <c r="D37" s="27">
        <v>2404</v>
      </c>
      <c r="E37" s="28">
        <v>38</v>
      </c>
      <c r="F37" s="29" cm="1">
        <f t="array" ref="F3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" s="30" cm="1">
        <f t="array" ref="G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" s="30">
        <v>22</v>
      </c>
      <c r="I37" s="30">
        <v>18</v>
      </c>
      <c r="J3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" s="31">
        <f>IFERROR(capacityTbl[[#This Row],[Production Days]]/capacityTbl[[#This Row],[Weighted Working day]],0)</f>
        <v>0</v>
      </c>
      <c r="L37" s="31">
        <v>46.3</v>
      </c>
      <c r="M37" s="32">
        <f>IFERROR(capacityTbl[[#This Row],[No. of Transaction]]/(capacityTbl[[#This Row],[Productivity Baseline (Transation/FTE/Day)]]*capacityTbl[[#This Row],[Weighted Working day]]),0)</f>
        <v>0</v>
      </c>
      <c r="N37" s="33">
        <f>IFERROR(capacityTbl[[#This Row],[No. of Transaction]]/capacityTbl[[#This Row],[Production Days]],0)</f>
        <v>63.263157894736842</v>
      </c>
    </row>
    <row r="38" spans="1:14" hidden="1" outlineLevel="1" x14ac:dyDescent="0.25">
      <c r="A38" s="24">
        <v>2024</v>
      </c>
      <c r="B38" s="25" t="s">
        <v>14</v>
      </c>
      <c r="C38" s="34" t="s">
        <v>34</v>
      </c>
      <c r="D38" s="27">
        <v>2911</v>
      </c>
      <c r="E38" s="28">
        <v>93</v>
      </c>
      <c r="F38" s="29">
        <v>6</v>
      </c>
      <c r="G38" s="30">
        <v>8</v>
      </c>
      <c r="H38" s="30">
        <v>22</v>
      </c>
      <c r="I38" s="30">
        <v>22</v>
      </c>
      <c r="J38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38" s="31">
        <f>IFERROR(capacityTbl[[#This Row],[Production Days]]/capacityTbl[[#This Row],[Weighted Working day]],0)</f>
        <v>4.2272727272727275</v>
      </c>
      <c r="L38" s="31">
        <v>45.7</v>
      </c>
      <c r="M38" s="32">
        <f>IFERROR(capacityTbl[[#This Row],[No. of Transaction]]/(capacityTbl[[#This Row],[Productivity Baseline (Transation/FTE/Day)]]*capacityTbl[[#This Row],[Weighted Working day]]),0)</f>
        <v>2.8953650288442407</v>
      </c>
      <c r="N38" s="33">
        <f>IFERROR(capacityTbl[[#This Row],[No. of Transaction]]/capacityTbl[[#This Row],[Production Days]],0)</f>
        <v>31.301075268817204</v>
      </c>
    </row>
    <row r="39" spans="1:14" hidden="1" outlineLevel="1" x14ac:dyDescent="0.25">
      <c r="A39" s="24">
        <v>2024</v>
      </c>
      <c r="B39" s="25" t="s">
        <v>17</v>
      </c>
      <c r="C39" s="26" t="s">
        <v>34</v>
      </c>
      <c r="D39" s="27">
        <v>4589</v>
      </c>
      <c r="E39" s="28">
        <v>91</v>
      </c>
      <c r="F39" s="29">
        <v>6</v>
      </c>
      <c r="G39" s="30">
        <v>9</v>
      </c>
      <c r="H39" s="30">
        <v>18</v>
      </c>
      <c r="I39" s="30">
        <v>20</v>
      </c>
      <c r="J39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19.2</v>
      </c>
      <c r="K39" s="31">
        <f>IFERROR(capacityTbl[[#This Row],[Production Days]]/capacityTbl[[#This Row],[Weighted Working day]],0)</f>
        <v>4.7395833333333339</v>
      </c>
      <c r="L39" s="31">
        <v>45.7</v>
      </c>
      <c r="M39" s="32">
        <f>IFERROR(capacityTbl[[#This Row],[No. of Transaction]]/(capacityTbl[[#This Row],[Productivity Baseline (Transation/FTE/Day)]]*capacityTbl[[#This Row],[Weighted Working day]]),0)</f>
        <v>5.2299872355944563</v>
      </c>
      <c r="N39" s="33">
        <f>IFERROR(capacityTbl[[#This Row],[No. of Transaction]]/capacityTbl[[#This Row],[Production Days]],0)</f>
        <v>50.428571428571431</v>
      </c>
    </row>
    <row r="40" spans="1:14" hidden="1" outlineLevel="1" x14ac:dyDescent="0.25">
      <c r="A40" s="24">
        <v>2024</v>
      </c>
      <c r="B40" s="25" t="s">
        <v>18</v>
      </c>
      <c r="C40" s="26" t="s">
        <v>34</v>
      </c>
      <c r="D40" s="27">
        <v>3140</v>
      </c>
      <c r="E40" s="28">
        <v>90.5</v>
      </c>
      <c r="F40" s="29">
        <v>6</v>
      </c>
      <c r="G40" s="30">
        <v>10</v>
      </c>
      <c r="H40" s="30">
        <v>21</v>
      </c>
      <c r="I40" s="30">
        <v>19</v>
      </c>
      <c r="J4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19.75</v>
      </c>
      <c r="K40" s="31">
        <f>IFERROR(capacityTbl[[#This Row],[Production Days]]/capacityTbl[[#This Row],[Weighted Working day]],0)</f>
        <v>4.5822784810126587</v>
      </c>
      <c r="L40" s="31">
        <v>45.7</v>
      </c>
      <c r="M40" s="32">
        <f>IFERROR(capacityTbl[[#This Row],[No. of Transaction]]/(capacityTbl[[#This Row],[Productivity Baseline (Transation/FTE/Day)]]*capacityTbl[[#This Row],[Weighted Working day]]),0)</f>
        <v>3.4789352685372403</v>
      </c>
      <c r="N40" s="33">
        <f>IFERROR(capacityTbl[[#This Row],[No. of Transaction]]/capacityTbl[[#This Row],[Production Days]],0)</f>
        <v>34.696132596685082</v>
      </c>
    </row>
    <row r="41" spans="1:14" hidden="1" outlineLevel="1" x14ac:dyDescent="0.25">
      <c r="A41" s="24">
        <v>2024</v>
      </c>
      <c r="B41" s="25" t="s">
        <v>19</v>
      </c>
      <c r="C41" s="26" t="s">
        <v>34</v>
      </c>
      <c r="D41" s="27">
        <v>2460</v>
      </c>
      <c r="E41" s="28">
        <v>95</v>
      </c>
      <c r="F41" s="29">
        <v>6</v>
      </c>
      <c r="G41" s="30">
        <v>10</v>
      </c>
      <c r="H41" s="30">
        <v>22</v>
      </c>
      <c r="I41" s="30">
        <v>21</v>
      </c>
      <c r="J4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21.375</v>
      </c>
      <c r="K41" s="31">
        <f>IFERROR(capacityTbl[[#This Row],[Production Days]]/capacityTbl[[#This Row],[Weighted Working day]],0)</f>
        <v>4.4444444444444446</v>
      </c>
      <c r="L41" s="31">
        <v>45.7</v>
      </c>
      <c r="M41" s="32">
        <f>IFERROR(capacityTbl[[#This Row],[No. of Transaction]]/(capacityTbl[[#This Row],[Productivity Baseline (Transation/FTE/Day)]]*capacityTbl[[#This Row],[Weighted Working day]]),0)</f>
        <v>2.5183308380360088</v>
      </c>
      <c r="N41" s="33">
        <f>IFERROR(capacityTbl[[#This Row],[No. of Transaction]]/capacityTbl[[#This Row],[Production Days]],0)</f>
        <v>25.894736842105264</v>
      </c>
    </row>
    <row r="42" spans="1:14" hidden="1" outlineLevel="1" x14ac:dyDescent="0.25">
      <c r="A42" s="24">
        <v>2024</v>
      </c>
      <c r="B42" s="25" t="s">
        <v>20</v>
      </c>
      <c r="C42" s="26" t="s">
        <v>34</v>
      </c>
      <c r="D42" s="27">
        <v>5178</v>
      </c>
      <c r="E42" s="28">
        <v>103</v>
      </c>
      <c r="F42" s="29">
        <v>6</v>
      </c>
      <c r="G42" s="30">
        <v>10</v>
      </c>
      <c r="H42" s="30">
        <v>21</v>
      </c>
      <c r="I42" s="30">
        <v>22</v>
      </c>
      <c r="J42" s="31">
        <f>IFERROR((capacityTbl[[#This Row],[FTE-WUHAN]]*capacityTbl[[#This Row],[CH-Standard Working Days]]+capacityTbl[[#This Row],[FTE-MNL]]*capacityTbl[[#This Row],[PH-Standard Working Days]])/SUM(capacityTbl[[#This Row],[FTE-WUHAN]:[FTE-MNL]]),0)</f>
        <v>21.625</v>
      </c>
      <c r="K42" s="31">
        <f>IFERROR(capacityTbl[[#This Row],[Production Days]]/capacityTbl[[#This Row],[Weighted Working day]],0)</f>
        <v>4.7630057803468207</v>
      </c>
      <c r="L42" s="31">
        <v>45.7</v>
      </c>
      <c r="M42" s="32">
        <f>IFERROR(capacityTbl[[#This Row],[No. of Transaction]]/(capacityTbl[[#This Row],[Productivity Baseline (Transation/FTE/Day)]]*capacityTbl[[#This Row],[Weighted Working day]]),0)</f>
        <v>5.2394986149934857</v>
      </c>
      <c r="N42" s="33">
        <f>IFERROR(capacityTbl[[#This Row],[No. of Transaction]]/capacityTbl[[#This Row],[Production Days]],0)</f>
        <v>50.271844660194176</v>
      </c>
    </row>
    <row r="43" spans="1:14" hidden="1" outlineLevel="1" x14ac:dyDescent="0.25">
      <c r="A43" s="24">
        <v>2024</v>
      </c>
      <c r="B43" s="25" t="s">
        <v>21</v>
      </c>
      <c r="C43" s="26" t="s">
        <v>34</v>
      </c>
      <c r="D43" s="27">
        <v>5667</v>
      </c>
      <c r="E43" s="28">
        <v>81.5</v>
      </c>
      <c r="F43" s="29">
        <v>6</v>
      </c>
      <c r="G43" s="30">
        <v>10</v>
      </c>
      <c r="H43" s="30">
        <v>19</v>
      </c>
      <c r="I43" s="30">
        <v>18</v>
      </c>
      <c r="J43" s="31">
        <f>IFERROR((capacityTbl[[#This Row],[FTE-WUHAN]]*capacityTbl[[#This Row],[CH-Standard Working Days]]+capacityTbl[[#This Row],[FTE-MNL]]*capacityTbl[[#This Row],[PH-Standard Working Days]])/SUM(capacityTbl[[#This Row],[FTE-WUHAN]:[FTE-MNL]]),0)</f>
        <v>18.375</v>
      </c>
      <c r="K43" s="31">
        <f>IFERROR(capacityTbl[[#This Row],[Production Days]]/capacityTbl[[#This Row],[Weighted Working day]],0)</f>
        <v>4.4353741496598635</v>
      </c>
      <c r="L43" s="31">
        <v>45.7</v>
      </c>
      <c r="M43" s="32">
        <f>IFERROR(capacityTbl[[#This Row],[No. of Transaction]]/(capacityTbl[[#This Row],[Productivity Baseline (Transation/FTE/Day)]]*capacityTbl[[#This Row],[Weighted Working day]]),0)</f>
        <v>6.7485374893940069</v>
      </c>
      <c r="N43" s="33">
        <f>IFERROR(capacityTbl[[#This Row],[No. of Transaction]]/capacityTbl[[#This Row],[Production Days]],0)</f>
        <v>69.533742331288337</v>
      </c>
    </row>
    <row r="44" spans="1:14" hidden="1" outlineLevel="1" x14ac:dyDescent="0.25">
      <c r="A44" s="24">
        <v>2024</v>
      </c>
      <c r="B44" s="25" t="s">
        <v>22</v>
      </c>
      <c r="C44" s="26" t="s">
        <v>34</v>
      </c>
      <c r="D44" s="27">
        <v>5017</v>
      </c>
      <c r="E44" s="28">
        <v>112.5</v>
      </c>
      <c r="F44" s="29">
        <v>6</v>
      </c>
      <c r="G44" s="30">
        <v>10</v>
      </c>
      <c r="H44" s="30">
        <v>23</v>
      </c>
      <c r="I44" s="30">
        <v>23</v>
      </c>
      <c r="J44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44" s="31">
        <f>IFERROR(capacityTbl[[#This Row],[Production Days]]/capacityTbl[[#This Row],[Weighted Working day]],0)</f>
        <v>4.8913043478260869</v>
      </c>
      <c r="L44" s="31">
        <v>45.7</v>
      </c>
      <c r="M44" s="32">
        <f>IFERROR(capacityTbl[[#This Row],[No. of Transaction]]/(capacityTbl[[#This Row],[Productivity Baseline (Transation/FTE/Day)]]*capacityTbl[[#This Row],[Weighted Working day]]),0)</f>
        <v>4.7730948530111306</v>
      </c>
      <c r="N44" s="33">
        <f>IFERROR(capacityTbl[[#This Row],[No. of Transaction]]/capacityTbl[[#This Row],[Production Days]],0)</f>
        <v>44.595555555555556</v>
      </c>
    </row>
    <row r="45" spans="1:14" hidden="1" outlineLevel="1" x14ac:dyDescent="0.25">
      <c r="A45" s="24">
        <v>2024</v>
      </c>
      <c r="B45" s="25" t="s">
        <v>23</v>
      </c>
      <c r="C45" s="26" t="s">
        <v>34</v>
      </c>
      <c r="D45" s="27">
        <v>4848</v>
      </c>
      <c r="E45" s="28">
        <v>79</v>
      </c>
      <c r="F45" s="29">
        <v>7</v>
      </c>
      <c r="G45" s="30">
        <v>9</v>
      </c>
      <c r="H45" s="30">
        <v>22</v>
      </c>
      <c r="I45" s="30">
        <v>20</v>
      </c>
      <c r="J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20.875</v>
      </c>
      <c r="K45" s="31">
        <f>IFERROR(capacityTbl[[#This Row],[Production Days]]/capacityTbl[[#This Row],[Weighted Working day]],0)</f>
        <v>3.784431137724551</v>
      </c>
      <c r="L45" s="31">
        <v>45.7</v>
      </c>
      <c r="M45" s="32">
        <f>IFERROR(capacityTbl[[#This Row],[No. of Transaction]]/(capacityTbl[[#This Row],[Productivity Baseline (Transation/FTE/Day)]]*capacityTbl[[#This Row],[Weighted Working day]]),0)</f>
        <v>5.0818275920806091</v>
      </c>
      <c r="N45" s="33">
        <f>IFERROR(capacityTbl[[#This Row],[No. of Transaction]]/capacityTbl[[#This Row],[Production Days]],0)</f>
        <v>61.367088607594937</v>
      </c>
    </row>
    <row r="46" spans="1:14" hidden="1" outlineLevel="1" x14ac:dyDescent="0.25">
      <c r="A46" s="24">
        <v>2024</v>
      </c>
      <c r="B46" s="25" t="s">
        <v>33</v>
      </c>
      <c r="C46" s="26" t="s">
        <v>34</v>
      </c>
      <c r="D46" s="27">
        <v>4229</v>
      </c>
      <c r="E46" s="28">
        <v>97</v>
      </c>
      <c r="F46" s="29">
        <v>7</v>
      </c>
      <c r="G46" s="30">
        <v>9</v>
      </c>
      <c r="H46" s="30">
        <v>21</v>
      </c>
      <c r="I46" s="30">
        <v>21</v>
      </c>
      <c r="J46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46" s="31">
        <f>IFERROR(capacityTbl[[#This Row],[Production Days]]/capacityTbl[[#This Row],[Weighted Working day]],0)</f>
        <v>4.6190476190476186</v>
      </c>
      <c r="L46" s="31">
        <v>45.7</v>
      </c>
      <c r="M46" s="32">
        <f>IFERROR(capacityTbl[[#This Row],[No. of Transaction]]/(capacityTbl[[#This Row],[Productivity Baseline (Transation/FTE/Day)]]*capacityTbl[[#This Row],[Weighted Working day]]),0)</f>
        <v>4.4065853912681048</v>
      </c>
      <c r="N46" s="33">
        <f>IFERROR(capacityTbl[[#This Row],[No. of Transaction]]/capacityTbl[[#This Row],[Production Days]],0)</f>
        <v>43.597938144329895</v>
      </c>
    </row>
    <row r="47" spans="1:14" hidden="1" outlineLevel="1" x14ac:dyDescent="0.25">
      <c r="A47" s="24">
        <v>2024</v>
      </c>
      <c r="B47" s="25" t="s">
        <v>25</v>
      </c>
      <c r="C47" s="26" t="s">
        <v>34</v>
      </c>
      <c r="D47" s="27">
        <v>4238</v>
      </c>
      <c r="E47" s="28">
        <v>94</v>
      </c>
      <c r="F47" s="29">
        <v>8</v>
      </c>
      <c r="G47" s="30">
        <v>9</v>
      </c>
      <c r="H47" s="30">
        <v>19</v>
      </c>
      <c r="I47" s="30">
        <v>23</v>
      </c>
      <c r="J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21.117647058823529</v>
      </c>
      <c r="K47" s="31">
        <f>IFERROR(capacityTbl[[#This Row],[Production Days]]/capacityTbl[[#This Row],[Weighted Working day]],0)</f>
        <v>4.4512534818941507</v>
      </c>
      <c r="L47" s="31">
        <v>45.7</v>
      </c>
      <c r="M47" s="32">
        <f>IFERROR(capacityTbl[[#This Row],[No. of Transaction]]/(capacityTbl[[#This Row],[Productivity Baseline (Transation/FTE/Day)]]*capacityTbl[[#This Row],[Weighted Working day]]),0)</f>
        <v>4.3913618548972035</v>
      </c>
      <c r="N47" s="33">
        <f>IFERROR(capacityTbl[[#This Row],[No. of Transaction]]/capacityTbl[[#This Row],[Production Days]],0)</f>
        <v>45.085106382978722</v>
      </c>
    </row>
    <row r="48" spans="1:14" hidden="1" outlineLevel="1" x14ac:dyDescent="0.25">
      <c r="A48" s="24">
        <v>2024</v>
      </c>
      <c r="B48" s="25" t="s">
        <v>26</v>
      </c>
      <c r="C48" s="26" t="s">
        <v>34</v>
      </c>
      <c r="D48" s="27">
        <v>3475</v>
      </c>
      <c r="E48" s="28">
        <v>89</v>
      </c>
      <c r="F48" s="29">
        <v>8</v>
      </c>
      <c r="G48" s="30">
        <v>9</v>
      </c>
      <c r="H48" s="30">
        <v>21</v>
      </c>
      <c r="I48" s="30">
        <v>20</v>
      </c>
      <c r="J4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20.470588235294116</v>
      </c>
      <c r="K48" s="31">
        <f>IFERROR(capacityTbl[[#This Row],[Production Days]]/capacityTbl[[#This Row],[Weighted Working day]],0)</f>
        <v>4.347701149425288</v>
      </c>
      <c r="L48" s="31">
        <v>45.7</v>
      </c>
      <c r="M48" s="32">
        <f>IFERROR(capacityTbl[[#This Row],[No. of Transaction]]/(capacityTbl[[#This Row],[Productivity Baseline (Transation/FTE/Day)]]*capacityTbl[[#This Row],[Weighted Working day]]),0)</f>
        <v>3.7145677708191855</v>
      </c>
      <c r="N48" s="33">
        <f>IFERROR(capacityTbl[[#This Row],[No. of Transaction]]/capacityTbl[[#This Row],[Production Days]],0)</f>
        <v>39.044943820224717</v>
      </c>
    </row>
    <row r="49" spans="1:14" hidden="1" outlineLevel="1" x14ac:dyDescent="0.25">
      <c r="A49" s="24">
        <v>2024</v>
      </c>
      <c r="B49" s="25" t="s">
        <v>27</v>
      </c>
      <c r="C49" s="26" t="s">
        <v>34</v>
      </c>
      <c r="D49" s="27">
        <v>5460</v>
      </c>
      <c r="E49" s="28">
        <v>94.5</v>
      </c>
      <c r="F49" s="29">
        <v>8</v>
      </c>
      <c r="G49" s="30">
        <v>9</v>
      </c>
      <c r="H49" s="30">
        <v>22</v>
      </c>
      <c r="I49" s="30">
        <v>18</v>
      </c>
      <c r="J49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19.882352941176471</v>
      </c>
      <c r="K49" s="31">
        <f>IFERROR(capacityTbl[[#This Row],[Production Days]]/capacityTbl[[#This Row],[Weighted Working day]],0)</f>
        <v>4.7529585798816569</v>
      </c>
      <c r="L49" s="31">
        <v>45.7</v>
      </c>
      <c r="M49" s="32">
        <f>IFERROR(capacityTbl[[#This Row],[No. of Transaction]]/(capacityTbl[[#This Row],[Productivity Baseline (Transation/FTE/Day)]]*capacityTbl[[#This Row],[Weighted Working day]]),0)</f>
        <v>6.0090893788924413</v>
      </c>
      <c r="N49" s="33">
        <f>IFERROR(capacityTbl[[#This Row],[No. of Transaction]]/capacityTbl[[#This Row],[Production Days]],0)</f>
        <v>57.777777777777779</v>
      </c>
    </row>
    <row r="50" spans="1:14" hidden="1" outlineLevel="1" x14ac:dyDescent="0.25">
      <c r="A50" s="24">
        <v>2024</v>
      </c>
      <c r="B50" s="25" t="s">
        <v>14</v>
      </c>
      <c r="C50" s="34" t="s">
        <v>28</v>
      </c>
      <c r="D50" s="27">
        <v>2271</v>
      </c>
      <c r="E50" s="28">
        <v>290.5</v>
      </c>
      <c r="F50" s="29" cm="1">
        <f t="array" ref="F5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0" s="30" cm="1">
        <f t="array" ref="G5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0" s="30">
        <v>22</v>
      </c>
      <c r="I50" s="30">
        <v>22</v>
      </c>
      <c r="J5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0" s="31">
        <f>IFERROR(capacityTbl[[#This Row],[Production Days]]/capacityTbl[[#This Row],[Weighted Working day]],0)</f>
        <v>0</v>
      </c>
      <c r="L50" s="31">
        <v>7.8</v>
      </c>
      <c r="M50" s="32">
        <f>IFERROR(capacityTbl[[#This Row],[No. of Transaction]]/(capacityTbl[[#This Row],[Productivity Baseline (Transation/FTE/Day)]]*capacityTbl[[#This Row],[Weighted Working day]]),0)</f>
        <v>0</v>
      </c>
      <c r="N50" s="33">
        <f>IFERROR(capacityTbl[[#This Row],[No. of Transaction]]/capacityTbl[[#This Row],[Production Days]],0)</f>
        <v>7.8175559380378656</v>
      </c>
    </row>
    <row r="51" spans="1:14" hidden="1" outlineLevel="1" x14ac:dyDescent="0.25">
      <c r="A51" s="24">
        <v>2024</v>
      </c>
      <c r="B51" s="25" t="s">
        <v>17</v>
      </c>
      <c r="C51" s="26" t="s">
        <v>28</v>
      </c>
      <c r="D51" s="27">
        <v>2081</v>
      </c>
      <c r="E51" s="28">
        <v>273.5</v>
      </c>
      <c r="F51" s="29" cm="1">
        <f t="array" ref="F5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1" s="30" cm="1">
        <f t="array" ref="G5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1" s="30">
        <v>18</v>
      </c>
      <c r="I51" s="30">
        <v>20</v>
      </c>
      <c r="J5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1" s="31">
        <f>IFERROR(capacityTbl[[#This Row],[Production Days]]/capacityTbl[[#This Row],[Weighted Working day]],0)</f>
        <v>0</v>
      </c>
      <c r="L51" s="31">
        <v>7.8</v>
      </c>
      <c r="M51" s="32">
        <f>IFERROR(capacityTbl[[#This Row],[No. of Transaction]]/(capacityTbl[[#This Row],[Productivity Baseline (Transation/FTE/Day)]]*capacityTbl[[#This Row],[Weighted Working day]]),0)</f>
        <v>0</v>
      </c>
      <c r="N51" s="33">
        <f>IFERROR(capacityTbl[[#This Row],[No. of Transaction]]/capacityTbl[[#This Row],[Production Days]],0)</f>
        <v>7.6087751371115173</v>
      </c>
    </row>
    <row r="52" spans="1:14" hidden="1" outlineLevel="1" x14ac:dyDescent="0.25">
      <c r="A52" s="24">
        <v>2024</v>
      </c>
      <c r="B52" s="25" t="s">
        <v>18</v>
      </c>
      <c r="C52" s="26" t="s">
        <v>28</v>
      </c>
      <c r="D52" s="27">
        <v>2476</v>
      </c>
      <c r="E52" s="28">
        <v>291.5</v>
      </c>
      <c r="F52" s="29" cm="1">
        <f t="array" ref="F5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2" s="30" cm="1">
        <f t="array" ref="G5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2" s="30">
        <v>21</v>
      </c>
      <c r="I52" s="30">
        <v>19</v>
      </c>
      <c r="J5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2" s="31">
        <f>IFERROR(capacityTbl[[#This Row],[Production Days]]/capacityTbl[[#This Row],[Weighted Working day]],0)</f>
        <v>0</v>
      </c>
      <c r="L52" s="31">
        <v>7.8</v>
      </c>
      <c r="M52" s="32">
        <f>IFERROR(capacityTbl[[#This Row],[No. of Transaction]]/(capacityTbl[[#This Row],[Productivity Baseline (Transation/FTE/Day)]]*capacityTbl[[#This Row],[Weighted Working day]]),0)</f>
        <v>0</v>
      </c>
      <c r="N52" s="33">
        <f>IFERROR(capacityTbl[[#This Row],[No. of Transaction]]/capacityTbl[[#This Row],[Production Days]],0)</f>
        <v>8.4939965694682673</v>
      </c>
    </row>
    <row r="53" spans="1:14" hidden="1" outlineLevel="1" x14ac:dyDescent="0.25">
      <c r="A53" s="24">
        <v>2024</v>
      </c>
      <c r="B53" s="25" t="s">
        <v>19</v>
      </c>
      <c r="C53" s="26" t="s">
        <v>28</v>
      </c>
      <c r="D53" s="27">
        <v>2573</v>
      </c>
      <c r="E53" s="28">
        <v>314.5</v>
      </c>
      <c r="F53" s="29" cm="1">
        <f t="array" ref="F5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3" s="30" cm="1">
        <f t="array" ref="G5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3" s="30">
        <v>22</v>
      </c>
      <c r="I53" s="30">
        <v>21</v>
      </c>
      <c r="J5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3" s="31">
        <f>IFERROR(capacityTbl[[#This Row],[Production Days]]/capacityTbl[[#This Row],[Weighted Working day]],0)</f>
        <v>0</v>
      </c>
      <c r="L53" s="31">
        <v>7.8</v>
      </c>
      <c r="M53" s="32">
        <f>IFERROR(capacityTbl[[#This Row],[No. of Transaction]]/(capacityTbl[[#This Row],[Productivity Baseline (Transation/FTE/Day)]]*capacityTbl[[#This Row],[Weighted Working day]]),0)</f>
        <v>0</v>
      </c>
      <c r="N53" s="33">
        <f>IFERROR(capacityTbl[[#This Row],[No. of Transaction]]/capacityTbl[[#This Row],[Production Days]],0)</f>
        <v>8.1812400635930054</v>
      </c>
    </row>
    <row r="54" spans="1:14" hidden="1" outlineLevel="1" x14ac:dyDescent="0.25">
      <c r="A54" s="24">
        <v>2024</v>
      </c>
      <c r="B54" s="25" t="s">
        <v>20</v>
      </c>
      <c r="C54" s="26" t="s">
        <v>28</v>
      </c>
      <c r="D54" s="27">
        <v>2890</v>
      </c>
      <c r="E54" s="28">
        <v>334.5</v>
      </c>
      <c r="F54" s="29" cm="1">
        <f t="array" ref="F5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4" s="30" cm="1">
        <f t="array" ref="G5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4" s="30">
        <v>21</v>
      </c>
      <c r="I54" s="30">
        <v>22</v>
      </c>
      <c r="J5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4" s="31">
        <f>IFERROR(capacityTbl[[#This Row],[Production Days]]/capacityTbl[[#This Row],[Weighted Working day]],0)</f>
        <v>0</v>
      </c>
      <c r="L54" s="31">
        <v>7.8</v>
      </c>
      <c r="M54" s="32">
        <f>IFERROR(capacityTbl[[#This Row],[No. of Transaction]]/(capacityTbl[[#This Row],[Productivity Baseline (Transation/FTE/Day)]]*capacityTbl[[#This Row],[Weighted Working day]]),0)</f>
        <v>0</v>
      </c>
      <c r="N54" s="33">
        <f>IFERROR(capacityTbl[[#This Row],[No. of Transaction]]/capacityTbl[[#This Row],[Production Days]],0)</f>
        <v>8.6397608370702539</v>
      </c>
    </row>
    <row r="55" spans="1:14" hidden="1" outlineLevel="1" x14ac:dyDescent="0.25">
      <c r="A55" s="24">
        <v>2024</v>
      </c>
      <c r="B55" s="25" t="s">
        <v>21</v>
      </c>
      <c r="C55" s="26" t="s">
        <v>28</v>
      </c>
      <c r="D55" s="27">
        <v>2595</v>
      </c>
      <c r="E55" s="28">
        <v>288.5</v>
      </c>
      <c r="F55" s="29" cm="1">
        <f t="array" ref="F5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5" s="30" cm="1">
        <f t="array" ref="G5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5" s="30">
        <v>19</v>
      </c>
      <c r="I55" s="30">
        <v>18</v>
      </c>
      <c r="J55" s="31">
        <v>18</v>
      </c>
      <c r="K55" s="31">
        <f>IFERROR(capacityTbl[[#This Row],[Production Days]]/capacityTbl[[#This Row],[Weighted Working day]],0)</f>
        <v>16.027777777777779</v>
      </c>
      <c r="L55" s="31">
        <v>7.8</v>
      </c>
      <c r="M55" s="32">
        <f>IFERROR(capacityTbl[[#This Row],[No. of Transaction]]/(capacityTbl[[#This Row],[Productivity Baseline (Transation/FTE/Day)]]*capacityTbl[[#This Row],[Weighted Working day]]),0)</f>
        <v>18.482905982905983</v>
      </c>
      <c r="N55" s="33">
        <f>IFERROR(capacityTbl[[#This Row],[No. of Transaction]]/capacityTbl[[#This Row],[Production Days]],0)</f>
        <v>8.9948006932409008</v>
      </c>
    </row>
    <row r="56" spans="1:14" hidden="1" outlineLevel="1" x14ac:dyDescent="0.25">
      <c r="A56" s="24">
        <v>2024</v>
      </c>
      <c r="B56" s="25" t="s">
        <v>22</v>
      </c>
      <c r="C56" s="26" t="s">
        <v>28</v>
      </c>
      <c r="D56" s="27">
        <v>2785</v>
      </c>
      <c r="E56" s="28">
        <v>348</v>
      </c>
      <c r="F56" s="29" cm="1">
        <f t="array" ref="F5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6" s="30" cm="1">
        <f t="array" ref="G5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6" s="30">
        <v>23</v>
      </c>
      <c r="I56" s="30">
        <v>23</v>
      </c>
      <c r="J5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6" s="31">
        <f>IFERROR(capacityTbl[[#This Row],[Production Days]]/capacityTbl[[#This Row],[Weighted Working day]],0)</f>
        <v>0</v>
      </c>
      <c r="L56" s="31">
        <v>7.8</v>
      </c>
      <c r="M56" s="32">
        <f>IFERROR(capacityTbl[[#This Row],[No. of Transaction]]/(capacityTbl[[#This Row],[Productivity Baseline (Transation/FTE/Day)]]*capacityTbl[[#This Row],[Weighted Working day]]),0)</f>
        <v>0</v>
      </c>
      <c r="N56" s="33">
        <f>IFERROR(capacityTbl[[#This Row],[No. of Transaction]]/capacityTbl[[#This Row],[Production Days]],0)</f>
        <v>8.0028735632183903</v>
      </c>
    </row>
    <row r="57" spans="1:14" hidden="1" outlineLevel="1" x14ac:dyDescent="0.25">
      <c r="A57" s="24">
        <v>2024</v>
      </c>
      <c r="B57" s="25" t="s">
        <v>23</v>
      </c>
      <c r="C57" s="26" t="s">
        <v>28</v>
      </c>
      <c r="D57" s="27">
        <v>2319</v>
      </c>
      <c r="E57" s="28">
        <v>317</v>
      </c>
      <c r="F57" s="29" cm="1">
        <f t="array" ref="F5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7" s="30" cm="1">
        <f t="array" ref="G5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7" s="30">
        <v>22</v>
      </c>
      <c r="I57" s="30">
        <v>20</v>
      </c>
      <c r="J5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7" s="31">
        <f>IFERROR(capacityTbl[[#This Row],[Production Days]]/capacityTbl[[#This Row],[Weighted Working day]],0)</f>
        <v>0</v>
      </c>
      <c r="L57" s="31">
        <v>7.8</v>
      </c>
      <c r="M57" s="32">
        <f>IFERROR(capacityTbl[[#This Row],[No. of Transaction]]/(capacityTbl[[#This Row],[Productivity Baseline (Transation/FTE/Day)]]*capacityTbl[[#This Row],[Weighted Working day]]),0)</f>
        <v>0</v>
      </c>
      <c r="N57" s="33">
        <f>IFERROR(capacityTbl[[#This Row],[No. of Transaction]]/capacityTbl[[#This Row],[Production Days]],0)</f>
        <v>7.3154574132492112</v>
      </c>
    </row>
    <row r="58" spans="1:14" hidden="1" outlineLevel="1" x14ac:dyDescent="0.25">
      <c r="A58" s="24">
        <v>2024</v>
      </c>
      <c r="B58" s="25" t="s">
        <v>24</v>
      </c>
      <c r="C58" s="26" t="s">
        <v>28</v>
      </c>
      <c r="D58" s="27">
        <v>2382</v>
      </c>
      <c r="E58" s="28">
        <v>289</v>
      </c>
      <c r="F58" s="29" cm="1">
        <f t="array" ref="F5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8" s="30" cm="1">
        <f t="array" ref="G5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8" s="30">
        <v>21</v>
      </c>
      <c r="I58" s="30">
        <v>21</v>
      </c>
      <c r="J5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8" s="31">
        <f>IFERROR(capacityTbl[[#This Row],[Production Days]]/capacityTbl[[#This Row],[Weighted Working day]],0)</f>
        <v>0</v>
      </c>
      <c r="L58" s="31">
        <v>7.8</v>
      </c>
      <c r="M58" s="32">
        <f>IFERROR(capacityTbl[[#This Row],[No. of Transaction]]/(capacityTbl[[#This Row],[Productivity Baseline (Transation/FTE/Day)]]*capacityTbl[[#This Row],[Weighted Working day]]),0)</f>
        <v>0</v>
      </c>
      <c r="N58" s="33">
        <f>IFERROR(capacityTbl[[#This Row],[No. of Transaction]]/capacityTbl[[#This Row],[Production Days]],0)</f>
        <v>8.2422145328719729</v>
      </c>
    </row>
    <row r="59" spans="1:14" hidden="1" outlineLevel="1" x14ac:dyDescent="0.25">
      <c r="A59" s="24">
        <v>2024</v>
      </c>
      <c r="B59" s="25" t="s">
        <v>25</v>
      </c>
      <c r="C59" s="26" t="s">
        <v>28</v>
      </c>
      <c r="D59" s="27">
        <v>2416</v>
      </c>
      <c r="E59" s="28">
        <v>332</v>
      </c>
      <c r="F59" s="29" cm="1">
        <f t="array" ref="F5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59" s="30" cm="1">
        <f t="array" ref="G5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59" s="30">
        <v>19</v>
      </c>
      <c r="I59" s="30">
        <v>23</v>
      </c>
      <c r="J5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59" s="31">
        <f>IFERROR(capacityTbl[[#This Row],[Production Days]]/capacityTbl[[#This Row],[Weighted Working day]],0)</f>
        <v>0</v>
      </c>
      <c r="L59" s="31">
        <v>7.8</v>
      </c>
      <c r="M59" s="32">
        <f>IFERROR(capacityTbl[[#This Row],[No. of Transaction]]/(capacityTbl[[#This Row],[Productivity Baseline (Transation/FTE/Day)]]*capacityTbl[[#This Row],[Weighted Working day]]),0)</f>
        <v>0</v>
      </c>
      <c r="N59" s="33">
        <f>IFERROR(capacityTbl[[#This Row],[No. of Transaction]]/capacityTbl[[#This Row],[Production Days]],0)</f>
        <v>7.2771084337349397</v>
      </c>
    </row>
    <row r="60" spans="1:14" hidden="1" outlineLevel="1" x14ac:dyDescent="0.25">
      <c r="A60" s="24">
        <v>2024</v>
      </c>
      <c r="B60" s="25" t="s">
        <v>26</v>
      </c>
      <c r="C60" s="26" t="s">
        <v>28</v>
      </c>
      <c r="D60" s="27">
        <v>2210</v>
      </c>
      <c r="E60" s="28">
        <v>330</v>
      </c>
      <c r="F60" s="29" cm="1">
        <f t="array" ref="F6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0" s="30" cm="1">
        <f t="array" ref="G6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0" s="30">
        <v>21</v>
      </c>
      <c r="I60" s="30">
        <v>20</v>
      </c>
      <c r="J6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0" s="31">
        <f>IFERROR(capacityTbl[[#This Row],[Production Days]]/capacityTbl[[#This Row],[Weighted Working day]],0)</f>
        <v>0</v>
      </c>
      <c r="L60" s="31">
        <v>7.8</v>
      </c>
      <c r="M60" s="32">
        <f>IFERROR(capacityTbl[[#This Row],[No. of Transaction]]/(capacityTbl[[#This Row],[Productivity Baseline (Transation/FTE/Day)]]*capacityTbl[[#This Row],[Weighted Working day]]),0)</f>
        <v>0</v>
      </c>
      <c r="N60" s="33">
        <f>IFERROR(capacityTbl[[#This Row],[No. of Transaction]]/capacityTbl[[#This Row],[Production Days]],0)</f>
        <v>6.6969696969696972</v>
      </c>
    </row>
    <row r="61" spans="1:14" hidden="1" outlineLevel="1" x14ac:dyDescent="0.25">
      <c r="A61" s="24">
        <v>2024</v>
      </c>
      <c r="B61" s="25" t="s">
        <v>27</v>
      </c>
      <c r="C61" s="26" t="s">
        <v>28</v>
      </c>
      <c r="D61" s="27">
        <v>1878</v>
      </c>
      <c r="E61" s="28">
        <v>289</v>
      </c>
      <c r="F61" s="29" cm="1">
        <f t="array" ref="F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1" s="30" cm="1">
        <f t="array" ref="G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1" s="30">
        <v>22</v>
      </c>
      <c r="I61" s="30">
        <v>18</v>
      </c>
      <c r="J6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1" s="31">
        <f>IFERROR(capacityTbl[[#This Row],[Production Days]]/capacityTbl[[#This Row],[Weighted Working day]],0)</f>
        <v>0</v>
      </c>
      <c r="L61" s="31">
        <v>7.8</v>
      </c>
      <c r="M61" s="32">
        <f>IFERROR(capacityTbl[[#This Row],[No. of Transaction]]/(capacityTbl[[#This Row],[Productivity Baseline (Transation/FTE/Day)]]*capacityTbl[[#This Row],[Weighted Working day]]),0)</f>
        <v>0</v>
      </c>
      <c r="N61" s="33">
        <f>IFERROR(capacityTbl[[#This Row],[No. of Transaction]]/capacityTbl[[#This Row],[Production Days]],0)</f>
        <v>6.4982698961937713</v>
      </c>
    </row>
    <row r="62" spans="1:14" hidden="1" outlineLevel="1" x14ac:dyDescent="0.25">
      <c r="A62" s="24">
        <v>2024</v>
      </c>
      <c r="B62" s="25" t="s">
        <v>17</v>
      </c>
      <c r="C62" s="26" t="s">
        <v>15</v>
      </c>
      <c r="D62" s="27">
        <v>11047</v>
      </c>
      <c r="E62" s="28">
        <v>167.92920000000001</v>
      </c>
      <c r="F62" s="29" cm="1">
        <f t="array" ref="F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2" s="30" cm="1">
        <f t="array" ref="G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2" s="30">
        <v>18</v>
      </c>
      <c r="I62" s="30">
        <v>20</v>
      </c>
      <c r="J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2" s="31">
        <f>IFERROR(capacityTbl[[#This Row],[Production Days]]/capacityTbl[[#This Row],[Weighted Working day]],0)</f>
        <v>0</v>
      </c>
      <c r="L62" s="31">
        <v>60.1</v>
      </c>
      <c r="M62" s="32">
        <f>IFERROR(capacityTbl[[#This Row],[No. of Transaction]]/(capacityTbl[[#This Row],[Productivity Baseline (Transation/FTE/Day)]]*capacityTbl[[#This Row],[Weighted Working day]]),0)</f>
        <v>0</v>
      </c>
      <c r="N62" s="33">
        <f>IFERROR(capacityTbl[[#This Row],[No. of Transaction]]/capacityTbl[[#This Row],[Production Days]],0)</f>
        <v>65.783675501342231</v>
      </c>
    </row>
    <row r="63" spans="1:14" hidden="1" outlineLevel="1" x14ac:dyDescent="0.25">
      <c r="A63" s="24">
        <v>2024</v>
      </c>
      <c r="B63" s="25" t="s">
        <v>18</v>
      </c>
      <c r="C63" s="26" t="s">
        <v>15</v>
      </c>
      <c r="D63" s="27">
        <v>11717</v>
      </c>
      <c r="E63" s="28">
        <v>170.4999</v>
      </c>
      <c r="F63" s="29" cm="1">
        <f t="array" ref="F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3" s="30" cm="1">
        <f t="array" ref="G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3" s="30">
        <v>21</v>
      </c>
      <c r="I63" s="30">
        <v>19</v>
      </c>
      <c r="J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3" s="31">
        <f>IFERROR(capacityTbl[[#This Row],[Production Days]]/capacityTbl[[#This Row],[Weighted Working day]],0)</f>
        <v>0</v>
      </c>
      <c r="L63" s="31">
        <v>60.1</v>
      </c>
      <c r="M63" s="32">
        <f>IFERROR(capacityTbl[[#This Row],[No. of Transaction]]/(capacityTbl[[#This Row],[Productivity Baseline (Transation/FTE/Day)]]*capacityTbl[[#This Row],[Weighted Working day]]),0)</f>
        <v>0</v>
      </c>
      <c r="N63" s="33">
        <f>IFERROR(capacityTbl[[#This Row],[No. of Transaction]]/capacityTbl[[#This Row],[Production Days]],0)</f>
        <v>68.721447930468003</v>
      </c>
    </row>
    <row r="64" spans="1:14" hidden="1" outlineLevel="1" x14ac:dyDescent="0.25">
      <c r="A64" s="24">
        <v>2024</v>
      </c>
      <c r="B64" s="25" t="s">
        <v>19</v>
      </c>
      <c r="C64" s="26" t="s">
        <v>15</v>
      </c>
      <c r="D64" s="27">
        <v>12536</v>
      </c>
      <c r="E64" s="28">
        <v>235.4999</v>
      </c>
      <c r="F64" s="29" cm="1">
        <f t="array" ref="F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4" s="30" cm="1">
        <f t="array" ref="G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4" s="30">
        <v>22</v>
      </c>
      <c r="I64" s="30">
        <v>21</v>
      </c>
      <c r="J6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4" s="31">
        <f>IFERROR(capacityTbl[[#This Row],[Production Days]]/capacityTbl[[#This Row],[Weighted Working day]],0)</f>
        <v>0</v>
      </c>
      <c r="L64" s="31">
        <v>60.1</v>
      </c>
      <c r="M64" s="32">
        <f>IFERROR(capacityTbl[[#This Row],[No. of Transaction]]/(capacityTbl[[#This Row],[Productivity Baseline (Transation/FTE/Day)]]*capacityTbl[[#This Row],[Weighted Working day]]),0)</f>
        <v>0</v>
      </c>
      <c r="N64" s="33">
        <f>IFERROR(capacityTbl[[#This Row],[No. of Transaction]]/capacityTbl[[#This Row],[Production Days]],0)</f>
        <v>53.231445108893887</v>
      </c>
    </row>
    <row r="65" spans="1:14" hidden="1" outlineLevel="1" x14ac:dyDescent="0.25">
      <c r="A65" s="24">
        <v>2024</v>
      </c>
      <c r="B65" s="25" t="s">
        <v>20</v>
      </c>
      <c r="C65" s="26" t="s">
        <v>15</v>
      </c>
      <c r="D65" s="27">
        <v>14159</v>
      </c>
      <c r="E65" s="28">
        <v>225.1139</v>
      </c>
      <c r="F65" s="29" cm="1">
        <f t="array" ref="F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5" s="30" cm="1">
        <f t="array" ref="G6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5" s="30">
        <v>21</v>
      </c>
      <c r="I65" s="30">
        <v>22</v>
      </c>
      <c r="J6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5" s="31">
        <f>IFERROR(capacityTbl[[#This Row],[Production Days]]/capacityTbl[[#This Row],[Weighted Working day]],0)</f>
        <v>0</v>
      </c>
      <c r="L65" s="31">
        <v>60.1</v>
      </c>
      <c r="M65" s="32">
        <f>IFERROR(capacityTbl[[#This Row],[No. of Transaction]]/(capacityTbl[[#This Row],[Productivity Baseline (Transation/FTE/Day)]]*capacityTbl[[#This Row],[Weighted Working day]]),0)</f>
        <v>0</v>
      </c>
      <c r="N65" s="33">
        <f>IFERROR(capacityTbl[[#This Row],[No. of Transaction]]/capacityTbl[[#This Row],[Production Days]],0)</f>
        <v>62.89704900497037</v>
      </c>
    </row>
    <row r="66" spans="1:14" hidden="1" outlineLevel="1" x14ac:dyDescent="0.25">
      <c r="A66" s="24">
        <v>2024</v>
      </c>
      <c r="B66" s="25" t="s">
        <v>21</v>
      </c>
      <c r="C66" s="26" t="s">
        <v>15</v>
      </c>
      <c r="D66" s="27">
        <v>14049</v>
      </c>
      <c r="E66" s="28">
        <v>228.5001</v>
      </c>
      <c r="F66" s="29" cm="1">
        <f t="array" ref="F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6" s="30" cm="1">
        <f t="array" ref="G6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6" s="30">
        <v>19</v>
      </c>
      <c r="I66" s="30">
        <v>18</v>
      </c>
      <c r="J6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6" s="31">
        <f>IFERROR(capacityTbl[[#This Row],[Production Days]]/capacityTbl[[#This Row],[Weighted Working day]],0)</f>
        <v>0</v>
      </c>
      <c r="L66" s="31">
        <v>60.1</v>
      </c>
      <c r="M66" s="32">
        <f>IFERROR(capacityTbl[[#This Row],[No. of Transaction]]/(capacityTbl[[#This Row],[Productivity Baseline (Transation/FTE/Day)]]*capacityTbl[[#This Row],[Weighted Working day]]),0)</f>
        <v>0</v>
      </c>
      <c r="N66" s="33">
        <f>IFERROR(capacityTbl[[#This Row],[No. of Transaction]]/capacityTbl[[#This Row],[Production Days]],0)</f>
        <v>61.483561713977366</v>
      </c>
    </row>
    <row r="67" spans="1:14" hidden="1" outlineLevel="1" x14ac:dyDescent="0.25">
      <c r="A67" s="24">
        <v>2024</v>
      </c>
      <c r="B67" s="25" t="s">
        <v>22</v>
      </c>
      <c r="C67" s="26" t="s">
        <v>15</v>
      </c>
      <c r="D67" s="27">
        <v>16312</v>
      </c>
      <c r="E67" s="28">
        <v>265.5</v>
      </c>
      <c r="F67" s="29" cm="1">
        <f t="array" ref="F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7" s="30" cm="1">
        <f t="array" ref="G6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7" s="30">
        <v>23</v>
      </c>
      <c r="I67" s="30">
        <v>23</v>
      </c>
      <c r="J6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7" s="31">
        <f>IFERROR(capacityTbl[[#This Row],[Production Days]]/capacityTbl[[#This Row],[Weighted Working day]],0)</f>
        <v>0</v>
      </c>
      <c r="L67" s="31">
        <v>60.1</v>
      </c>
      <c r="M67" s="32">
        <f>IFERROR(capacityTbl[[#This Row],[No. of Transaction]]/(capacityTbl[[#This Row],[Productivity Baseline (Transation/FTE/Day)]]*capacityTbl[[#This Row],[Weighted Working day]]),0)</f>
        <v>0</v>
      </c>
      <c r="N67" s="33">
        <f>IFERROR(capacityTbl[[#This Row],[No. of Transaction]]/capacityTbl[[#This Row],[Production Days]],0)</f>
        <v>61.438794726930318</v>
      </c>
    </row>
    <row r="68" spans="1:14" hidden="1" outlineLevel="1" x14ac:dyDescent="0.25">
      <c r="A68" s="24">
        <v>2024</v>
      </c>
      <c r="B68" s="25" t="s">
        <v>23</v>
      </c>
      <c r="C68" s="26" t="s">
        <v>15</v>
      </c>
      <c r="D68" s="27">
        <v>15848</v>
      </c>
      <c r="E68" s="28">
        <v>263.5</v>
      </c>
      <c r="F68" s="29" cm="1">
        <f t="array" ref="F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8" s="30" cm="1">
        <f t="array" ref="G6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8" s="30">
        <v>22</v>
      </c>
      <c r="I68" s="30">
        <v>20</v>
      </c>
      <c r="J6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8" s="31">
        <f>IFERROR(capacityTbl[[#This Row],[Production Days]]/capacityTbl[[#This Row],[Weighted Working day]],0)</f>
        <v>0</v>
      </c>
      <c r="L68" s="31">
        <v>60.1</v>
      </c>
      <c r="M68" s="32">
        <f>IFERROR(capacityTbl[[#This Row],[No. of Transaction]]/(capacityTbl[[#This Row],[Productivity Baseline (Transation/FTE/Day)]]*capacityTbl[[#This Row],[Weighted Working day]]),0)</f>
        <v>0</v>
      </c>
      <c r="N68" s="33">
        <f>IFERROR(capacityTbl[[#This Row],[No. of Transaction]]/capacityTbl[[#This Row],[Production Days]],0)</f>
        <v>60.144212523719162</v>
      </c>
    </row>
    <row r="69" spans="1:14" hidden="1" outlineLevel="1" x14ac:dyDescent="0.25">
      <c r="A69" s="24">
        <v>2024</v>
      </c>
      <c r="B69" s="25" t="s">
        <v>24</v>
      </c>
      <c r="C69" s="26" t="s">
        <v>15</v>
      </c>
      <c r="D69" s="27">
        <v>16388</v>
      </c>
      <c r="E69" s="28">
        <v>269</v>
      </c>
      <c r="F69" s="29" cm="1">
        <f t="array" ref="F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69" s="30" cm="1">
        <f t="array" ref="G6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69" s="30">
        <v>21</v>
      </c>
      <c r="I69" s="30">
        <v>21</v>
      </c>
      <c r="J6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69" s="31">
        <f>IFERROR(capacityTbl[[#This Row],[Production Days]]/capacityTbl[[#This Row],[Weighted Working day]],0)</f>
        <v>0</v>
      </c>
      <c r="L69" s="31">
        <v>60.1</v>
      </c>
      <c r="M69" s="32">
        <f>IFERROR(capacityTbl[[#This Row],[No. of Transaction]]/(capacityTbl[[#This Row],[Productivity Baseline (Transation/FTE/Day)]]*capacityTbl[[#This Row],[Weighted Working day]]),0)</f>
        <v>0</v>
      </c>
      <c r="N69" s="33">
        <f>IFERROR(capacityTbl[[#This Row],[No. of Transaction]]/capacityTbl[[#This Row],[Production Days]],0)</f>
        <v>60.921933085501855</v>
      </c>
    </row>
    <row r="70" spans="1:14" hidden="1" outlineLevel="1" x14ac:dyDescent="0.25">
      <c r="A70" s="24">
        <v>2024</v>
      </c>
      <c r="B70" s="25" t="s">
        <v>25</v>
      </c>
      <c r="C70" s="26" t="s">
        <v>15</v>
      </c>
      <c r="D70" s="27">
        <v>18120</v>
      </c>
      <c r="E70" s="28">
        <v>311</v>
      </c>
      <c r="F70" s="29" cm="1">
        <f t="array" ref="F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0" s="30" cm="1">
        <f t="array" ref="G7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0" s="30">
        <v>19</v>
      </c>
      <c r="I70" s="30">
        <v>23</v>
      </c>
      <c r="J7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0" s="31">
        <f>IFERROR(capacityTbl[[#This Row],[Production Days]]/capacityTbl[[#This Row],[Weighted Working day]],0)</f>
        <v>0</v>
      </c>
      <c r="L70" s="31">
        <v>60.1</v>
      </c>
      <c r="M70" s="32">
        <f>IFERROR(capacityTbl[[#This Row],[No. of Transaction]]/(capacityTbl[[#This Row],[Productivity Baseline (Transation/FTE/Day)]]*capacityTbl[[#This Row],[Weighted Working day]]),0)</f>
        <v>0</v>
      </c>
      <c r="N70" s="33">
        <f>IFERROR(capacityTbl[[#This Row],[No. of Transaction]]/capacityTbl[[#This Row],[Production Days]],0)</f>
        <v>58.263665594855304</v>
      </c>
    </row>
    <row r="71" spans="1:14" hidden="1" outlineLevel="1" x14ac:dyDescent="0.25">
      <c r="A71" s="24">
        <v>2024</v>
      </c>
      <c r="B71" s="25" t="s">
        <v>26</v>
      </c>
      <c r="C71" s="26" t="s">
        <v>15</v>
      </c>
      <c r="D71" s="27">
        <v>14288</v>
      </c>
      <c r="E71" s="28">
        <v>249.5</v>
      </c>
      <c r="F71" s="29" cm="1">
        <f t="array" ref="F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1" s="30" cm="1">
        <f t="array" ref="G7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1" s="30">
        <v>21</v>
      </c>
      <c r="I71" s="30">
        <v>20</v>
      </c>
      <c r="J7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1" s="31">
        <f>IFERROR(capacityTbl[[#This Row],[Production Days]]/capacityTbl[[#This Row],[Weighted Working day]],0)</f>
        <v>0</v>
      </c>
      <c r="L71" s="31">
        <v>60.1</v>
      </c>
      <c r="M71" s="32">
        <f>IFERROR(capacityTbl[[#This Row],[No. of Transaction]]/(capacityTbl[[#This Row],[Productivity Baseline (Transation/FTE/Day)]]*capacityTbl[[#This Row],[Weighted Working day]]),0)</f>
        <v>0</v>
      </c>
      <c r="N71" s="33">
        <f>IFERROR(capacityTbl[[#This Row],[No. of Transaction]]/capacityTbl[[#This Row],[Production Days]],0)</f>
        <v>57.266533066132261</v>
      </c>
    </row>
    <row r="72" spans="1:14" hidden="1" outlineLevel="1" x14ac:dyDescent="0.25">
      <c r="A72" s="24">
        <v>2024</v>
      </c>
      <c r="B72" s="25" t="s">
        <v>27</v>
      </c>
      <c r="C72" s="26" t="s">
        <v>15</v>
      </c>
      <c r="D72" s="27">
        <v>13384</v>
      </c>
      <c r="E72" s="28">
        <v>278</v>
      </c>
      <c r="F72" s="29" cm="1">
        <f t="array" ref="F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2" s="30" cm="1">
        <f t="array" ref="G7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2" s="30">
        <v>22</v>
      </c>
      <c r="I72" s="30">
        <v>18</v>
      </c>
      <c r="J7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2" s="31">
        <f>IFERROR(capacityTbl[[#This Row],[Production Days]]/capacityTbl[[#This Row],[Weighted Working day]],0)</f>
        <v>0</v>
      </c>
      <c r="L72" s="31">
        <v>60.1</v>
      </c>
      <c r="M72" s="32">
        <f>IFERROR(capacityTbl[[#This Row],[No. of Transaction]]/(capacityTbl[[#This Row],[Productivity Baseline (Transation/FTE/Day)]]*capacityTbl[[#This Row],[Weighted Working day]]),0)</f>
        <v>0</v>
      </c>
      <c r="N72" s="33">
        <f>IFERROR(capacityTbl[[#This Row],[No. of Transaction]]/capacityTbl[[#This Row],[Production Days]],0)</f>
        <v>48.143884892086334</v>
      </c>
    </row>
    <row r="73" spans="1:14" hidden="1" outlineLevel="1" x14ac:dyDescent="0.25">
      <c r="A73" s="24">
        <v>2024</v>
      </c>
      <c r="B73" s="25" t="s">
        <v>14</v>
      </c>
      <c r="C73" s="26" t="s">
        <v>36</v>
      </c>
      <c r="D73" s="27">
        <v>77</v>
      </c>
      <c r="E73" s="28">
        <v>20</v>
      </c>
      <c r="F73" s="29" cm="1">
        <f t="array" ref="F7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3" s="30" cm="1">
        <f t="array" ref="G7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3" s="30">
        <v>22</v>
      </c>
      <c r="I73" s="30">
        <v>22</v>
      </c>
      <c r="J7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3" s="31">
        <f>IFERROR(capacityTbl[[#This Row],[Production Days]]/capacityTbl[[#This Row],[Weighted Working day]],0)</f>
        <v>0</v>
      </c>
      <c r="L73" s="31">
        <v>6.2</v>
      </c>
      <c r="M73" s="32">
        <f>IFERROR(capacityTbl[[#This Row],[No. of Transaction]]/(capacityTbl[[#This Row],[Productivity Baseline (Transation/FTE/Day)]]*capacityTbl[[#This Row],[Weighted Working day]]),0)</f>
        <v>0</v>
      </c>
      <c r="N73" s="33">
        <f>IFERROR(capacityTbl[[#This Row],[No. of Transaction]]/capacityTbl[[#This Row],[Production Days]],0)</f>
        <v>3.85</v>
      </c>
    </row>
    <row r="74" spans="1:14" hidden="1" outlineLevel="1" x14ac:dyDescent="0.25">
      <c r="A74" s="24">
        <v>2024</v>
      </c>
      <c r="B74" s="25" t="s">
        <v>17</v>
      </c>
      <c r="C74" s="26" t="s">
        <v>36</v>
      </c>
      <c r="D74" s="27">
        <v>70</v>
      </c>
      <c r="E74" s="28">
        <v>16.5</v>
      </c>
      <c r="F74" s="29" cm="1">
        <f t="array" ref="F7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4" s="30" cm="1">
        <f t="array" ref="G7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4" s="30">
        <v>18</v>
      </c>
      <c r="I74" s="30">
        <v>20</v>
      </c>
      <c r="J7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4" s="31">
        <f>IFERROR(capacityTbl[[#This Row],[Production Days]]/capacityTbl[[#This Row],[Weighted Working day]],0)</f>
        <v>0</v>
      </c>
      <c r="L74" s="31">
        <v>6.2</v>
      </c>
      <c r="M74" s="32">
        <f>IFERROR(capacityTbl[[#This Row],[No. of Transaction]]/(capacityTbl[[#This Row],[Productivity Baseline (Transation/FTE/Day)]]*capacityTbl[[#This Row],[Weighted Working day]]),0)</f>
        <v>0</v>
      </c>
      <c r="N74" s="33">
        <f>IFERROR(capacityTbl[[#This Row],[No. of Transaction]]/capacityTbl[[#This Row],[Production Days]],0)</f>
        <v>4.2424242424242422</v>
      </c>
    </row>
    <row r="75" spans="1:14" hidden="1" outlineLevel="1" x14ac:dyDescent="0.25">
      <c r="A75" s="24">
        <v>2024</v>
      </c>
      <c r="B75" s="25" t="s">
        <v>18</v>
      </c>
      <c r="C75" s="26" t="s">
        <v>36</v>
      </c>
      <c r="D75" s="27">
        <v>55</v>
      </c>
      <c r="E75" s="28">
        <v>20.5</v>
      </c>
      <c r="F75" s="29" cm="1">
        <f t="array" ref="F7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5" s="30" cm="1">
        <f t="array" ref="G7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5" s="30">
        <v>21</v>
      </c>
      <c r="I75" s="30">
        <v>19</v>
      </c>
      <c r="J7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5" s="31">
        <f>IFERROR(capacityTbl[[#This Row],[Production Days]]/capacityTbl[[#This Row],[Weighted Working day]],0)</f>
        <v>0</v>
      </c>
      <c r="L75" s="31">
        <v>6.2</v>
      </c>
      <c r="M75" s="32">
        <f>IFERROR(capacityTbl[[#This Row],[No. of Transaction]]/(capacityTbl[[#This Row],[Productivity Baseline (Transation/FTE/Day)]]*capacityTbl[[#This Row],[Weighted Working day]]),0)</f>
        <v>0</v>
      </c>
      <c r="N75" s="33">
        <f>IFERROR(capacityTbl[[#This Row],[No. of Transaction]]/capacityTbl[[#This Row],[Production Days]],0)</f>
        <v>2.6829268292682928</v>
      </c>
    </row>
    <row r="76" spans="1:14" hidden="1" outlineLevel="1" x14ac:dyDescent="0.25">
      <c r="A76" s="24">
        <v>2024</v>
      </c>
      <c r="B76" s="25" t="s">
        <v>19</v>
      </c>
      <c r="C76" s="26" t="s">
        <v>36</v>
      </c>
      <c r="D76" s="27">
        <v>69</v>
      </c>
      <c r="E76" s="28">
        <v>21</v>
      </c>
      <c r="F76" s="29" cm="1">
        <f t="array" ref="F7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6" s="30" cm="1">
        <f t="array" ref="G7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6" s="30">
        <v>22</v>
      </c>
      <c r="I76" s="30">
        <v>21</v>
      </c>
      <c r="J7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6" s="31">
        <f>IFERROR(capacityTbl[[#This Row],[Production Days]]/capacityTbl[[#This Row],[Weighted Working day]],0)</f>
        <v>0</v>
      </c>
      <c r="L76" s="31">
        <v>6.2</v>
      </c>
      <c r="M76" s="32">
        <f>IFERROR(capacityTbl[[#This Row],[No. of Transaction]]/(capacityTbl[[#This Row],[Productivity Baseline (Transation/FTE/Day)]]*capacityTbl[[#This Row],[Weighted Working day]]),0)</f>
        <v>0</v>
      </c>
      <c r="N76" s="33">
        <f>IFERROR(capacityTbl[[#This Row],[No. of Transaction]]/capacityTbl[[#This Row],[Production Days]],0)</f>
        <v>3.2857142857142856</v>
      </c>
    </row>
    <row r="77" spans="1:14" hidden="1" outlineLevel="1" x14ac:dyDescent="0.25">
      <c r="A77" s="24">
        <v>2024</v>
      </c>
      <c r="B77" s="25" t="s">
        <v>20</v>
      </c>
      <c r="C77" s="26" t="s">
        <v>36</v>
      </c>
      <c r="D77" s="27">
        <v>36</v>
      </c>
      <c r="E77" s="28">
        <v>22.5</v>
      </c>
      <c r="F77" s="29" cm="1">
        <f t="array" ref="F7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7" s="30" cm="1">
        <f t="array" ref="G7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7" s="30">
        <v>21</v>
      </c>
      <c r="I77" s="30">
        <v>22</v>
      </c>
      <c r="J7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7" s="31">
        <f>IFERROR(capacityTbl[[#This Row],[Production Days]]/capacityTbl[[#This Row],[Weighted Working day]],0)</f>
        <v>0</v>
      </c>
      <c r="L77" s="31">
        <v>6.2</v>
      </c>
      <c r="M77" s="32">
        <f>IFERROR(capacityTbl[[#This Row],[No. of Transaction]]/(capacityTbl[[#This Row],[Productivity Baseline (Transation/FTE/Day)]]*capacityTbl[[#This Row],[Weighted Working day]]),0)</f>
        <v>0</v>
      </c>
      <c r="N77" s="33">
        <f>IFERROR(capacityTbl[[#This Row],[No. of Transaction]]/capacityTbl[[#This Row],[Production Days]],0)</f>
        <v>1.6</v>
      </c>
    </row>
    <row r="78" spans="1:14" hidden="1" outlineLevel="1" x14ac:dyDescent="0.25">
      <c r="A78" s="24">
        <v>2024</v>
      </c>
      <c r="B78" s="25" t="s">
        <v>21</v>
      </c>
      <c r="C78" s="26" t="s">
        <v>36</v>
      </c>
      <c r="D78" s="27">
        <v>52</v>
      </c>
      <c r="E78" s="28">
        <v>37</v>
      </c>
      <c r="F78" s="29" cm="1">
        <f t="array" ref="F7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8" s="30" cm="1">
        <f t="array" ref="G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8" s="30">
        <v>19</v>
      </c>
      <c r="I78" s="30">
        <v>18</v>
      </c>
      <c r="J7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8" s="31">
        <f>IFERROR(capacityTbl[[#This Row],[Production Days]]/capacityTbl[[#This Row],[Weighted Working day]],0)</f>
        <v>0</v>
      </c>
      <c r="L78" s="31">
        <v>6.2</v>
      </c>
      <c r="M78" s="32">
        <f>IFERROR(capacityTbl[[#This Row],[No. of Transaction]]/(capacityTbl[[#This Row],[Productivity Baseline (Transation/FTE/Day)]]*capacityTbl[[#This Row],[Weighted Working day]]),0)</f>
        <v>0</v>
      </c>
      <c r="N78" s="33">
        <f>IFERROR(capacityTbl[[#This Row],[No. of Transaction]]/capacityTbl[[#This Row],[Production Days]],0)</f>
        <v>1.4054054054054055</v>
      </c>
    </row>
    <row r="79" spans="1:14" hidden="1" outlineLevel="1" x14ac:dyDescent="0.25">
      <c r="A79" s="24">
        <v>2024</v>
      </c>
      <c r="B79" s="25" t="s">
        <v>22</v>
      </c>
      <c r="C79" s="26" t="s">
        <v>36</v>
      </c>
      <c r="D79" s="27">
        <v>219</v>
      </c>
      <c r="E79" s="28">
        <v>57</v>
      </c>
      <c r="F79" s="29" cm="1">
        <f t="array" ref="F7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79" s="30" cm="1">
        <f t="array" ref="G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79" s="30">
        <v>23</v>
      </c>
      <c r="I79" s="30">
        <v>23</v>
      </c>
      <c r="J7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79" s="31">
        <f>IFERROR(capacityTbl[[#This Row],[Production Days]]/capacityTbl[[#This Row],[Weighted Working day]],0)</f>
        <v>0</v>
      </c>
      <c r="L79" s="31">
        <v>6.2</v>
      </c>
      <c r="M79" s="32">
        <f>IFERROR(capacityTbl[[#This Row],[No. of Transaction]]/(capacityTbl[[#This Row],[Productivity Baseline (Transation/FTE/Day)]]*capacityTbl[[#This Row],[Weighted Working day]]),0)</f>
        <v>0</v>
      </c>
      <c r="N79" s="33">
        <f>IFERROR(capacityTbl[[#This Row],[No. of Transaction]]/capacityTbl[[#This Row],[Production Days]],0)</f>
        <v>3.8421052631578947</v>
      </c>
    </row>
    <row r="80" spans="1:14" hidden="1" outlineLevel="1" x14ac:dyDescent="0.25">
      <c r="A80" s="24">
        <v>2024</v>
      </c>
      <c r="B80" s="25" t="s">
        <v>23</v>
      </c>
      <c r="C80" s="26" t="s">
        <v>36</v>
      </c>
      <c r="D80" s="27">
        <v>440</v>
      </c>
      <c r="E80" s="28">
        <v>65</v>
      </c>
      <c r="F80" s="29" cm="1">
        <f t="array" ref="F8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0" s="30" cm="1">
        <f t="array" ref="G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0" s="30">
        <v>22</v>
      </c>
      <c r="I80" s="30">
        <v>20</v>
      </c>
      <c r="J8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0" s="35">
        <f>IFERROR(capacityTbl[[#This Row],[Production Days]]/capacityTbl[[#This Row],[Weighted Working day]],0)</f>
        <v>0</v>
      </c>
      <c r="L80" s="31">
        <v>6.2</v>
      </c>
      <c r="M80" s="36">
        <f>IFERROR(capacityTbl[[#This Row],[No. of Transaction]]/(capacityTbl[[#This Row],[Productivity Baseline (Transation/FTE/Day)]]*capacityTbl[[#This Row],[Weighted Working day]]),0)</f>
        <v>0</v>
      </c>
      <c r="N80" s="33">
        <f>IFERROR(capacityTbl[[#This Row],[No. of Transaction]]/capacityTbl[[#This Row],[Production Days]],0)</f>
        <v>6.7692307692307692</v>
      </c>
    </row>
    <row r="81" spans="1:14" hidden="1" outlineLevel="1" x14ac:dyDescent="0.25">
      <c r="A81" s="24">
        <v>2024</v>
      </c>
      <c r="B81" s="25" t="s">
        <v>33</v>
      </c>
      <c r="C81" s="26" t="s">
        <v>36</v>
      </c>
      <c r="D81" s="27">
        <v>295</v>
      </c>
      <c r="E81" s="28">
        <v>57</v>
      </c>
      <c r="F81" s="29" cm="1">
        <f t="array" ref="F8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1" s="30" cm="1">
        <f t="array" ref="G8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1" s="30">
        <v>21</v>
      </c>
      <c r="I81" s="30">
        <v>21</v>
      </c>
      <c r="J8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1" s="35">
        <f>IFERROR(capacityTbl[[#This Row],[Production Days]]/capacityTbl[[#This Row],[Weighted Working day]],0)</f>
        <v>0</v>
      </c>
      <c r="L81" s="31">
        <v>6.2</v>
      </c>
      <c r="M81" s="32">
        <f>IFERROR(capacityTbl[[#This Row],[No. of Transaction]]/(capacityTbl[[#This Row],[Productivity Baseline (Transation/FTE/Day)]]*capacityTbl[[#This Row],[Weighted Working day]]),0)</f>
        <v>0</v>
      </c>
      <c r="N81" s="33">
        <f>IFERROR(capacityTbl[[#This Row],[No. of Transaction]]/capacityTbl[[#This Row],[Production Days]],0)</f>
        <v>5.1754385964912277</v>
      </c>
    </row>
    <row r="82" spans="1:14" hidden="1" outlineLevel="1" x14ac:dyDescent="0.25">
      <c r="A82" s="24">
        <v>2024</v>
      </c>
      <c r="B82" s="25" t="s">
        <v>25</v>
      </c>
      <c r="C82" s="26" t="s">
        <v>36</v>
      </c>
      <c r="D82" s="27">
        <v>449</v>
      </c>
      <c r="E82" s="28">
        <v>57</v>
      </c>
      <c r="F82" s="29" cm="1">
        <f t="array" ref="F8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2" s="30" cm="1">
        <f t="array" ref="G8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2" s="30">
        <v>19</v>
      </c>
      <c r="I82" s="30">
        <v>23</v>
      </c>
      <c r="J8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2" s="35">
        <f>IFERROR(capacityTbl[[#This Row],[Production Days]]/capacityTbl[[#This Row],[Weighted Working day]],0)</f>
        <v>0</v>
      </c>
      <c r="L82" s="31">
        <v>6.2</v>
      </c>
      <c r="M82" s="32">
        <f>IFERROR(capacityTbl[[#This Row],[No. of Transaction]]/(capacityTbl[[#This Row],[Productivity Baseline (Transation/FTE/Day)]]*capacityTbl[[#This Row],[Weighted Working day]]),0)</f>
        <v>0</v>
      </c>
      <c r="N82" s="33">
        <f>IFERROR(capacityTbl[[#This Row],[No. of Transaction]]/capacityTbl[[#This Row],[Production Days]],0)</f>
        <v>7.8771929824561404</v>
      </c>
    </row>
    <row r="83" spans="1:14" hidden="1" outlineLevel="1" x14ac:dyDescent="0.25">
      <c r="A83" s="24">
        <v>2024</v>
      </c>
      <c r="B83" s="25" t="s">
        <v>26</v>
      </c>
      <c r="C83" s="26" t="s">
        <v>36</v>
      </c>
      <c r="D83" s="27">
        <v>377</v>
      </c>
      <c r="E83" s="28">
        <v>56.5</v>
      </c>
      <c r="F83" s="29" cm="1">
        <f t="array" ref="F8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3" s="30" cm="1">
        <f t="array" ref="G8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3" s="30">
        <v>21</v>
      </c>
      <c r="I83" s="30">
        <v>20</v>
      </c>
      <c r="J8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3" s="35">
        <f>IFERROR(capacityTbl[[#This Row],[Production Days]]/capacityTbl[[#This Row],[Weighted Working day]],0)</f>
        <v>0</v>
      </c>
      <c r="L83" s="31">
        <v>6.2</v>
      </c>
      <c r="M83" s="32">
        <f>IFERROR(capacityTbl[[#This Row],[No. of Transaction]]/(capacityTbl[[#This Row],[Productivity Baseline (Transation/FTE/Day)]]*capacityTbl[[#This Row],[Weighted Working day]]),0)</f>
        <v>0</v>
      </c>
      <c r="N83" s="33">
        <f>IFERROR(capacityTbl[[#This Row],[No. of Transaction]]/capacityTbl[[#This Row],[Production Days]],0)</f>
        <v>6.6725663716814161</v>
      </c>
    </row>
    <row r="84" spans="1:14" hidden="1" outlineLevel="1" x14ac:dyDescent="0.25">
      <c r="A84" s="24">
        <v>2024</v>
      </c>
      <c r="B84" s="25" t="s">
        <v>27</v>
      </c>
      <c r="C84" s="26" t="s">
        <v>36</v>
      </c>
      <c r="D84" s="27">
        <v>302</v>
      </c>
      <c r="E84" s="28">
        <v>64</v>
      </c>
      <c r="F84" s="29" cm="1">
        <f t="array" ref="F8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4" s="30" cm="1">
        <f t="array" ref="G8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4" s="30">
        <v>22</v>
      </c>
      <c r="I84" s="30">
        <v>18</v>
      </c>
      <c r="J8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4" s="35">
        <f>IFERROR(capacityTbl[[#This Row],[Production Days]]/capacityTbl[[#This Row],[Weighted Working day]],0)</f>
        <v>0</v>
      </c>
      <c r="L84" s="31">
        <v>6.2</v>
      </c>
      <c r="M84" s="32">
        <f>IFERROR(capacityTbl[[#This Row],[No. of Transaction]]/(capacityTbl[[#This Row],[Productivity Baseline (Transation/FTE/Day)]]*capacityTbl[[#This Row],[Weighted Working day]]),0)</f>
        <v>0</v>
      </c>
      <c r="N84" s="33">
        <f>IFERROR(capacityTbl[[#This Row],[No. of Transaction]]/capacityTbl[[#This Row],[Production Days]],0)</f>
        <v>4.71875</v>
      </c>
    </row>
    <row r="85" spans="1:14" hidden="1" outlineLevel="1" x14ac:dyDescent="0.25">
      <c r="A85" s="24">
        <v>2024</v>
      </c>
      <c r="B85" s="25" t="s">
        <v>14</v>
      </c>
      <c r="C85" s="34" t="s">
        <v>29</v>
      </c>
      <c r="D85" s="27">
        <v>38</v>
      </c>
      <c r="E85" s="28">
        <v>104</v>
      </c>
      <c r="F85" s="29" cm="1">
        <f t="array" ref="F8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5" s="30" cm="1">
        <f t="array" ref="G8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5" s="30">
        <v>22</v>
      </c>
      <c r="I85" s="30">
        <v>22</v>
      </c>
      <c r="J8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5" s="31">
        <f>IFERROR(capacityTbl[[#This Row],[Production Days]]/capacityTbl[[#This Row],[Weighted Working day]],0)</f>
        <v>0</v>
      </c>
      <c r="L85" s="31">
        <v>0.5</v>
      </c>
      <c r="M85" s="32">
        <f>IFERROR(capacityTbl[[#This Row],[No. of Transaction]]/(capacityTbl[[#This Row],[Productivity Baseline (Transation/FTE/Day)]]*capacityTbl[[#This Row],[Weighted Working day]]),0)</f>
        <v>0</v>
      </c>
      <c r="N85" s="33">
        <f>IFERROR(capacityTbl[[#This Row],[No. of Transaction]]/capacityTbl[[#This Row],[Production Days]],0)</f>
        <v>0.36538461538461536</v>
      </c>
    </row>
    <row r="86" spans="1:14" hidden="1" outlineLevel="1" x14ac:dyDescent="0.25">
      <c r="A86" s="24">
        <v>2024</v>
      </c>
      <c r="B86" s="25" t="s">
        <v>17</v>
      </c>
      <c r="C86" s="26" t="s">
        <v>29</v>
      </c>
      <c r="D86" s="27">
        <v>32</v>
      </c>
      <c r="E86" s="28">
        <v>86</v>
      </c>
      <c r="F86" s="29" cm="1">
        <f t="array" ref="F8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6" s="30" cm="1">
        <f t="array" ref="G8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6" s="30">
        <v>18</v>
      </c>
      <c r="I86" s="30">
        <v>20</v>
      </c>
      <c r="J8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6" s="31">
        <f>IFERROR(capacityTbl[[#This Row],[Production Days]]/capacityTbl[[#This Row],[Weighted Working day]],0)</f>
        <v>0</v>
      </c>
      <c r="L86" s="31">
        <v>0.5</v>
      </c>
      <c r="M86" s="32">
        <f>IFERROR(capacityTbl[[#This Row],[No. of Transaction]]/(capacityTbl[[#This Row],[Productivity Baseline (Transation/FTE/Day)]]*capacityTbl[[#This Row],[Weighted Working day]]),0)</f>
        <v>0</v>
      </c>
      <c r="N86" s="33">
        <f>IFERROR(capacityTbl[[#This Row],[No. of Transaction]]/capacityTbl[[#This Row],[Production Days]],0)</f>
        <v>0.37209302325581395</v>
      </c>
    </row>
    <row r="87" spans="1:14" hidden="1" outlineLevel="1" x14ac:dyDescent="0.25">
      <c r="A87" s="24">
        <v>2024</v>
      </c>
      <c r="B87" s="25" t="s">
        <v>18</v>
      </c>
      <c r="C87" s="26" t="s">
        <v>29</v>
      </c>
      <c r="D87" s="27">
        <v>45</v>
      </c>
      <c r="E87" s="28">
        <v>100</v>
      </c>
      <c r="F87" s="29" cm="1">
        <f t="array" ref="F8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7" s="30" cm="1">
        <f t="array" ref="G8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7" s="30">
        <v>21</v>
      </c>
      <c r="I87" s="30">
        <v>19</v>
      </c>
      <c r="J8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7" s="31">
        <f>IFERROR(capacityTbl[[#This Row],[Production Days]]/capacityTbl[[#This Row],[Weighted Working day]],0)</f>
        <v>0</v>
      </c>
      <c r="L87" s="31">
        <v>0.5</v>
      </c>
      <c r="M87" s="32">
        <f>IFERROR(capacityTbl[[#This Row],[No. of Transaction]]/(capacityTbl[[#This Row],[Productivity Baseline (Transation/FTE/Day)]]*capacityTbl[[#This Row],[Weighted Working day]]),0)</f>
        <v>0</v>
      </c>
      <c r="N87" s="33">
        <f>IFERROR(capacityTbl[[#This Row],[No. of Transaction]]/capacityTbl[[#This Row],[Production Days]],0)</f>
        <v>0.45</v>
      </c>
    </row>
    <row r="88" spans="1:14" hidden="1" outlineLevel="1" x14ac:dyDescent="0.25">
      <c r="A88" s="24">
        <v>2024</v>
      </c>
      <c r="B88" s="25" t="s">
        <v>19</v>
      </c>
      <c r="C88" s="26" t="s">
        <v>29</v>
      </c>
      <c r="D88" s="27">
        <v>46</v>
      </c>
      <c r="E88" s="28">
        <v>104</v>
      </c>
      <c r="F88" s="29" cm="1">
        <f t="array" ref="F8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8" s="30" cm="1">
        <f t="array" ref="G8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8" s="30">
        <v>22</v>
      </c>
      <c r="I88" s="30">
        <v>21</v>
      </c>
      <c r="J8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8" s="31">
        <f>IFERROR(capacityTbl[[#This Row],[Production Days]]/capacityTbl[[#This Row],[Weighted Working day]],0)</f>
        <v>0</v>
      </c>
      <c r="L88" s="31">
        <v>0.5</v>
      </c>
      <c r="M88" s="32">
        <f>IFERROR(capacityTbl[[#This Row],[No. of Transaction]]/(capacityTbl[[#This Row],[Productivity Baseline (Transation/FTE/Day)]]*capacityTbl[[#This Row],[Weighted Working day]]),0)</f>
        <v>0</v>
      </c>
      <c r="N88" s="33">
        <f>IFERROR(capacityTbl[[#This Row],[No. of Transaction]]/capacityTbl[[#This Row],[Production Days]],0)</f>
        <v>0.44230769230769229</v>
      </c>
    </row>
    <row r="89" spans="1:14" hidden="1" outlineLevel="1" x14ac:dyDescent="0.25">
      <c r="A89" s="24">
        <v>2024</v>
      </c>
      <c r="B89" s="25" t="s">
        <v>20</v>
      </c>
      <c r="C89" s="26" t="s">
        <v>29</v>
      </c>
      <c r="D89" s="27">
        <v>35</v>
      </c>
      <c r="E89" s="28">
        <v>99.5</v>
      </c>
      <c r="F89" s="29" cm="1">
        <f t="array" ref="F8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89" s="30" cm="1">
        <f t="array" ref="G8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89" s="30">
        <v>21</v>
      </c>
      <c r="I89" s="30">
        <v>22</v>
      </c>
      <c r="J8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89" s="31">
        <f>IFERROR(capacityTbl[[#This Row],[Production Days]]/capacityTbl[[#This Row],[Weighted Working day]],0)</f>
        <v>0</v>
      </c>
      <c r="L89" s="31">
        <v>0.5</v>
      </c>
      <c r="M89" s="32">
        <f>IFERROR(capacityTbl[[#This Row],[No. of Transaction]]/(capacityTbl[[#This Row],[Productivity Baseline (Transation/FTE/Day)]]*capacityTbl[[#This Row],[Weighted Working day]]),0)</f>
        <v>0</v>
      </c>
      <c r="N89" s="33">
        <f>IFERROR(capacityTbl[[#This Row],[No. of Transaction]]/capacityTbl[[#This Row],[Production Days]],0)</f>
        <v>0.35175879396984927</v>
      </c>
    </row>
    <row r="90" spans="1:14" hidden="1" outlineLevel="1" x14ac:dyDescent="0.25">
      <c r="A90" s="24">
        <v>2024</v>
      </c>
      <c r="B90" s="25" t="s">
        <v>21</v>
      </c>
      <c r="C90" s="26" t="s">
        <v>29</v>
      </c>
      <c r="D90" s="27">
        <v>41</v>
      </c>
      <c r="E90" s="28">
        <v>90</v>
      </c>
      <c r="F90" s="29" cm="1">
        <f t="array" ref="F9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0" s="30" cm="1">
        <f t="array" ref="G9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0" s="30">
        <v>19</v>
      </c>
      <c r="I90" s="30">
        <v>18</v>
      </c>
      <c r="J9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0" s="31">
        <f>IFERROR(capacityTbl[[#This Row],[Production Days]]/capacityTbl[[#This Row],[Weighted Working day]],0)</f>
        <v>0</v>
      </c>
      <c r="L90" s="31">
        <v>0.5</v>
      </c>
      <c r="M90" s="32">
        <f>IFERROR(capacityTbl[[#This Row],[No. of Transaction]]/(capacityTbl[[#This Row],[Productivity Baseline (Transation/FTE/Day)]]*capacityTbl[[#This Row],[Weighted Working day]]),0)</f>
        <v>0</v>
      </c>
      <c r="N90" s="33">
        <f>IFERROR(capacityTbl[[#This Row],[No. of Transaction]]/capacityTbl[[#This Row],[Production Days]],0)</f>
        <v>0.45555555555555555</v>
      </c>
    </row>
    <row r="91" spans="1:14" hidden="1" outlineLevel="1" x14ac:dyDescent="0.25">
      <c r="A91" s="24">
        <v>2024</v>
      </c>
      <c r="B91" s="25" t="s">
        <v>22</v>
      </c>
      <c r="C91" s="26" t="s">
        <v>29</v>
      </c>
      <c r="D91" s="27">
        <v>31</v>
      </c>
      <c r="E91" s="28">
        <v>95</v>
      </c>
      <c r="F91" s="29" cm="1">
        <f t="array" ref="F9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1" s="30" cm="1">
        <f t="array" ref="G9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1" s="30">
        <v>23</v>
      </c>
      <c r="I91" s="30">
        <v>23</v>
      </c>
      <c r="J9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1" s="31">
        <f>IFERROR(capacityTbl[[#This Row],[Production Days]]/capacityTbl[[#This Row],[Weighted Working day]],0)</f>
        <v>0</v>
      </c>
      <c r="L91" s="31">
        <v>0.5</v>
      </c>
      <c r="M91" s="32">
        <f>IFERROR(capacityTbl[[#This Row],[No. of Transaction]]/(capacityTbl[[#This Row],[Productivity Baseline (Transation/FTE/Day)]]*capacityTbl[[#This Row],[Weighted Working day]]),0)</f>
        <v>0</v>
      </c>
      <c r="N91" s="33">
        <f>IFERROR(capacityTbl[[#This Row],[No. of Transaction]]/capacityTbl[[#This Row],[Production Days]],0)</f>
        <v>0.32631578947368423</v>
      </c>
    </row>
    <row r="92" spans="1:14" hidden="1" outlineLevel="1" x14ac:dyDescent="0.25">
      <c r="A92" s="24">
        <v>2024</v>
      </c>
      <c r="B92" s="25" t="s">
        <v>23</v>
      </c>
      <c r="C92" s="26" t="s">
        <v>29</v>
      </c>
      <c r="D92" s="27">
        <v>56</v>
      </c>
      <c r="E92" s="28">
        <v>68</v>
      </c>
      <c r="F92" s="29" cm="1">
        <f t="array" ref="F9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2" s="30" cm="1">
        <f t="array" ref="G9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2" s="30">
        <v>22</v>
      </c>
      <c r="I92" s="30">
        <v>20</v>
      </c>
      <c r="J9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2" s="31">
        <f>IFERROR(capacityTbl[[#This Row],[Production Days]]/capacityTbl[[#This Row],[Weighted Working day]],0)</f>
        <v>0</v>
      </c>
      <c r="L92" s="31">
        <v>0.5</v>
      </c>
      <c r="M92" s="32">
        <f>IFERROR(capacityTbl[[#This Row],[No. of Transaction]]/(capacityTbl[[#This Row],[Productivity Baseline (Transation/FTE/Day)]]*capacityTbl[[#This Row],[Weighted Working day]]),0)</f>
        <v>0</v>
      </c>
      <c r="N92" s="33">
        <f>IFERROR(capacityTbl[[#This Row],[No. of Transaction]]/capacityTbl[[#This Row],[Production Days]],0)</f>
        <v>0.82352941176470584</v>
      </c>
    </row>
    <row r="93" spans="1:14" hidden="1" outlineLevel="1" x14ac:dyDescent="0.25">
      <c r="A93" s="24">
        <v>2024</v>
      </c>
      <c r="B93" s="25" t="s">
        <v>24</v>
      </c>
      <c r="C93" s="26" t="s">
        <v>29</v>
      </c>
      <c r="D93" s="27">
        <v>41</v>
      </c>
      <c r="E93" s="28">
        <v>84.5</v>
      </c>
      <c r="F93" s="29" cm="1">
        <f t="array" ref="F9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3" s="30" cm="1">
        <f t="array" ref="G9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3" s="30">
        <v>21</v>
      </c>
      <c r="I93" s="30">
        <v>21</v>
      </c>
      <c r="J9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3" s="31">
        <f>IFERROR(capacityTbl[[#This Row],[Production Days]]/capacityTbl[[#This Row],[Weighted Working day]],0)</f>
        <v>0</v>
      </c>
      <c r="L93" s="31">
        <v>0.5</v>
      </c>
      <c r="M93" s="32">
        <f>IFERROR(capacityTbl[[#This Row],[No. of Transaction]]/(capacityTbl[[#This Row],[Productivity Baseline (Transation/FTE/Day)]]*capacityTbl[[#This Row],[Weighted Working day]]),0)</f>
        <v>0</v>
      </c>
      <c r="N93" s="33">
        <f>IFERROR(capacityTbl[[#This Row],[No. of Transaction]]/capacityTbl[[#This Row],[Production Days]],0)</f>
        <v>0.48520710059171596</v>
      </c>
    </row>
    <row r="94" spans="1:14" hidden="1" outlineLevel="1" x14ac:dyDescent="0.25">
      <c r="A94" s="24">
        <v>2024</v>
      </c>
      <c r="B94" s="25" t="s">
        <v>30</v>
      </c>
      <c r="C94" s="26" t="s">
        <v>29</v>
      </c>
      <c r="D94" s="27">
        <v>64</v>
      </c>
      <c r="E94" s="28">
        <v>126</v>
      </c>
      <c r="F94" s="29" cm="1">
        <f t="array" ref="F9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4" s="30" cm="1">
        <f t="array" ref="G9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4" s="30">
        <v>19</v>
      </c>
      <c r="I94" s="30">
        <v>23</v>
      </c>
      <c r="J9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4" s="31">
        <f>IFERROR(capacityTbl[[#This Row],[Production Days]]/capacityTbl[[#This Row],[Weighted Working day]],0)</f>
        <v>0</v>
      </c>
      <c r="L94" s="31">
        <v>0.5</v>
      </c>
      <c r="M94" s="32">
        <f>IFERROR(capacityTbl[[#This Row],[No. of Transaction]]/(capacityTbl[[#This Row],[Productivity Baseline (Transation/FTE/Day)]]*capacityTbl[[#This Row],[Weighted Working day]]),0)</f>
        <v>0</v>
      </c>
      <c r="N94" s="33">
        <f>IFERROR(capacityTbl[[#This Row],[No. of Transaction]]/capacityTbl[[#This Row],[Production Days]],0)</f>
        <v>0.50793650793650791</v>
      </c>
    </row>
    <row r="95" spans="1:14" hidden="1" outlineLevel="1" x14ac:dyDescent="0.25">
      <c r="A95" s="24">
        <v>2024</v>
      </c>
      <c r="B95" s="25" t="s">
        <v>26</v>
      </c>
      <c r="C95" s="26" t="s">
        <v>29</v>
      </c>
      <c r="D95" s="27">
        <v>92</v>
      </c>
      <c r="E95" s="28">
        <v>101</v>
      </c>
      <c r="F95" s="29" cm="1">
        <f t="array" ref="F9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5" s="30" cm="1">
        <f t="array" ref="G9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5" s="30">
        <v>21</v>
      </c>
      <c r="I95" s="30">
        <v>20</v>
      </c>
      <c r="J9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5" s="31">
        <f>IFERROR(capacityTbl[[#This Row],[Production Days]]/capacityTbl[[#This Row],[Weighted Working day]],0)</f>
        <v>0</v>
      </c>
      <c r="L95" s="31">
        <v>0.5</v>
      </c>
      <c r="M95" s="32">
        <f>IFERROR(capacityTbl[[#This Row],[No. of Transaction]]/(capacityTbl[[#This Row],[Productivity Baseline (Transation/FTE/Day)]]*capacityTbl[[#This Row],[Weighted Working day]]),0)</f>
        <v>0</v>
      </c>
      <c r="N95" s="33">
        <f>IFERROR(capacityTbl[[#This Row],[No. of Transaction]]/capacityTbl[[#This Row],[Production Days]],0)</f>
        <v>0.91089108910891092</v>
      </c>
    </row>
    <row r="96" spans="1:14" hidden="1" outlineLevel="1" x14ac:dyDescent="0.25">
      <c r="A96" s="37">
        <v>2024</v>
      </c>
      <c r="B96" s="38" t="s">
        <v>27</v>
      </c>
      <c r="C96" s="39" t="s">
        <v>29</v>
      </c>
      <c r="D96" s="40">
        <v>54</v>
      </c>
      <c r="E96" s="41">
        <v>101</v>
      </c>
      <c r="F96" s="42" cm="1">
        <f t="array" ref="F9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6" s="43" cm="1">
        <f t="array" ref="G9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6" s="43">
        <v>22</v>
      </c>
      <c r="I96" s="43">
        <v>18</v>
      </c>
      <c r="J96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6" s="44">
        <f>IFERROR(capacityTbl[[#This Row],[Production Days]]/capacityTbl[[#This Row],[Weighted Working day]],0)</f>
        <v>0</v>
      </c>
      <c r="L96" s="44">
        <v>0.5</v>
      </c>
      <c r="M96" s="46">
        <f>IFERROR(capacityTbl[[#This Row],[No. of Transaction]]/(capacityTbl[[#This Row],[Productivity Baseline (Transation/FTE/Day)]]*capacityTbl[[#This Row],[Weighted Working day]]),0)</f>
        <v>0</v>
      </c>
      <c r="N96" s="47">
        <f>IFERROR(capacityTbl[[#This Row],[No. of Transaction]]/capacityTbl[[#This Row],[Production Days]],0)</f>
        <v>0.53465346534653468</v>
      </c>
    </row>
    <row r="97" spans="1:14" collapsed="1" x14ac:dyDescent="0.25">
      <c r="A97" s="16">
        <v>2025</v>
      </c>
      <c r="B97" s="132" t="s">
        <v>14</v>
      </c>
      <c r="C97" s="133" t="s">
        <v>278</v>
      </c>
      <c r="D97" s="18">
        <f>2968+1572</f>
        <v>4540</v>
      </c>
      <c r="E97" s="19"/>
      <c r="F97" s="48" cm="1">
        <f t="array" ref="F9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7" s="20" cm="1">
        <f t="array" ref="G9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7" s="20" cm="1">
        <f t="array" ref="H97">INDEX(stdWorkingDays[],MATCH(capacityTbl[[#This Row],[Year]]&amp;capacityTbl[[#This Row],[Month]],stdWorkingDays[Year]&amp;stdWorkingDays[Month],0),MATCH("China",stdWorkingDays[#Headers],0))</f>
        <v>19</v>
      </c>
      <c r="I97" s="20" cm="1">
        <f t="array" ref="I97">INDEX(stdWorkingDays[],MATCH(capacityTbl[[#This Row],[Year]]&amp;capacityTbl[[#This Row],[Month]],stdWorkingDays[Year]&amp;stdWorkingDays[Month],0),MATCH("Philippine",stdWorkingDays[#Headers],0))</f>
        <v>21</v>
      </c>
      <c r="J97" s="2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7" s="134">
        <f>IFERROR(capacityTbl[[#This Row],[Production Days]]/capacityTbl[[#This Row],[Weighted Working day]],0)</f>
        <v>0</v>
      </c>
      <c r="L97" s="21" cm="1">
        <f t="array" ref="L97">INDEX(ProductivityBaseline[ProductivityBaseline],MATCH(capacityTbl[[#This Row],[Process]]&amp;capacityTbl[[#This Row],[Year]],ProductivityBaseline[Title]&amp;ProductivityBaseline[Year to use],0))</f>
        <v>40</v>
      </c>
      <c r="M97" s="22">
        <f>IFERROR(capacityTbl[[#This Row],[No. of Transaction]]/(capacityTbl[[#This Row],[Productivity Baseline (Transation/FTE/Day)]]*capacityTbl[[#This Row],[Weighted Working day]]),0)</f>
        <v>0</v>
      </c>
      <c r="N97" s="23">
        <f>IFERROR(capacityTbl[[#This Row],[No. of Transaction]]/capacityTbl[[#This Row],[Production Days]],0)</f>
        <v>0</v>
      </c>
    </row>
    <row r="98" spans="1:14" x14ac:dyDescent="0.25">
      <c r="A98" s="24">
        <v>2025</v>
      </c>
      <c r="B98" s="110" t="s">
        <v>17</v>
      </c>
      <c r="C98" s="111" t="s">
        <v>278</v>
      </c>
      <c r="D98" s="27">
        <f>3098+1648</f>
        <v>4746</v>
      </c>
      <c r="E98" s="28"/>
      <c r="F98" s="29" cm="1">
        <f t="array" ref="F9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8" s="30" cm="1">
        <f t="array" ref="G9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8" s="30" cm="1">
        <f t="array" ref="H98">INDEX(stdWorkingDays[],MATCH(capacityTbl[[#This Row],[Year]]&amp;capacityTbl[[#This Row],[Month]],stdWorkingDays[Year]&amp;stdWorkingDays[Month],0),MATCH("China",stdWorkingDays[#Headers],0))</f>
        <v>19</v>
      </c>
      <c r="I98" s="30" cm="1">
        <f t="array" ref="I98">INDEX(stdWorkingDays[],MATCH(capacityTbl[[#This Row],[Year]]&amp;capacityTbl[[#This Row],[Month]],stdWorkingDays[Year]&amp;stdWorkingDays[Month],0),MATCH("Philippine",stdWorkingDays[#Headers],0))</f>
        <v>20</v>
      </c>
      <c r="J9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8" s="35">
        <f>IFERROR(capacityTbl[[#This Row],[Production Days]]/capacityTbl[[#This Row],[Weighted Working day]],0)</f>
        <v>0</v>
      </c>
      <c r="L98" s="31" cm="1">
        <f t="array" ref="L98">INDEX(ProductivityBaseline[ProductivityBaseline],MATCH(capacityTbl[[#This Row],[Process]]&amp;capacityTbl[[#This Row],[Year]],ProductivityBaseline[Title]&amp;ProductivityBaseline[Year to use],0))</f>
        <v>40</v>
      </c>
      <c r="M98" s="32">
        <f>IFERROR(capacityTbl[[#This Row],[No. of Transaction]]/(capacityTbl[[#This Row],[Productivity Baseline (Transation/FTE/Day)]]*capacityTbl[[#This Row],[Weighted Working day]]),0)</f>
        <v>0</v>
      </c>
      <c r="N98" s="33">
        <f>IFERROR(capacityTbl[[#This Row],[No. of Transaction]]/capacityTbl[[#This Row],[Production Days]],0)</f>
        <v>0</v>
      </c>
    </row>
    <row r="99" spans="1:14" x14ac:dyDescent="0.25">
      <c r="A99" s="24">
        <v>2025</v>
      </c>
      <c r="B99" s="110" t="s">
        <v>18</v>
      </c>
      <c r="C99" s="111" t="s">
        <v>278</v>
      </c>
      <c r="D99" s="27">
        <f>3000+1598</f>
        <v>4598</v>
      </c>
      <c r="E99" s="28"/>
      <c r="F99" s="29" cm="1">
        <f t="array" ref="F9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99" s="30" cm="1">
        <f t="array" ref="G9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99" s="30" cm="1">
        <f t="array" ref="H99">INDEX(stdWorkingDays[],MATCH(capacityTbl[[#This Row],[Year]]&amp;capacityTbl[[#This Row],[Month]],stdWorkingDays[Year]&amp;stdWorkingDays[Month],0),MATCH("China",stdWorkingDays[#Headers],0))</f>
        <v>21</v>
      </c>
      <c r="I99" s="30" cm="1">
        <f t="array" ref="I99">INDEX(stdWorkingDays[],MATCH(capacityTbl[[#This Row],[Year]]&amp;capacityTbl[[#This Row],[Month]],stdWorkingDays[Year]&amp;stdWorkingDays[Month],0),MATCH("Philippine",stdWorkingDays[#Headers],0))</f>
        <v>21</v>
      </c>
      <c r="J9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99" s="35">
        <f>IFERROR(capacityTbl[[#This Row],[Production Days]]/capacityTbl[[#This Row],[Weighted Working day]],0)</f>
        <v>0</v>
      </c>
      <c r="L99" s="31" cm="1">
        <f t="array" ref="L99">INDEX(ProductivityBaseline[ProductivityBaseline],MATCH(capacityTbl[[#This Row],[Process]]&amp;capacityTbl[[#This Row],[Year]],ProductivityBaseline[Title]&amp;ProductivityBaseline[Year to use],0))</f>
        <v>40</v>
      </c>
      <c r="M99" s="32">
        <f>IFERROR(capacityTbl[[#This Row],[No. of Transaction]]/(capacityTbl[[#This Row],[Productivity Baseline (Transation/FTE/Day)]]*capacityTbl[[#This Row],[Weighted Working day]]),0)</f>
        <v>0</v>
      </c>
      <c r="N99" s="33">
        <f>IFERROR(capacityTbl[[#This Row],[No. of Transaction]]/capacityTbl[[#This Row],[Production Days]],0)</f>
        <v>0</v>
      </c>
    </row>
    <row r="100" spans="1:14" x14ac:dyDescent="0.25">
      <c r="A100" s="24">
        <v>2025</v>
      </c>
      <c r="B100" s="110" t="s">
        <v>19</v>
      </c>
      <c r="C100" s="111" t="s">
        <v>278</v>
      </c>
      <c r="D100" s="27">
        <f>2956+1560</f>
        <v>4516</v>
      </c>
      <c r="E100" s="28"/>
      <c r="F100" s="29" cm="1">
        <f t="array" ref="F10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0" s="30" cm="1">
        <f t="array" ref="G10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0" s="30" cm="1">
        <f t="array" ref="H100">INDEX(stdWorkingDays[],MATCH(capacityTbl[[#This Row],[Year]]&amp;capacityTbl[[#This Row],[Month]],stdWorkingDays[Year]&amp;stdWorkingDays[Month],0),MATCH("China",stdWorkingDays[#Headers],0))</f>
        <v>22</v>
      </c>
      <c r="I100" s="30" cm="1">
        <f t="array" ref="I100">INDEX(stdWorkingDays[],MATCH(capacityTbl[[#This Row],[Year]]&amp;capacityTbl[[#This Row],[Month]],stdWorkingDays[Year]&amp;stdWorkingDays[Month],0),MATCH("Philippine",stdWorkingDays[#Headers],0))</f>
        <v>19</v>
      </c>
      <c r="J10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0" s="35">
        <f>IFERROR(capacityTbl[[#This Row],[Production Days]]/capacityTbl[[#This Row],[Weighted Working day]],0)</f>
        <v>0</v>
      </c>
      <c r="L100" s="31" cm="1">
        <f t="array" ref="L100">INDEX(ProductivityBaseline[ProductivityBaseline],MATCH(capacityTbl[[#This Row],[Process]]&amp;capacityTbl[[#This Row],[Year]],ProductivityBaseline[Title]&amp;ProductivityBaseline[Year to use],0))</f>
        <v>40</v>
      </c>
      <c r="M100" s="32">
        <f>IFERROR(capacityTbl[[#This Row],[No. of Transaction]]/(capacityTbl[[#This Row],[Productivity Baseline (Transation/FTE/Day)]]*capacityTbl[[#This Row],[Weighted Working day]]),0)</f>
        <v>0</v>
      </c>
      <c r="N100" s="33">
        <f>IFERROR(capacityTbl[[#This Row],[No. of Transaction]]/capacityTbl[[#This Row],[Production Days]],0)</f>
        <v>0</v>
      </c>
    </row>
    <row r="101" spans="1:14" x14ac:dyDescent="0.25">
      <c r="A101" s="24">
        <v>2025</v>
      </c>
      <c r="B101" s="110" t="s">
        <v>20</v>
      </c>
      <c r="C101" s="111" t="s">
        <v>278</v>
      </c>
      <c r="D101" s="27">
        <f>2634+1412</f>
        <v>4046</v>
      </c>
      <c r="E101" s="28"/>
      <c r="F101" s="29" cm="1">
        <f t="array" ref="F10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1" s="30" cm="1">
        <f t="array" ref="G10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1" s="30" cm="1">
        <f t="array" ref="H101">INDEX(stdWorkingDays[],MATCH(capacityTbl[[#This Row],[Year]]&amp;capacityTbl[[#This Row],[Month]],stdWorkingDays[Year]&amp;stdWorkingDays[Month],0),MATCH("China",stdWorkingDays[#Headers],0))</f>
        <v>19</v>
      </c>
      <c r="I101" s="30" cm="1">
        <f t="array" ref="I101">INDEX(stdWorkingDays[],MATCH(capacityTbl[[#This Row],[Year]]&amp;capacityTbl[[#This Row],[Month]],stdWorkingDays[Year]&amp;stdWorkingDays[Month],0),MATCH("Philippine",stdWorkingDays[#Headers],0))</f>
        <v>21</v>
      </c>
      <c r="J10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1" s="35">
        <f>IFERROR(capacityTbl[[#This Row],[Production Days]]/capacityTbl[[#This Row],[Weighted Working day]],0)</f>
        <v>0</v>
      </c>
      <c r="L101" s="31" cm="1">
        <f t="array" ref="L101">INDEX(ProductivityBaseline[ProductivityBaseline],MATCH(capacityTbl[[#This Row],[Process]]&amp;capacityTbl[[#This Row],[Year]],ProductivityBaseline[Title]&amp;ProductivityBaseline[Year to use],0))</f>
        <v>40</v>
      </c>
      <c r="M101" s="32">
        <f>IFERROR(capacityTbl[[#This Row],[No. of Transaction]]/(capacityTbl[[#This Row],[Productivity Baseline (Transation/FTE/Day)]]*capacityTbl[[#This Row],[Weighted Working day]]),0)</f>
        <v>0</v>
      </c>
      <c r="N101" s="33">
        <f>IFERROR(capacityTbl[[#This Row],[No. of Transaction]]/capacityTbl[[#This Row],[Production Days]],0)</f>
        <v>0</v>
      </c>
    </row>
    <row r="102" spans="1:14" x14ac:dyDescent="0.25">
      <c r="A102" s="24">
        <v>2025</v>
      </c>
      <c r="B102" s="110" t="s">
        <v>21</v>
      </c>
      <c r="C102" s="111" t="s">
        <v>278</v>
      </c>
      <c r="D102" s="27">
        <f>2979+1598</f>
        <v>4577</v>
      </c>
      <c r="E102" s="28"/>
      <c r="F102" s="29" cm="1">
        <f t="array" ref="F10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2" s="30" cm="1">
        <f t="array" ref="G10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2" s="30" cm="1">
        <f t="array" ref="H102">INDEX(stdWorkingDays[],MATCH(capacityTbl[[#This Row],[Year]]&amp;capacityTbl[[#This Row],[Month]],stdWorkingDays[Year]&amp;stdWorkingDays[Month],0),MATCH("China",stdWorkingDays[#Headers],0))</f>
        <v>20</v>
      </c>
      <c r="I102" s="30" cm="1">
        <f t="array" ref="I102">INDEX(stdWorkingDays[],MATCH(capacityTbl[[#This Row],[Year]]&amp;capacityTbl[[#This Row],[Month]],stdWorkingDays[Year]&amp;stdWorkingDays[Month],0),MATCH("Philippine",stdWorkingDays[#Headers],0))</f>
        <v>19</v>
      </c>
      <c r="J10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2" s="35">
        <f>IFERROR(capacityTbl[[#This Row],[Production Days]]/capacityTbl[[#This Row],[Weighted Working day]],0)</f>
        <v>0</v>
      </c>
      <c r="L102" s="31" cm="1">
        <f t="array" ref="L102">INDEX(ProductivityBaseline[ProductivityBaseline],MATCH(capacityTbl[[#This Row],[Process]]&amp;capacityTbl[[#This Row],[Year]],ProductivityBaseline[Title]&amp;ProductivityBaseline[Year to use],0))</f>
        <v>40</v>
      </c>
      <c r="M102" s="32">
        <f>IFERROR(capacityTbl[[#This Row],[No. of Transaction]]/(capacityTbl[[#This Row],[Productivity Baseline (Transation/FTE/Day)]]*capacityTbl[[#This Row],[Weighted Working day]]),0)</f>
        <v>0</v>
      </c>
      <c r="N102" s="33">
        <f>IFERROR(capacityTbl[[#This Row],[No. of Transaction]]/capacityTbl[[#This Row],[Production Days]],0)</f>
        <v>0</v>
      </c>
    </row>
    <row r="103" spans="1:14" x14ac:dyDescent="0.25">
      <c r="A103" s="24">
        <v>2025</v>
      </c>
      <c r="B103" s="110" t="s">
        <v>22</v>
      </c>
      <c r="C103" s="111" t="s">
        <v>278</v>
      </c>
      <c r="D103" s="27">
        <f>3503+1876</f>
        <v>5379</v>
      </c>
      <c r="E103" s="28"/>
      <c r="F103" s="29" cm="1">
        <f t="array" ref="F10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3" s="30" cm="1">
        <f t="array" ref="G10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3" s="30" cm="1">
        <f t="array" ref="H103">INDEX(stdWorkingDays[],MATCH(capacityTbl[[#This Row],[Year]]&amp;capacityTbl[[#This Row],[Month]],stdWorkingDays[Year]&amp;stdWorkingDays[Month],0),MATCH("China",stdWorkingDays[#Headers],0))</f>
        <v>23</v>
      </c>
      <c r="I103" s="30" cm="1">
        <f t="array" ref="I103">INDEX(stdWorkingDays[],MATCH(capacityTbl[[#This Row],[Year]]&amp;capacityTbl[[#This Row],[Month]],stdWorkingDays[Year]&amp;stdWorkingDays[Month],0),MATCH("Philippine",stdWorkingDays[#Headers],0))</f>
        <v>23</v>
      </c>
      <c r="J10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3" s="35">
        <f>IFERROR(capacityTbl[[#This Row],[Production Days]]/capacityTbl[[#This Row],[Weighted Working day]],0)</f>
        <v>0</v>
      </c>
      <c r="L103" s="31" cm="1">
        <f t="array" ref="L103">INDEX(ProductivityBaseline[ProductivityBaseline],MATCH(capacityTbl[[#This Row],[Process]]&amp;capacityTbl[[#This Row],[Year]],ProductivityBaseline[Title]&amp;ProductivityBaseline[Year to use],0))</f>
        <v>40</v>
      </c>
      <c r="M103" s="32">
        <f>IFERROR(capacityTbl[[#This Row],[No. of Transaction]]/(capacityTbl[[#This Row],[Productivity Baseline (Transation/FTE/Day)]]*capacityTbl[[#This Row],[Weighted Working day]]),0)</f>
        <v>0</v>
      </c>
      <c r="N103" s="33">
        <f>IFERROR(capacityTbl[[#This Row],[No. of Transaction]]/capacityTbl[[#This Row],[Production Days]],0)</f>
        <v>0</v>
      </c>
    </row>
    <row r="104" spans="1:14" x14ac:dyDescent="0.25">
      <c r="A104" s="24">
        <v>2025</v>
      </c>
      <c r="B104" s="110" t="s">
        <v>46</v>
      </c>
      <c r="C104" s="111" t="s">
        <v>278</v>
      </c>
      <c r="D104" s="27">
        <f>3569+1882</f>
        <v>5451</v>
      </c>
      <c r="E104" s="28"/>
      <c r="F104" s="29" cm="1">
        <f t="array" ref="F10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4" s="30" cm="1">
        <f t="array" ref="G10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4" s="30" cm="1">
        <f t="array" ref="H104">INDEX(stdWorkingDays[],MATCH(capacityTbl[[#This Row],[Year]]&amp;capacityTbl[[#This Row],[Month]],stdWorkingDays[Year]&amp;stdWorkingDays[Month],0),MATCH("China",stdWorkingDays[#Headers],0))</f>
        <v>21</v>
      </c>
      <c r="I104" s="30" cm="1">
        <f t="array" ref="I104">INDEX(stdWorkingDays[],MATCH(capacityTbl[[#This Row],[Year]]&amp;capacityTbl[[#This Row],[Month]],stdWorkingDays[Year]&amp;stdWorkingDays[Month],0),MATCH("Philippine",stdWorkingDays[#Headers],0))</f>
        <v>19</v>
      </c>
      <c r="J10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4" s="35">
        <f>IFERROR(capacityTbl[[#This Row],[Production Days]]/capacityTbl[[#This Row],[Weighted Working day]],0)</f>
        <v>0</v>
      </c>
      <c r="L104" s="31" cm="1">
        <f t="array" ref="L104">INDEX(ProductivityBaseline[ProductivityBaseline],MATCH(capacityTbl[[#This Row],[Process]]&amp;capacityTbl[[#This Row],[Year]],ProductivityBaseline[Title]&amp;ProductivityBaseline[Year to use],0))</f>
        <v>40</v>
      </c>
      <c r="M104" s="32">
        <f>IFERROR(capacityTbl[[#This Row],[No. of Transaction]]/(capacityTbl[[#This Row],[Productivity Baseline (Transation/FTE/Day)]]*capacityTbl[[#This Row],[Weighted Working day]]),0)</f>
        <v>0</v>
      </c>
      <c r="N104" s="33">
        <f>IFERROR(capacityTbl[[#This Row],[No. of Transaction]]/capacityTbl[[#This Row],[Production Days]],0)</f>
        <v>0</v>
      </c>
    </row>
    <row r="105" spans="1:14" x14ac:dyDescent="0.25">
      <c r="A105" s="24">
        <v>2025</v>
      </c>
      <c r="B105" s="110" t="s">
        <v>33</v>
      </c>
      <c r="C105" s="111" t="s">
        <v>278</v>
      </c>
      <c r="D105" s="27"/>
      <c r="E105" s="28"/>
      <c r="F105" s="29" cm="1">
        <f t="array" ref="F10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5" s="30" cm="1">
        <f t="array" ref="G10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5" s="30" cm="1">
        <f t="array" ref="H105">INDEX(stdWorkingDays[],MATCH(capacityTbl[[#This Row],[Year]]&amp;capacityTbl[[#This Row],[Month]],stdWorkingDays[Year]&amp;stdWorkingDays[Month],0),MATCH("China",stdWorkingDays[#Headers],0))</f>
        <v>23</v>
      </c>
      <c r="I105" s="30" cm="1">
        <f t="array" ref="I105">INDEX(stdWorkingDays[],MATCH(capacityTbl[[#This Row],[Year]]&amp;capacityTbl[[#This Row],[Month]],stdWorkingDays[Year]&amp;stdWorkingDays[Month],0),MATCH("Philippine",stdWorkingDays[#Headers],0))</f>
        <v>22</v>
      </c>
      <c r="J10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5" s="35">
        <f>IFERROR(capacityTbl[[#This Row],[Production Days]]/capacityTbl[[#This Row],[Weighted Working day]],0)</f>
        <v>0</v>
      </c>
      <c r="L105" s="31" cm="1">
        <f t="array" ref="L105">INDEX(ProductivityBaseline[ProductivityBaseline],MATCH(capacityTbl[[#This Row],[Process]]&amp;capacityTbl[[#This Row],[Year]],ProductivityBaseline[Title]&amp;ProductivityBaseline[Year to use],0))</f>
        <v>40</v>
      </c>
      <c r="M105" s="32">
        <f>IFERROR(capacityTbl[[#This Row],[No. of Transaction]]/(capacityTbl[[#This Row],[Productivity Baseline (Transation/FTE/Day)]]*capacityTbl[[#This Row],[Weighted Working day]]),0)</f>
        <v>0</v>
      </c>
      <c r="N105" s="33">
        <f>IFERROR(capacityTbl[[#This Row],[No. of Transaction]]/capacityTbl[[#This Row],[Production Days]],0)</f>
        <v>0</v>
      </c>
    </row>
    <row r="106" spans="1:14" x14ac:dyDescent="0.25">
      <c r="A106" s="24">
        <v>2025</v>
      </c>
      <c r="B106" s="110" t="s">
        <v>25</v>
      </c>
      <c r="C106" s="111" t="s">
        <v>278</v>
      </c>
      <c r="D106" s="27"/>
      <c r="E106" s="28"/>
      <c r="F106" s="29" cm="1">
        <f t="array" ref="F10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6" s="30" cm="1">
        <f t="array" ref="G10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6" s="30" cm="1">
        <f t="array" ref="H106">INDEX(stdWorkingDays[],MATCH(capacityTbl[[#This Row],[Year]]&amp;capacityTbl[[#This Row],[Month]],stdWorkingDays[Year]&amp;stdWorkingDays[Month],0),MATCH("China",stdWorkingDays[#Headers],0))</f>
        <v>18</v>
      </c>
      <c r="I106" s="30" cm="1">
        <f t="array" ref="I106">INDEX(stdWorkingDays[],MATCH(capacityTbl[[#This Row],[Year]]&amp;capacityTbl[[#This Row],[Month]],stdWorkingDays[Year]&amp;stdWorkingDays[Month],0),MATCH("Philippine",stdWorkingDays[#Headers],0))</f>
        <v>22</v>
      </c>
      <c r="J10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6" s="35">
        <f>IFERROR(capacityTbl[[#This Row],[Production Days]]/capacityTbl[[#This Row],[Weighted Working day]],0)</f>
        <v>0</v>
      </c>
      <c r="L106" s="31" cm="1">
        <f t="array" ref="L106">INDEX(ProductivityBaseline[ProductivityBaseline],MATCH(capacityTbl[[#This Row],[Process]]&amp;capacityTbl[[#This Row],[Year]],ProductivityBaseline[Title]&amp;ProductivityBaseline[Year to use],0))</f>
        <v>40</v>
      </c>
      <c r="M106" s="32">
        <f>IFERROR(capacityTbl[[#This Row],[No. of Transaction]]/(capacityTbl[[#This Row],[Productivity Baseline (Transation/FTE/Day)]]*capacityTbl[[#This Row],[Weighted Working day]]),0)</f>
        <v>0</v>
      </c>
      <c r="N106" s="33">
        <f>IFERROR(capacityTbl[[#This Row],[No. of Transaction]]/capacityTbl[[#This Row],[Production Days]],0)</f>
        <v>0</v>
      </c>
    </row>
    <row r="107" spans="1:14" x14ac:dyDescent="0.25">
      <c r="A107" s="24">
        <v>2025</v>
      </c>
      <c r="B107" s="110" t="s">
        <v>26</v>
      </c>
      <c r="C107" s="111" t="s">
        <v>278</v>
      </c>
      <c r="D107" s="27"/>
      <c r="E107" s="28"/>
      <c r="F107" s="29" cm="1">
        <f t="array" ref="F10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7" s="30" cm="1">
        <f t="array" ref="G10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7" s="30" cm="1">
        <f t="array" ref="H107">INDEX(stdWorkingDays[],MATCH(capacityTbl[[#This Row],[Year]]&amp;capacityTbl[[#This Row],[Month]],stdWorkingDays[Year]&amp;stdWorkingDays[Month],0),MATCH("China",stdWorkingDays[#Headers],0))</f>
        <v>20</v>
      </c>
      <c r="I107" s="30" cm="1">
        <f t="array" ref="I107">INDEX(stdWorkingDays[],MATCH(capacityTbl[[#This Row],[Year]]&amp;capacityTbl[[#This Row],[Month]],stdWorkingDays[Year]&amp;stdWorkingDays[Month],0),MATCH("Philippine",stdWorkingDays[#Headers],0))</f>
        <v>20</v>
      </c>
      <c r="J10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7" s="35">
        <f>IFERROR(capacityTbl[[#This Row],[Production Days]]/capacityTbl[[#This Row],[Weighted Working day]],0)</f>
        <v>0</v>
      </c>
      <c r="L107" s="31" cm="1">
        <f t="array" ref="L107">INDEX(ProductivityBaseline[ProductivityBaseline],MATCH(capacityTbl[[#This Row],[Process]]&amp;capacityTbl[[#This Row],[Year]],ProductivityBaseline[Title]&amp;ProductivityBaseline[Year to use],0))</f>
        <v>40</v>
      </c>
      <c r="M107" s="32">
        <f>IFERROR(capacityTbl[[#This Row],[No. of Transaction]]/(capacityTbl[[#This Row],[Productivity Baseline (Transation/FTE/Day)]]*capacityTbl[[#This Row],[Weighted Working day]]),0)</f>
        <v>0</v>
      </c>
      <c r="N107" s="33">
        <f>IFERROR(capacityTbl[[#This Row],[No. of Transaction]]/capacityTbl[[#This Row],[Production Days]],0)</f>
        <v>0</v>
      </c>
    </row>
    <row r="108" spans="1:14" x14ac:dyDescent="0.25">
      <c r="A108" s="24">
        <v>2025</v>
      </c>
      <c r="B108" s="110" t="s">
        <v>27</v>
      </c>
      <c r="C108" s="111" t="s">
        <v>278</v>
      </c>
      <c r="D108" s="27"/>
      <c r="E108" s="28"/>
      <c r="F108" s="29" cm="1">
        <f t="array" ref="F10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8" s="30" cm="1">
        <f t="array" ref="G10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8" s="30" cm="1">
        <f t="array" ref="H108">INDEX(stdWorkingDays[],MATCH(capacityTbl[[#This Row],[Year]]&amp;capacityTbl[[#This Row],[Month]],stdWorkingDays[Year]&amp;stdWorkingDays[Month],0),MATCH("China",stdWorkingDays[#Headers],0))</f>
        <v>23</v>
      </c>
      <c r="I108" s="30" cm="1">
        <f t="array" ref="I108">INDEX(stdWorkingDays[],MATCH(capacityTbl[[#This Row],[Year]]&amp;capacityTbl[[#This Row],[Month]],stdWorkingDays[Year]&amp;stdWorkingDays[Month],0),MATCH("Philippine",stdWorkingDays[#Headers],0))</f>
        <v>18</v>
      </c>
      <c r="J10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8" s="35">
        <f>IFERROR(capacityTbl[[#This Row],[Production Days]]/capacityTbl[[#This Row],[Weighted Working day]],0)</f>
        <v>0</v>
      </c>
      <c r="L108" s="31" cm="1">
        <f t="array" ref="L108">INDEX(ProductivityBaseline[ProductivityBaseline],MATCH(capacityTbl[[#This Row],[Process]]&amp;capacityTbl[[#This Row],[Year]],ProductivityBaseline[Title]&amp;ProductivityBaseline[Year to use],0))</f>
        <v>40</v>
      </c>
      <c r="M108" s="32">
        <f>IFERROR(capacityTbl[[#This Row],[No. of Transaction]]/(capacityTbl[[#This Row],[Productivity Baseline (Transation/FTE/Day)]]*capacityTbl[[#This Row],[Weighted Working day]]),0)</f>
        <v>0</v>
      </c>
      <c r="N108" s="33">
        <f>IFERROR(capacityTbl[[#This Row],[No. of Transaction]]/capacityTbl[[#This Row],[Production Days]],0)</f>
        <v>0</v>
      </c>
    </row>
    <row r="109" spans="1:14" x14ac:dyDescent="0.25">
      <c r="A109" s="49">
        <v>2025</v>
      </c>
      <c r="B109" s="25" t="s">
        <v>14</v>
      </c>
      <c r="C109" s="34" t="s">
        <v>32</v>
      </c>
      <c r="D109" s="27">
        <f>65+260+31+151</f>
        <v>507</v>
      </c>
      <c r="E109" s="28">
        <v>37</v>
      </c>
      <c r="F109" s="29" cm="1">
        <f t="array" ref="F10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09" s="30" cm="1">
        <f t="array" ref="G10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09" s="30" cm="1">
        <f t="array" ref="H109">INDEX(stdWorkingDays[],MATCH(capacityTbl[[#This Row],[Year]]&amp;capacityTbl[[#This Row],[Month]],stdWorkingDays[Year]&amp;stdWorkingDays[Month],0),MATCH("China",stdWorkingDays[#Headers],0))</f>
        <v>19</v>
      </c>
      <c r="I109" s="30" cm="1">
        <f t="array" ref="I109">INDEX(stdWorkingDays[],MATCH(capacityTbl[[#This Row],[Year]]&amp;capacityTbl[[#This Row],[Month]],stdWorkingDays[Year]&amp;stdWorkingDays[Month],0),MATCH("Philippine",stdWorkingDays[#Headers],0))</f>
        <v>21</v>
      </c>
      <c r="J10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09" s="31">
        <f>IFERROR(capacityTbl[[#This Row],[Production Days]]/capacityTbl[[#This Row],[Weighted Working day]],0)</f>
        <v>0</v>
      </c>
      <c r="L109" s="31" cm="1">
        <f t="array" ref="L109">INDEX(ProductivityBaseline[ProductivityBaseline],MATCH(capacityTbl[[#This Row],[Process]]&amp;capacityTbl[[#This Row],[Year]],ProductivityBaseline[Title]&amp;ProductivityBaseline[Year to use],0))</f>
        <v>14.326133909287257</v>
      </c>
      <c r="M109" s="32">
        <f>IFERROR(capacityTbl[[#This Row],[No. of Transaction]]/(capacityTbl[[#This Row],[Productivity Baseline (Transation/FTE/Day)]]*capacityTbl[[#This Row],[Weighted Working day]]),0)</f>
        <v>0</v>
      </c>
      <c r="N109" s="33">
        <f>IFERROR(capacityTbl[[#This Row],[No. of Transaction]]/capacityTbl[[#This Row],[Production Days]],0)</f>
        <v>13.702702702702704</v>
      </c>
    </row>
    <row r="110" spans="1:14" x14ac:dyDescent="0.25">
      <c r="A110" s="49">
        <v>2025</v>
      </c>
      <c r="B110" s="25" t="s">
        <v>17</v>
      </c>
      <c r="C110" s="26" t="s">
        <v>32</v>
      </c>
      <c r="D110" s="27">
        <f>79+321+30+150</f>
        <v>580</v>
      </c>
      <c r="E110" s="28">
        <v>39</v>
      </c>
      <c r="F110" s="29" cm="1">
        <f t="array" ref="F1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0" s="30" cm="1">
        <f t="array" ref="G11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0" s="30" cm="1">
        <f t="array" ref="H110">INDEX(stdWorkingDays[],MATCH(capacityTbl[[#This Row],[Year]]&amp;capacityTbl[[#This Row],[Month]],stdWorkingDays[Year]&amp;stdWorkingDays[Month],0),MATCH("China",stdWorkingDays[#Headers],0))</f>
        <v>19</v>
      </c>
      <c r="I110" s="30" cm="1">
        <f t="array" ref="I110">INDEX(stdWorkingDays[],MATCH(capacityTbl[[#This Row],[Year]]&amp;capacityTbl[[#This Row],[Month]],stdWorkingDays[Year]&amp;stdWorkingDays[Month],0),MATCH("Philippine",stdWorkingDays[#Headers],0))</f>
        <v>20</v>
      </c>
      <c r="J11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0" s="31">
        <f>IFERROR(capacityTbl[[#This Row],[Production Days]]/capacityTbl[[#This Row],[Weighted Working day]],0)</f>
        <v>0</v>
      </c>
      <c r="L110" s="31" cm="1">
        <f t="array" ref="L110">INDEX(ProductivityBaseline[ProductivityBaseline],MATCH(capacityTbl[[#This Row],[Process]]&amp;capacityTbl[[#This Row],[Year]],ProductivityBaseline[Title]&amp;ProductivityBaseline[Year to use],0))</f>
        <v>14.326133909287257</v>
      </c>
      <c r="M110" s="32">
        <f>IFERROR(capacityTbl[[#This Row],[No. of Transaction]]/(capacityTbl[[#This Row],[Productivity Baseline (Transation/FTE/Day)]]*capacityTbl[[#This Row],[Weighted Working day]]),0)</f>
        <v>0</v>
      </c>
      <c r="N110" s="33">
        <f>IFERROR(capacityTbl[[#This Row],[No. of Transaction]]/capacityTbl[[#This Row],[Production Days]],0)</f>
        <v>14.871794871794872</v>
      </c>
    </row>
    <row r="111" spans="1:14" x14ac:dyDescent="0.25">
      <c r="A111" s="49">
        <v>2025</v>
      </c>
      <c r="B111" s="25" t="s">
        <v>18</v>
      </c>
      <c r="C111" s="26" t="s">
        <v>32</v>
      </c>
      <c r="D111" s="27">
        <f>81+250+13+90</f>
        <v>434</v>
      </c>
      <c r="E111" s="28">
        <v>41</v>
      </c>
      <c r="F111" s="29" cm="1">
        <f t="array" ref="F1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1" s="30" cm="1">
        <f t="array" ref="G11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1" s="30" cm="1">
        <f t="array" ref="H111">INDEX(stdWorkingDays[],MATCH(capacityTbl[[#This Row],[Year]]&amp;capacityTbl[[#This Row],[Month]],stdWorkingDays[Year]&amp;stdWorkingDays[Month],0),MATCH("China",stdWorkingDays[#Headers],0))</f>
        <v>21</v>
      </c>
      <c r="I111" s="30" cm="1">
        <f t="array" ref="I111">INDEX(stdWorkingDays[],MATCH(capacityTbl[[#This Row],[Year]]&amp;capacityTbl[[#This Row],[Month]],stdWorkingDays[Year]&amp;stdWorkingDays[Month],0),MATCH("Philippine",stdWorkingDays[#Headers],0))</f>
        <v>21</v>
      </c>
      <c r="J11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1" s="31">
        <f>IFERROR(capacityTbl[[#This Row],[Production Days]]/capacityTbl[[#This Row],[Weighted Working day]],0)</f>
        <v>0</v>
      </c>
      <c r="L111" s="31" cm="1">
        <f t="array" ref="L111">INDEX(ProductivityBaseline[ProductivityBaseline],MATCH(capacityTbl[[#This Row],[Process]]&amp;capacityTbl[[#This Row],[Year]],ProductivityBaseline[Title]&amp;ProductivityBaseline[Year to use],0))</f>
        <v>14.326133909287257</v>
      </c>
      <c r="M111" s="32">
        <f>IFERROR(capacityTbl[[#This Row],[No. of Transaction]]/(capacityTbl[[#This Row],[Productivity Baseline (Transation/FTE/Day)]]*capacityTbl[[#This Row],[Weighted Working day]]),0)</f>
        <v>0</v>
      </c>
      <c r="N111" s="33">
        <f>IFERROR(capacityTbl[[#This Row],[No. of Transaction]]/capacityTbl[[#This Row],[Production Days]],0)</f>
        <v>10.585365853658537</v>
      </c>
    </row>
    <row r="112" spans="1:14" x14ac:dyDescent="0.25">
      <c r="A112" s="49">
        <v>2025</v>
      </c>
      <c r="B112" s="25" t="s">
        <v>19</v>
      </c>
      <c r="C112" s="26" t="s">
        <v>32</v>
      </c>
      <c r="D112" s="27">
        <f>43+249+7+99</f>
        <v>398</v>
      </c>
      <c r="E112" s="28">
        <v>34</v>
      </c>
      <c r="F112" s="29" cm="1">
        <f t="array" ref="F1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2" s="30" cm="1">
        <f t="array" ref="G11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2" s="30" cm="1">
        <f t="array" ref="H112">INDEX(stdWorkingDays[],MATCH(capacityTbl[[#This Row],[Year]]&amp;capacityTbl[[#This Row],[Month]],stdWorkingDays[Year]&amp;stdWorkingDays[Month],0),MATCH("China",stdWorkingDays[#Headers],0))</f>
        <v>22</v>
      </c>
      <c r="I112" s="30" cm="1">
        <f t="array" ref="I112">INDEX(stdWorkingDays[],MATCH(capacityTbl[[#This Row],[Year]]&amp;capacityTbl[[#This Row],[Month]],stdWorkingDays[Year]&amp;stdWorkingDays[Month],0),MATCH("Philippine",stdWorkingDays[#Headers],0))</f>
        <v>19</v>
      </c>
      <c r="J11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2" s="31">
        <f>IFERROR(capacityTbl[[#This Row],[Production Days]]/capacityTbl[[#This Row],[Weighted Working day]],0)</f>
        <v>0</v>
      </c>
      <c r="L112" s="31" cm="1">
        <f t="array" ref="L112">INDEX(ProductivityBaseline[ProductivityBaseline],MATCH(capacityTbl[[#This Row],[Process]]&amp;capacityTbl[[#This Row],[Year]],ProductivityBaseline[Title]&amp;ProductivityBaseline[Year to use],0))</f>
        <v>14.326133909287257</v>
      </c>
      <c r="M112" s="32">
        <f>IFERROR(capacityTbl[[#This Row],[No. of Transaction]]/(capacityTbl[[#This Row],[Productivity Baseline (Transation/FTE/Day)]]*capacityTbl[[#This Row],[Weighted Working day]]),0)</f>
        <v>0</v>
      </c>
      <c r="N112" s="33">
        <f>IFERROR(capacityTbl[[#This Row],[No. of Transaction]]/capacityTbl[[#This Row],[Production Days]],0)</f>
        <v>11.705882352941176</v>
      </c>
    </row>
    <row r="113" spans="1:16" x14ac:dyDescent="0.25">
      <c r="A113" s="49">
        <v>2025</v>
      </c>
      <c r="B113" s="25" t="s">
        <v>20</v>
      </c>
      <c r="C113" s="26" t="s">
        <v>32</v>
      </c>
      <c r="D113" s="27">
        <f>41+203+18+59</f>
        <v>321</v>
      </c>
      <c r="E113" s="28">
        <v>40</v>
      </c>
      <c r="F113" s="29" cm="1">
        <f t="array" ref="F1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3" s="30" cm="1">
        <f t="array" ref="G11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3" s="30" cm="1">
        <f t="array" ref="H113">INDEX(stdWorkingDays[],MATCH(capacityTbl[[#This Row],[Year]]&amp;capacityTbl[[#This Row],[Month]],stdWorkingDays[Year]&amp;stdWorkingDays[Month],0),MATCH("China",stdWorkingDays[#Headers],0))</f>
        <v>19</v>
      </c>
      <c r="I113" s="30" cm="1">
        <f t="array" ref="I113">INDEX(stdWorkingDays[],MATCH(capacityTbl[[#This Row],[Year]]&amp;capacityTbl[[#This Row],[Month]],stdWorkingDays[Year]&amp;stdWorkingDays[Month],0),MATCH("Philippine",stdWorkingDays[#Headers],0))</f>
        <v>21</v>
      </c>
      <c r="J11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3" s="31">
        <f>IFERROR(capacityTbl[[#This Row],[Production Days]]/capacityTbl[[#This Row],[Weighted Working day]],0)</f>
        <v>0</v>
      </c>
      <c r="L113" s="31" cm="1">
        <f t="array" ref="L113">INDEX(ProductivityBaseline[ProductivityBaseline],MATCH(capacityTbl[[#This Row],[Process]]&amp;capacityTbl[[#This Row],[Year]],ProductivityBaseline[Title]&amp;ProductivityBaseline[Year to use],0))</f>
        <v>14.326133909287257</v>
      </c>
      <c r="M113" s="32">
        <f>IFERROR(capacityTbl[[#This Row],[No. of Transaction]]/(capacityTbl[[#This Row],[Productivity Baseline (Transation/FTE/Day)]]*capacityTbl[[#This Row],[Weighted Working day]]),0)</f>
        <v>0</v>
      </c>
      <c r="N113" s="33">
        <f>IFERROR(capacityTbl[[#This Row],[No. of Transaction]]/capacityTbl[[#This Row],[Production Days]],0)</f>
        <v>8.0250000000000004</v>
      </c>
    </row>
    <row r="114" spans="1:16" x14ac:dyDescent="0.25">
      <c r="A114" s="49">
        <v>2025</v>
      </c>
      <c r="B114" s="25" t="s">
        <v>21</v>
      </c>
      <c r="C114" s="26" t="s">
        <v>32</v>
      </c>
      <c r="D114" s="27">
        <f>60+236+22+73</f>
        <v>391</v>
      </c>
      <c r="E114" s="28">
        <v>38</v>
      </c>
      <c r="F114" s="29" cm="1">
        <f t="array" ref="F1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4" s="30" cm="1">
        <f t="array" ref="G11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4" s="30" cm="1">
        <f t="array" ref="H114">INDEX(stdWorkingDays[],MATCH(capacityTbl[[#This Row],[Year]]&amp;capacityTbl[[#This Row],[Month]],stdWorkingDays[Year]&amp;stdWorkingDays[Month],0),MATCH("China",stdWorkingDays[#Headers],0))</f>
        <v>20</v>
      </c>
      <c r="I114" s="30" cm="1">
        <f t="array" ref="I114">INDEX(stdWorkingDays[],MATCH(capacityTbl[[#This Row],[Year]]&amp;capacityTbl[[#This Row],[Month]],stdWorkingDays[Year]&amp;stdWorkingDays[Month],0),MATCH("Philippine",stdWorkingDays[#Headers],0))</f>
        <v>19</v>
      </c>
      <c r="J11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4" s="31">
        <f>IFERROR(capacityTbl[[#This Row],[Production Days]]/capacityTbl[[#This Row],[Weighted Working day]],0)</f>
        <v>0</v>
      </c>
      <c r="L114" s="31" cm="1">
        <f t="array" ref="L114">INDEX(ProductivityBaseline[ProductivityBaseline],MATCH(capacityTbl[[#This Row],[Process]]&amp;capacityTbl[[#This Row],[Year]],ProductivityBaseline[Title]&amp;ProductivityBaseline[Year to use],0))</f>
        <v>14.326133909287257</v>
      </c>
      <c r="M114" s="32">
        <f>IFERROR(capacityTbl[[#This Row],[No. of Transaction]]/(capacityTbl[[#This Row],[Productivity Baseline (Transation/FTE/Day)]]*capacityTbl[[#This Row],[Weighted Working day]]),0)</f>
        <v>0</v>
      </c>
      <c r="N114" s="33">
        <f>IFERROR(capacityTbl[[#This Row],[No. of Transaction]]/capacityTbl[[#This Row],[Production Days]],0)</f>
        <v>10.289473684210526</v>
      </c>
    </row>
    <row r="115" spans="1:16" x14ac:dyDescent="0.25">
      <c r="A115" s="49">
        <v>2025</v>
      </c>
      <c r="B115" s="25" t="s">
        <v>22</v>
      </c>
      <c r="C115" s="26" t="s">
        <v>32</v>
      </c>
      <c r="D115" s="27">
        <f>64+298+42+130</f>
        <v>534</v>
      </c>
      <c r="E115" s="28">
        <v>44</v>
      </c>
      <c r="F115" s="29" cm="1">
        <f t="array" ref="F1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5" s="30" cm="1">
        <f t="array" ref="G1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5" s="30" cm="1">
        <f t="array" ref="H115">INDEX(stdWorkingDays[],MATCH(capacityTbl[[#This Row],[Year]]&amp;capacityTbl[[#This Row],[Month]],stdWorkingDays[Year]&amp;stdWorkingDays[Month],0),MATCH("China",stdWorkingDays[#Headers],0))</f>
        <v>23</v>
      </c>
      <c r="I115" s="30" cm="1">
        <f t="array" ref="I115">INDEX(stdWorkingDays[],MATCH(capacityTbl[[#This Row],[Year]]&amp;capacityTbl[[#This Row],[Month]],stdWorkingDays[Year]&amp;stdWorkingDays[Month],0),MATCH("Philippine",stdWorkingDays[#Headers],0))</f>
        <v>23</v>
      </c>
      <c r="J1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5" s="31">
        <f>IFERROR(capacityTbl[[#This Row],[Production Days]]/capacityTbl[[#This Row],[Weighted Working day]],0)</f>
        <v>0</v>
      </c>
      <c r="L115" s="31" cm="1">
        <f t="array" ref="L115">INDEX(ProductivityBaseline[ProductivityBaseline],MATCH(capacityTbl[[#This Row],[Process]]&amp;capacityTbl[[#This Row],[Year]],ProductivityBaseline[Title]&amp;ProductivityBaseline[Year to use],0))</f>
        <v>14.326133909287257</v>
      </c>
      <c r="M115" s="32">
        <f>IFERROR(capacityTbl[[#This Row],[No. of Transaction]]/(capacityTbl[[#This Row],[Productivity Baseline (Transation/FTE/Day)]]*capacityTbl[[#This Row],[Weighted Working day]]),0)</f>
        <v>0</v>
      </c>
      <c r="N115" s="33">
        <f>IFERROR(capacityTbl[[#This Row],[No. of Transaction]]/capacityTbl[[#This Row],[Production Days]],0)</f>
        <v>12.136363636363637</v>
      </c>
    </row>
    <row r="116" spans="1:16" x14ac:dyDescent="0.25">
      <c r="A116" s="49">
        <v>2025</v>
      </c>
      <c r="B116" s="25" t="s">
        <v>23</v>
      </c>
      <c r="C116" s="26" t="s">
        <v>32</v>
      </c>
      <c r="D116" s="27">
        <f>62+260+14+214</f>
        <v>550</v>
      </c>
      <c r="E116" s="28">
        <v>38</v>
      </c>
      <c r="F116" s="29" cm="1">
        <f t="array" ref="F1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6" s="30" cm="1">
        <f t="array" ref="G1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6" s="30" cm="1">
        <f t="array" ref="H116">INDEX(stdWorkingDays[],MATCH(capacityTbl[[#This Row],[Year]]&amp;capacityTbl[[#This Row],[Month]],stdWorkingDays[Year]&amp;stdWorkingDays[Month],0),MATCH("China",stdWorkingDays[#Headers],0))</f>
        <v>21</v>
      </c>
      <c r="I116" s="30" cm="1">
        <f t="array" ref="I116">INDEX(stdWorkingDays[],MATCH(capacityTbl[[#This Row],[Year]]&amp;capacityTbl[[#This Row],[Month]],stdWorkingDays[Year]&amp;stdWorkingDays[Month],0),MATCH("Philippine",stdWorkingDays[#Headers],0))</f>
        <v>19</v>
      </c>
      <c r="J1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6" s="31">
        <f>IFERROR(capacityTbl[[#This Row],[Production Days]]/capacityTbl[[#This Row],[Weighted Working day]],0)</f>
        <v>0</v>
      </c>
      <c r="L116" s="31" cm="1">
        <f t="array" ref="L116">INDEX(ProductivityBaseline[ProductivityBaseline],MATCH(capacityTbl[[#This Row],[Process]]&amp;capacityTbl[[#This Row],[Year]],ProductivityBaseline[Title]&amp;ProductivityBaseline[Year to use],0))</f>
        <v>14.326133909287257</v>
      </c>
      <c r="M116" s="32">
        <f>IFERROR(capacityTbl[[#This Row],[No. of Transaction]]/(capacityTbl[[#This Row],[Productivity Baseline (Transation/FTE/Day)]]*capacityTbl[[#This Row],[Weighted Working day]]),0)</f>
        <v>0</v>
      </c>
      <c r="N116" s="33">
        <f>IFERROR(capacityTbl[[#This Row],[No. of Transaction]]/capacityTbl[[#This Row],[Production Days]],0)</f>
        <v>14.473684210526315</v>
      </c>
    </row>
    <row r="117" spans="1:16" x14ac:dyDescent="0.25">
      <c r="A117" s="49">
        <v>2025</v>
      </c>
      <c r="B117" s="25" t="s">
        <v>33</v>
      </c>
      <c r="C117" s="26" t="s">
        <v>32</v>
      </c>
      <c r="D117" s="27"/>
      <c r="E117" s="28"/>
      <c r="F117" s="29" cm="1">
        <f t="array" ref="F1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7" s="30" cm="1">
        <f t="array" ref="G11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7" s="30" cm="1">
        <f t="array" ref="H117">INDEX(stdWorkingDays[],MATCH(capacityTbl[[#This Row],[Year]]&amp;capacityTbl[[#This Row],[Month]],stdWorkingDays[Year]&amp;stdWorkingDays[Month],0),MATCH("China",stdWorkingDays[#Headers],0))</f>
        <v>23</v>
      </c>
      <c r="I117" s="30" cm="1">
        <f t="array" ref="I117">INDEX(stdWorkingDays[],MATCH(capacityTbl[[#This Row],[Year]]&amp;capacityTbl[[#This Row],[Month]],stdWorkingDays[Year]&amp;stdWorkingDays[Month],0),MATCH("Philippine",stdWorkingDays[#Headers],0))</f>
        <v>22</v>
      </c>
      <c r="J11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7" s="31">
        <f>IFERROR(capacityTbl[[#This Row],[Production Days]]/capacityTbl[[#This Row],[Weighted Working day]],0)</f>
        <v>0</v>
      </c>
      <c r="L117" s="31" cm="1">
        <f t="array" ref="L117">INDEX(ProductivityBaseline[ProductivityBaseline],MATCH(capacityTbl[[#This Row],[Process]]&amp;capacityTbl[[#This Row],[Year]],ProductivityBaseline[Title]&amp;ProductivityBaseline[Year to use],0))</f>
        <v>14.326133909287257</v>
      </c>
      <c r="M117" s="32">
        <f>IFERROR(capacityTbl[[#This Row],[No. of Transaction]]/(capacityTbl[[#This Row],[Productivity Baseline (Transation/FTE/Day)]]*capacityTbl[[#This Row],[Weighted Working day]]),0)</f>
        <v>0</v>
      </c>
      <c r="N117" s="33">
        <f>IFERROR(capacityTbl[[#This Row],[No. of Transaction]]/capacityTbl[[#This Row],[Production Days]],0)</f>
        <v>0</v>
      </c>
    </row>
    <row r="118" spans="1:16" x14ac:dyDescent="0.25">
      <c r="A118" s="49">
        <v>2025</v>
      </c>
      <c r="B118" s="25" t="s">
        <v>25</v>
      </c>
      <c r="C118" s="26" t="s">
        <v>32</v>
      </c>
      <c r="D118" s="27"/>
      <c r="E118" s="28"/>
      <c r="F118" s="29" cm="1">
        <f t="array" ref="F1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8" s="30" cm="1">
        <f t="array" ref="G11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8" s="30" cm="1">
        <f t="array" ref="H118">INDEX(stdWorkingDays[],MATCH(capacityTbl[[#This Row],[Year]]&amp;capacityTbl[[#This Row],[Month]],stdWorkingDays[Year]&amp;stdWorkingDays[Month],0),MATCH("China",stdWorkingDays[#Headers],0))</f>
        <v>18</v>
      </c>
      <c r="I118" s="30" cm="1">
        <f t="array" ref="I118">INDEX(stdWorkingDays[],MATCH(capacityTbl[[#This Row],[Year]]&amp;capacityTbl[[#This Row],[Month]],stdWorkingDays[Year]&amp;stdWorkingDays[Month],0),MATCH("Philippine",stdWorkingDays[#Headers],0))</f>
        <v>22</v>
      </c>
      <c r="J11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8" s="31">
        <f>IFERROR(capacityTbl[[#This Row],[Production Days]]/capacityTbl[[#This Row],[Weighted Working day]],0)</f>
        <v>0</v>
      </c>
      <c r="L118" s="31" cm="1">
        <f t="array" ref="L118">INDEX(ProductivityBaseline[ProductivityBaseline],MATCH(capacityTbl[[#This Row],[Process]]&amp;capacityTbl[[#This Row],[Year]],ProductivityBaseline[Title]&amp;ProductivityBaseline[Year to use],0))</f>
        <v>14.326133909287257</v>
      </c>
      <c r="M118" s="32">
        <f>IFERROR(capacityTbl[[#This Row],[No. of Transaction]]/(capacityTbl[[#This Row],[Productivity Baseline (Transation/FTE/Day)]]*capacityTbl[[#This Row],[Weighted Working day]]),0)</f>
        <v>0</v>
      </c>
      <c r="N118" s="33">
        <f>IFERROR(capacityTbl[[#This Row],[No. of Transaction]]/capacityTbl[[#This Row],[Production Days]],0)</f>
        <v>0</v>
      </c>
    </row>
    <row r="119" spans="1:16" x14ac:dyDescent="0.25">
      <c r="A119" s="49">
        <v>2025</v>
      </c>
      <c r="B119" s="25" t="s">
        <v>26</v>
      </c>
      <c r="C119" s="26" t="s">
        <v>32</v>
      </c>
      <c r="D119" s="27"/>
      <c r="E119" s="28"/>
      <c r="F119" s="29" cm="1">
        <f t="array" ref="F1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19" s="30" cm="1">
        <f t="array" ref="G11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19" s="30" cm="1">
        <f t="array" ref="H119">INDEX(stdWorkingDays[],MATCH(capacityTbl[[#This Row],[Year]]&amp;capacityTbl[[#This Row],[Month]],stdWorkingDays[Year]&amp;stdWorkingDays[Month],0),MATCH("China",stdWorkingDays[#Headers],0))</f>
        <v>20</v>
      </c>
      <c r="I119" s="30" cm="1">
        <f t="array" ref="I119">INDEX(stdWorkingDays[],MATCH(capacityTbl[[#This Row],[Year]]&amp;capacityTbl[[#This Row],[Month]],stdWorkingDays[Year]&amp;stdWorkingDays[Month],0),MATCH("Philippine",stdWorkingDays[#Headers],0))</f>
        <v>20</v>
      </c>
      <c r="J11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19" s="31">
        <f>IFERROR(capacityTbl[[#This Row],[Production Days]]/capacityTbl[[#This Row],[Weighted Working day]],0)</f>
        <v>0</v>
      </c>
      <c r="L119" s="31" cm="1">
        <f t="array" ref="L119">INDEX(ProductivityBaseline[ProductivityBaseline],MATCH(capacityTbl[[#This Row],[Process]]&amp;capacityTbl[[#This Row],[Year]],ProductivityBaseline[Title]&amp;ProductivityBaseline[Year to use],0))</f>
        <v>14.326133909287257</v>
      </c>
      <c r="M119" s="32">
        <f>IFERROR(capacityTbl[[#This Row],[No. of Transaction]]/(capacityTbl[[#This Row],[Productivity Baseline (Transation/FTE/Day)]]*capacityTbl[[#This Row],[Weighted Working day]]),0)</f>
        <v>0</v>
      </c>
      <c r="N119" s="33">
        <f>IFERROR(capacityTbl[[#This Row],[No. of Transaction]]/capacityTbl[[#This Row],[Production Days]],0)</f>
        <v>0</v>
      </c>
    </row>
    <row r="120" spans="1:16" x14ac:dyDescent="0.25">
      <c r="A120" s="49">
        <v>2025</v>
      </c>
      <c r="B120" s="25" t="s">
        <v>27</v>
      </c>
      <c r="C120" s="26" t="s">
        <v>32</v>
      </c>
      <c r="D120" s="27"/>
      <c r="E120" s="28"/>
      <c r="F120" s="29" cm="1">
        <f t="array" ref="F1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0" s="30" cm="1">
        <f t="array" ref="G12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0" s="30" cm="1">
        <f t="array" ref="H120">INDEX(stdWorkingDays[],MATCH(capacityTbl[[#This Row],[Year]]&amp;capacityTbl[[#This Row],[Month]],stdWorkingDays[Year]&amp;stdWorkingDays[Month],0),MATCH("China",stdWorkingDays[#Headers],0))</f>
        <v>23</v>
      </c>
      <c r="I120" s="30" cm="1">
        <f t="array" ref="I120">INDEX(stdWorkingDays[],MATCH(capacityTbl[[#This Row],[Year]]&amp;capacityTbl[[#This Row],[Month]],stdWorkingDays[Year]&amp;stdWorkingDays[Month],0),MATCH("Philippine",stdWorkingDays[#Headers],0))</f>
        <v>18</v>
      </c>
      <c r="J12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0" s="31">
        <f>IFERROR(capacityTbl[[#This Row],[Production Days]]/capacityTbl[[#This Row],[Weighted Working day]],0)</f>
        <v>0</v>
      </c>
      <c r="L120" s="31" cm="1">
        <f t="array" ref="L120">INDEX(ProductivityBaseline[ProductivityBaseline],MATCH(capacityTbl[[#This Row],[Process]]&amp;capacityTbl[[#This Row],[Year]],ProductivityBaseline[Title]&amp;ProductivityBaseline[Year to use],0))</f>
        <v>14.326133909287257</v>
      </c>
      <c r="M120" s="32">
        <f>IFERROR(capacityTbl[[#This Row],[No. of Transaction]]/(capacityTbl[[#This Row],[Productivity Baseline (Transation/FTE/Day)]]*capacityTbl[[#This Row],[Weighted Working day]]),0)</f>
        <v>0</v>
      </c>
      <c r="N120" s="33">
        <f>IFERROR(capacityTbl[[#This Row],[No. of Transaction]]/capacityTbl[[#This Row],[Production Days]],0)</f>
        <v>0</v>
      </c>
    </row>
    <row r="121" spans="1:16" x14ac:dyDescent="0.25">
      <c r="A121" s="24">
        <v>2025</v>
      </c>
      <c r="B121" s="110" t="s">
        <v>14</v>
      </c>
      <c r="C121" s="111" t="s">
        <v>108</v>
      </c>
      <c r="D121" s="27"/>
      <c r="E121" s="28"/>
      <c r="F121" s="29" cm="1">
        <f t="array" ref="F1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1" s="30" cm="1">
        <f t="array" ref="G12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1" s="30" cm="1">
        <f t="array" ref="H121">INDEX(stdWorkingDays[],MATCH(capacityTbl[[#This Row],[Year]]&amp;capacityTbl[[#This Row],[Month]],stdWorkingDays[Year]&amp;stdWorkingDays[Month],0),MATCH("China",stdWorkingDays[#Headers],0))</f>
        <v>19</v>
      </c>
      <c r="I121" s="30" cm="1">
        <f t="array" ref="I121">INDEX(stdWorkingDays[],MATCH(capacityTbl[[#This Row],[Year]]&amp;capacityTbl[[#This Row],[Month]],stdWorkingDays[Year]&amp;stdWorkingDays[Month],0),MATCH("Philippine",stdWorkingDays[#Headers],0))</f>
        <v>21</v>
      </c>
      <c r="J12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1" s="35">
        <f>IFERROR(capacityTbl[[#This Row],[Production Days]]/capacityTbl[[#This Row],[Weighted Working day]],0)</f>
        <v>0</v>
      </c>
      <c r="L121" s="31" cm="1">
        <f t="array" ref="L121">INDEX(ProductivityBaseline[ProductivityBaseline],MATCH(capacityTbl[[#This Row],[Process]]&amp;capacityTbl[[#This Row],[Year]],ProductivityBaseline[Title]&amp;ProductivityBaseline[Year to use],0))</f>
        <v>7</v>
      </c>
      <c r="M121" s="32">
        <f>IFERROR(capacityTbl[[#This Row],[No. of Transaction]]/(capacityTbl[[#This Row],[Productivity Baseline (Transation/FTE/Day)]]*capacityTbl[[#This Row],[Weighted Working day]]),0)</f>
        <v>0</v>
      </c>
      <c r="N121" s="33">
        <f>IFERROR(capacityTbl[[#This Row],[No. of Transaction]]/capacityTbl[[#This Row],[Production Days]],0)</f>
        <v>0</v>
      </c>
    </row>
    <row r="122" spans="1:16" x14ac:dyDescent="0.25">
      <c r="A122" s="24">
        <v>2025</v>
      </c>
      <c r="B122" s="110" t="s">
        <v>17</v>
      </c>
      <c r="C122" s="111" t="s">
        <v>108</v>
      </c>
      <c r="D122" s="27"/>
      <c r="E122" s="28"/>
      <c r="F122" s="29" cm="1">
        <f t="array" ref="F1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2" s="30" cm="1">
        <f t="array" ref="G12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2" s="30" cm="1">
        <f t="array" ref="H122">INDEX(stdWorkingDays[],MATCH(capacityTbl[[#This Row],[Year]]&amp;capacityTbl[[#This Row],[Month]],stdWorkingDays[Year]&amp;stdWorkingDays[Month],0),MATCH("China",stdWorkingDays[#Headers],0))</f>
        <v>19</v>
      </c>
      <c r="I122" s="30" cm="1">
        <f t="array" ref="I122">INDEX(stdWorkingDays[],MATCH(capacityTbl[[#This Row],[Year]]&amp;capacityTbl[[#This Row],[Month]],stdWorkingDays[Year]&amp;stdWorkingDays[Month],0),MATCH("Philippine",stdWorkingDays[#Headers],0))</f>
        <v>20</v>
      </c>
      <c r="J12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2" s="35">
        <f>IFERROR(capacityTbl[[#This Row],[Production Days]]/capacityTbl[[#This Row],[Weighted Working day]],0)</f>
        <v>0</v>
      </c>
      <c r="L122" s="31" cm="1">
        <f t="array" ref="L122">INDEX(ProductivityBaseline[ProductivityBaseline],MATCH(capacityTbl[[#This Row],[Process]]&amp;capacityTbl[[#This Row],[Year]],ProductivityBaseline[Title]&amp;ProductivityBaseline[Year to use],0))</f>
        <v>7</v>
      </c>
      <c r="M122" s="32">
        <f>IFERROR(capacityTbl[[#This Row],[No. of Transaction]]/(capacityTbl[[#This Row],[Productivity Baseline (Transation/FTE/Day)]]*capacityTbl[[#This Row],[Weighted Working day]]),0)</f>
        <v>0</v>
      </c>
      <c r="N122" s="33">
        <f>IFERROR(capacityTbl[[#This Row],[No. of Transaction]]/capacityTbl[[#This Row],[Production Days]],0)</f>
        <v>0</v>
      </c>
    </row>
    <row r="123" spans="1:16" x14ac:dyDescent="0.25">
      <c r="A123" s="24">
        <v>2025</v>
      </c>
      <c r="B123" s="110" t="s">
        <v>18</v>
      </c>
      <c r="C123" s="111" t="s">
        <v>108</v>
      </c>
      <c r="D123" s="27"/>
      <c r="E123" s="28"/>
      <c r="F123" s="29" cm="1">
        <f t="array" ref="F1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3" s="30" cm="1">
        <f t="array" ref="G12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3" s="30" cm="1">
        <f t="array" ref="H123">INDEX(stdWorkingDays[],MATCH(capacityTbl[[#This Row],[Year]]&amp;capacityTbl[[#This Row],[Month]],stdWorkingDays[Year]&amp;stdWorkingDays[Month],0),MATCH("China",stdWorkingDays[#Headers],0))</f>
        <v>21</v>
      </c>
      <c r="I123" s="30" cm="1">
        <f t="array" ref="I123">INDEX(stdWorkingDays[],MATCH(capacityTbl[[#This Row],[Year]]&amp;capacityTbl[[#This Row],[Month]],stdWorkingDays[Year]&amp;stdWorkingDays[Month],0),MATCH("Philippine",stdWorkingDays[#Headers],0))</f>
        <v>21</v>
      </c>
      <c r="J12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3" s="35">
        <f>IFERROR(capacityTbl[[#This Row],[Production Days]]/capacityTbl[[#This Row],[Weighted Working day]],0)</f>
        <v>0</v>
      </c>
      <c r="L123" s="31" cm="1">
        <f t="array" ref="L123">INDEX(ProductivityBaseline[ProductivityBaseline],MATCH(capacityTbl[[#This Row],[Process]]&amp;capacityTbl[[#This Row],[Year]],ProductivityBaseline[Title]&amp;ProductivityBaseline[Year to use],0))</f>
        <v>7</v>
      </c>
      <c r="M123" s="32">
        <f>IFERROR(capacityTbl[[#This Row],[No. of Transaction]]/(capacityTbl[[#This Row],[Productivity Baseline (Transation/FTE/Day)]]*capacityTbl[[#This Row],[Weighted Working day]]),0)</f>
        <v>0</v>
      </c>
      <c r="N123" s="33">
        <f>IFERROR(capacityTbl[[#This Row],[No. of Transaction]]/capacityTbl[[#This Row],[Production Days]],0)</f>
        <v>0</v>
      </c>
    </row>
    <row r="124" spans="1:16" x14ac:dyDescent="0.25">
      <c r="A124" s="24">
        <v>2025</v>
      </c>
      <c r="B124" s="110" t="s">
        <v>19</v>
      </c>
      <c r="C124" s="111" t="s">
        <v>108</v>
      </c>
      <c r="D124" s="27"/>
      <c r="E124" s="28"/>
      <c r="F124" s="29" cm="1">
        <f t="array" ref="F1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4" s="30" cm="1">
        <f t="array" ref="G12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4" s="30" cm="1">
        <f t="array" ref="H124">INDEX(stdWorkingDays[],MATCH(capacityTbl[[#This Row],[Year]]&amp;capacityTbl[[#This Row],[Month]],stdWorkingDays[Year]&amp;stdWorkingDays[Month],0),MATCH("China",stdWorkingDays[#Headers],0))</f>
        <v>22</v>
      </c>
      <c r="I124" s="30" cm="1">
        <f t="array" ref="I124">INDEX(stdWorkingDays[],MATCH(capacityTbl[[#This Row],[Year]]&amp;capacityTbl[[#This Row],[Month]],stdWorkingDays[Year]&amp;stdWorkingDays[Month],0),MATCH("Philippine",stdWorkingDays[#Headers],0))</f>
        <v>19</v>
      </c>
      <c r="J12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4" s="35">
        <f>IFERROR(capacityTbl[[#This Row],[Production Days]]/capacityTbl[[#This Row],[Weighted Working day]],0)</f>
        <v>0</v>
      </c>
      <c r="L124" s="31" cm="1">
        <f t="array" ref="L124">INDEX(ProductivityBaseline[ProductivityBaseline],MATCH(capacityTbl[[#This Row],[Process]]&amp;capacityTbl[[#This Row],[Year]],ProductivityBaseline[Title]&amp;ProductivityBaseline[Year to use],0))</f>
        <v>7</v>
      </c>
      <c r="M124" s="32">
        <f>IFERROR(capacityTbl[[#This Row],[No. of Transaction]]/(capacityTbl[[#This Row],[Productivity Baseline (Transation/FTE/Day)]]*capacityTbl[[#This Row],[Weighted Working day]]),0)</f>
        <v>0</v>
      </c>
      <c r="N124" s="33">
        <f>IFERROR(capacityTbl[[#This Row],[No. of Transaction]]/capacityTbl[[#This Row],[Production Days]],0)</f>
        <v>0</v>
      </c>
    </row>
    <row r="125" spans="1:16" x14ac:dyDescent="0.25">
      <c r="A125" s="24">
        <v>2025</v>
      </c>
      <c r="B125" s="110" t="s">
        <v>20</v>
      </c>
      <c r="C125" s="111" t="s">
        <v>108</v>
      </c>
      <c r="D125" s="27"/>
      <c r="E125" s="28"/>
      <c r="F125" s="29" cm="1">
        <f t="array" ref="F1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5" s="30" cm="1">
        <f t="array" ref="G12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5" s="30" cm="1">
        <f t="array" ref="H125">INDEX(stdWorkingDays[],MATCH(capacityTbl[[#This Row],[Year]]&amp;capacityTbl[[#This Row],[Month]],stdWorkingDays[Year]&amp;stdWorkingDays[Month],0),MATCH("China",stdWorkingDays[#Headers],0))</f>
        <v>19</v>
      </c>
      <c r="I125" s="30" cm="1">
        <f t="array" ref="I125">INDEX(stdWorkingDays[],MATCH(capacityTbl[[#This Row],[Year]]&amp;capacityTbl[[#This Row],[Month]],stdWorkingDays[Year]&amp;stdWorkingDays[Month],0),MATCH("Philippine",stdWorkingDays[#Headers],0))</f>
        <v>21</v>
      </c>
      <c r="J12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5" s="35">
        <f>IFERROR(capacityTbl[[#This Row],[Production Days]]/capacityTbl[[#This Row],[Weighted Working day]],0)</f>
        <v>0</v>
      </c>
      <c r="L125" s="31" cm="1">
        <f t="array" ref="L125">INDEX(ProductivityBaseline[ProductivityBaseline],MATCH(capacityTbl[[#This Row],[Process]]&amp;capacityTbl[[#This Row],[Year]],ProductivityBaseline[Title]&amp;ProductivityBaseline[Year to use],0))</f>
        <v>7</v>
      </c>
      <c r="M125" s="32">
        <f>IFERROR(capacityTbl[[#This Row],[No. of Transaction]]/(capacityTbl[[#This Row],[Productivity Baseline (Transation/FTE/Day)]]*capacityTbl[[#This Row],[Weighted Working day]]),0)</f>
        <v>0</v>
      </c>
      <c r="N125" s="33">
        <f>IFERROR(capacityTbl[[#This Row],[No. of Transaction]]/capacityTbl[[#This Row],[Production Days]],0)</f>
        <v>0</v>
      </c>
      <c r="P125" s="15" t="s">
        <v>344</v>
      </c>
    </row>
    <row r="126" spans="1:16" x14ac:dyDescent="0.25">
      <c r="A126" s="24">
        <v>2025</v>
      </c>
      <c r="B126" s="110" t="s">
        <v>21</v>
      </c>
      <c r="C126" s="111" t="s">
        <v>108</v>
      </c>
      <c r="D126" s="27"/>
      <c r="E126" s="28"/>
      <c r="F126" s="29" cm="1">
        <f t="array" ref="F1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6" s="30" cm="1">
        <f t="array" ref="G12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6" s="30" cm="1">
        <f t="array" ref="H126">INDEX(stdWorkingDays[],MATCH(capacityTbl[[#This Row],[Year]]&amp;capacityTbl[[#This Row],[Month]],stdWorkingDays[Year]&amp;stdWorkingDays[Month],0),MATCH("China",stdWorkingDays[#Headers],0))</f>
        <v>20</v>
      </c>
      <c r="I126" s="30" cm="1">
        <f t="array" ref="I126">INDEX(stdWorkingDays[],MATCH(capacityTbl[[#This Row],[Year]]&amp;capacityTbl[[#This Row],[Month]],stdWorkingDays[Year]&amp;stdWorkingDays[Month],0),MATCH("Philippine",stdWorkingDays[#Headers],0))</f>
        <v>19</v>
      </c>
      <c r="J12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6" s="35">
        <f>IFERROR(capacityTbl[[#This Row],[Production Days]]/capacityTbl[[#This Row],[Weighted Working day]],0)</f>
        <v>0</v>
      </c>
      <c r="L126" s="31" cm="1">
        <f t="array" ref="L126">INDEX(ProductivityBaseline[ProductivityBaseline],MATCH(capacityTbl[[#This Row],[Process]]&amp;capacityTbl[[#This Row],[Year]],ProductivityBaseline[Title]&amp;ProductivityBaseline[Year to use],0))</f>
        <v>7</v>
      </c>
      <c r="M126" s="32">
        <f>IFERROR(capacityTbl[[#This Row],[No. of Transaction]]/(capacityTbl[[#This Row],[Productivity Baseline (Transation/FTE/Day)]]*capacityTbl[[#This Row],[Weighted Working day]]),0)</f>
        <v>0</v>
      </c>
      <c r="N126" s="33">
        <f>IFERROR(capacityTbl[[#This Row],[No. of Transaction]]/capacityTbl[[#This Row],[Production Days]],0)</f>
        <v>0</v>
      </c>
    </row>
    <row r="127" spans="1:16" x14ac:dyDescent="0.25">
      <c r="A127" s="24">
        <v>2025</v>
      </c>
      <c r="B127" s="110" t="s">
        <v>22</v>
      </c>
      <c r="C127" s="111" t="s">
        <v>108</v>
      </c>
      <c r="D127" s="27"/>
      <c r="E127" s="28"/>
      <c r="F127" s="29" cm="1">
        <f t="array" ref="F1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7" s="30" cm="1">
        <f t="array" ref="G12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7" s="30" cm="1">
        <f t="array" ref="H127">INDEX(stdWorkingDays[],MATCH(capacityTbl[[#This Row],[Year]]&amp;capacityTbl[[#This Row],[Month]],stdWorkingDays[Year]&amp;stdWorkingDays[Month],0),MATCH("China",stdWorkingDays[#Headers],0))</f>
        <v>23</v>
      </c>
      <c r="I127" s="30" cm="1">
        <f t="array" ref="I127">INDEX(stdWorkingDays[],MATCH(capacityTbl[[#This Row],[Year]]&amp;capacityTbl[[#This Row],[Month]],stdWorkingDays[Year]&amp;stdWorkingDays[Month],0),MATCH("Philippine",stdWorkingDays[#Headers],0))</f>
        <v>23</v>
      </c>
      <c r="J12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7" s="35">
        <f>IFERROR(capacityTbl[[#This Row],[Production Days]]/capacityTbl[[#This Row],[Weighted Working day]],0)</f>
        <v>0</v>
      </c>
      <c r="L127" s="31" cm="1">
        <f t="array" ref="L127">INDEX(ProductivityBaseline[ProductivityBaseline],MATCH(capacityTbl[[#This Row],[Process]]&amp;capacityTbl[[#This Row],[Year]],ProductivityBaseline[Title]&amp;ProductivityBaseline[Year to use],0))</f>
        <v>7</v>
      </c>
      <c r="M127" s="32">
        <f>IFERROR(capacityTbl[[#This Row],[No. of Transaction]]/(capacityTbl[[#This Row],[Productivity Baseline (Transation/FTE/Day)]]*capacityTbl[[#This Row],[Weighted Working day]]),0)</f>
        <v>0</v>
      </c>
      <c r="N127" s="33">
        <f>IFERROR(capacityTbl[[#This Row],[No. of Transaction]]/capacityTbl[[#This Row],[Production Days]],0)</f>
        <v>0</v>
      </c>
    </row>
    <row r="128" spans="1:16" x14ac:dyDescent="0.25">
      <c r="A128" s="24">
        <v>2025</v>
      </c>
      <c r="B128" s="110" t="s">
        <v>46</v>
      </c>
      <c r="C128" s="111" t="s">
        <v>108</v>
      </c>
      <c r="D128" s="27"/>
      <c r="E128" s="28"/>
      <c r="F128" s="29" cm="1">
        <f t="array" ref="F1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8" s="30" cm="1">
        <f t="array" ref="G12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8" s="30" cm="1">
        <f t="array" ref="H128">INDEX(stdWorkingDays[],MATCH(capacityTbl[[#This Row],[Year]]&amp;capacityTbl[[#This Row],[Month]],stdWorkingDays[Year]&amp;stdWorkingDays[Month],0),MATCH("China",stdWorkingDays[#Headers],0))</f>
        <v>21</v>
      </c>
      <c r="I128" s="30" cm="1">
        <f t="array" ref="I128">INDEX(stdWorkingDays[],MATCH(capacityTbl[[#This Row],[Year]]&amp;capacityTbl[[#This Row],[Month]],stdWorkingDays[Year]&amp;stdWorkingDays[Month],0),MATCH("Philippine",stdWorkingDays[#Headers],0))</f>
        <v>19</v>
      </c>
      <c r="J12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8" s="35">
        <f>IFERROR(capacityTbl[[#This Row],[Production Days]]/capacityTbl[[#This Row],[Weighted Working day]],0)</f>
        <v>0</v>
      </c>
      <c r="L128" s="31" cm="1">
        <f t="array" ref="L128">INDEX(ProductivityBaseline[ProductivityBaseline],MATCH(capacityTbl[[#This Row],[Process]]&amp;capacityTbl[[#This Row],[Year]],ProductivityBaseline[Title]&amp;ProductivityBaseline[Year to use],0))</f>
        <v>7</v>
      </c>
      <c r="M128" s="32">
        <f>IFERROR(capacityTbl[[#This Row],[No. of Transaction]]/(capacityTbl[[#This Row],[Productivity Baseline (Transation/FTE/Day)]]*capacityTbl[[#This Row],[Weighted Working day]]),0)</f>
        <v>0</v>
      </c>
      <c r="N128" s="33">
        <f>IFERROR(capacityTbl[[#This Row],[No. of Transaction]]/capacityTbl[[#This Row],[Production Days]],0)</f>
        <v>0</v>
      </c>
    </row>
    <row r="129" spans="1:14" x14ac:dyDescent="0.25">
      <c r="A129" s="24">
        <v>2025</v>
      </c>
      <c r="B129" s="110" t="s">
        <v>33</v>
      </c>
      <c r="C129" s="111" t="s">
        <v>108</v>
      </c>
      <c r="D129" s="27"/>
      <c r="E129" s="28"/>
      <c r="F129" s="29" cm="1">
        <f t="array" ref="F1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29" s="30" cm="1">
        <f t="array" ref="G1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29" s="30" cm="1">
        <f t="array" ref="H129">INDEX(stdWorkingDays[],MATCH(capacityTbl[[#This Row],[Year]]&amp;capacityTbl[[#This Row],[Month]],stdWorkingDays[Year]&amp;stdWorkingDays[Month],0),MATCH("China",stdWorkingDays[#Headers],0))</f>
        <v>23</v>
      </c>
      <c r="I129" s="30" cm="1">
        <f t="array" ref="I129">INDEX(stdWorkingDays[],MATCH(capacityTbl[[#This Row],[Year]]&amp;capacityTbl[[#This Row],[Month]],stdWorkingDays[Year]&amp;stdWorkingDays[Month],0),MATCH("Philippine",stdWorkingDays[#Headers],0))</f>
        <v>22</v>
      </c>
      <c r="J1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29" s="35">
        <f>IFERROR(capacityTbl[[#This Row],[Production Days]]/capacityTbl[[#This Row],[Weighted Working day]],0)</f>
        <v>0</v>
      </c>
      <c r="L129" s="31" cm="1">
        <f t="array" ref="L129">INDEX(ProductivityBaseline[ProductivityBaseline],MATCH(capacityTbl[[#This Row],[Process]]&amp;capacityTbl[[#This Row],[Year]],ProductivityBaseline[Title]&amp;ProductivityBaseline[Year to use],0))</f>
        <v>7</v>
      </c>
      <c r="M129" s="32">
        <f>IFERROR(capacityTbl[[#This Row],[No. of Transaction]]/(capacityTbl[[#This Row],[Productivity Baseline (Transation/FTE/Day)]]*capacityTbl[[#This Row],[Weighted Working day]]),0)</f>
        <v>0</v>
      </c>
      <c r="N129" s="33">
        <f>IFERROR(capacityTbl[[#This Row],[No. of Transaction]]/capacityTbl[[#This Row],[Production Days]],0)</f>
        <v>0</v>
      </c>
    </row>
    <row r="130" spans="1:14" x14ac:dyDescent="0.25">
      <c r="A130" s="24">
        <v>2025</v>
      </c>
      <c r="B130" s="110" t="s">
        <v>25</v>
      </c>
      <c r="C130" s="111" t="s">
        <v>108</v>
      </c>
      <c r="D130" s="27"/>
      <c r="E130" s="28"/>
      <c r="F130" s="29" cm="1">
        <f t="array" ref="F1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0" s="30" cm="1">
        <f t="array" ref="G1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0" s="30" cm="1">
        <f t="array" ref="H130">INDEX(stdWorkingDays[],MATCH(capacityTbl[[#This Row],[Year]]&amp;capacityTbl[[#This Row],[Month]],stdWorkingDays[Year]&amp;stdWorkingDays[Month],0),MATCH("China",stdWorkingDays[#Headers],0))</f>
        <v>18</v>
      </c>
      <c r="I130" s="30" cm="1">
        <f t="array" ref="I130">INDEX(stdWorkingDays[],MATCH(capacityTbl[[#This Row],[Year]]&amp;capacityTbl[[#This Row],[Month]],stdWorkingDays[Year]&amp;stdWorkingDays[Month],0),MATCH("Philippine",stdWorkingDays[#Headers],0))</f>
        <v>22</v>
      </c>
      <c r="J1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0" s="35">
        <f>IFERROR(capacityTbl[[#This Row],[Production Days]]/capacityTbl[[#This Row],[Weighted Working day]],0)</f>
        <v>0</v>
      </c>
      <c r="L130" s="31" cm="1">
        <f t="array" ref="L130">INDEX(ProductivityBaseline[ProductivityBaseline],MATCH(capacityTbl[[#This Row],[Process]]&amp;capacityTbl[[#This Row],[Year]],ProductivityBaseline[Title]&amp;ProductivityBaseline[Year to use],0))</f>
        <v>7</v>
      </c>
      <c r="M130" s="32">
        <f>IFERROR(capacityTbl[[#This Row],[No. of Transaction]]/(capacityTbl[[#This Row],[Productivity Baseline (Transation/FTE/Day)]]*capacityTbl[[#This Row],[Weighted Working day]]),0)</f>
        <v>0</v>
      </c>
      <c r="N130" s="33">
        <f>IFERROR(capacityTbl[[#This Row],[No. of Transaction]]/capacityTbl[[#This Row],[Production Days]],0)</f>
        <v>0</v>
      </c>
    </row>
    <row r="131" spans="1:14" x14ac:dyDescent="0.25">
      <c r="A131" s="24">
        <v>2025</v>
      </c>
      <c r="B131" s="110" t="s">
        <v>26</v>
      </c>
      <c r="C131" s="111" t="s">
        <v>108</v>
      </c>
      <c r="D131" s="27"/>
      <c r="E131" s="28"/>
      <c r="F131" s="29" cm="1">
        <f t="array" ref="F1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1" s="30" cm="1">
        <f t="array" ref="G1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1" s="30" cm="1">
        <f t="array" ref="H131">INDEX(stdWorkingDays[],MATCH(capacityTbl[[#This Row],[Year]]&amp;capacityTbl[[#This Row],[Month]],stdWorkingDays[Year]&amp;stdWorkingDays[Month],0),MATCH("China",stdWorkingDays[#Headers],0))</f>
        <v>20</v>
      </c>
      <c r="I131" s="30" cm="1">
        <f t="array" ref="I131">INDEX(stdWorkingDays[],MATCH(capacityTbl[[#This Row],[Year]]&amp;capacityTbl[[#This Row],[Month]],stdWorkingDays[Year]&amp;stdWorkingDays[Month],0),MATCH("Philippine",stdWorkingDays[#Headers],0))</f>
        <v>20</v>
      </c>
      <c r="J1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1" s="35">
        <f>IFERROR(capacityTbl[[#This Row],[Production Days]]/capacityTbl[[#This Row],[Weighted Working day]],0)</f>
        <v>0</v>
      </c>
      <c r="L131" s="31" cm="1">
        <f t="array" ref="L131">INDEX(ProductivityBaseline[ProductivityBaseline],MATCH(capacityTbl[[#This Row],[Process]]&amp;capacityTbl[[#This Row],[Year]],ProductivityBaseline[Title]&amp;ProductivityBaseline[Year to use],0))</f>
        <v>7</v>
      </c>
      <c r="M131" s="32">
        <f>IFERROR(capacityTbl[[#This Row],[No. of Transaction]]/(capacityTbl[[#This Row],[Productivity Baseline (Transation/FTE/Day)]]*capacityTbl[[#This Row],[Weighted Working day]]),0)</f>
        <v>0</v>
      </c>
      <c r="N131" s="33">
        <f>IFERROR(capacityTbl[[#This Row],[No. of Transaction]]/capacityTbl[[#This Row],[Production Days]],0)</f>
        <v>0</v>
      </c>
    </row>
    <row r="132" spans="1:14" x14ac:dyDescent="0.25">
      <c r="A132" s="24">
        <v>2025</v>
      </c>
      <c r="B132" s="110" t="s">
        <v>27</v>
      </c>
      <c r="C132" s="111" t="s">
        <v>108</v>
      </c>
      <c r="D132" s="27"/>
      <c r="E132" s="28"/>
      <c r="F132" s="29" cm="1">
        <f t="array" ref="F1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2" s="30" cm="1">
        <f t="array" ref="G1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2" s="30" cm="1">
        <f t="array" ref="H132">INDEX(stdWorkingDays[],MATCH(capacityTbl[[#This Row],[Year]]&amp;capacityTbl[[#This Row],[Month]],stdWorkingDays[Year]&amp;stdWorkingDays[Month],0),MATCH("China",stdWorkingDays[#Headers],0))</f>
        <v>23</v>
      </c>
      <c r="I132" s="30" cm="1">
        <f t="array" ref="I132">INDEX(stdWorkingDays[],MATCH(capacityTbl[[#This Row],[Year]]&amp;capacityTbl[[#This Row],[Month]],stdWorkingDays[Year]&amp;stdWorkingDays[Month],0),MATCH("Philippine",stdWorkingDays[#Headers],0))</f>
        <v>18</v>
      </c>
      <c r="J1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2" s="35">
        <f>IFERROR(capacityTbl[[#This Row],[Production Days]]/capacityTbl[[#This Row],[Weighted Working day]],0)</f>
        <v>0</v>
      </c>
      <c r="L132" s="31" cm="1">
        <f t="array" ref="L132">INDEX(ProductivityBaseline[ProductivityBaseline],MATCH(capacityTbl[[#This Row],[Process]]&amp;capacityTbl[[#This Row],[Year]],ProductivityBaseline[Title]&amp;ProductivityBaseline[Year to use],0))</f>
        <v>7</v>
      </c>
      <c r="M132" s="32">
        <f>IFERROR(capacityTbl[[#This Row],[No. of Transaction]]/(capacityTbl[[#This Row],[Productivity Baseline (Transation/FTE/Day)]]*capacityTbl[[#This Row],[Weighted Working day]]),0)</f>
        <v>0</v>
      </c>
      <c r="N132" s="33">
        <f>IFERROR(capacityTbl[[#This Row],[No. of Transaction]]/capacityTbl[[#This Row],[Production Days]],0)</f>
        <v>0</v>
      </c>
    </row>
    <row r="133" spans="1:14" x14ac:dyDescent="0.25">
      <c r="A133" s="49">
        <v>2025</v>
      </c>
      <c r="B133" s="25" t="s">
        <v>14</v>
      </c>
      <c r="C133" s="26" t="s">
        <v>35</v>
      </c>
      <c r="D133" s="27">
        <v>1180</v>
      </c>
      <c r="E133" s="28">
        <v>76.5</v>
      </c>
      <c r="F133" s="29" cm="1">
        <f t="array" ref="F1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3" s="30" cm="1">
        <f t="array" ref="G1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3" s="30" cm="1">
        <f t="array" ref="H133">INDEX(stdWorkingDays[],MATCH(capacityTbl[[#This Row],[Year]]&amp;capacityTbl[[#This Row],[Month]],stdWorkingDays[Year]&amp;stdWorkingDays[Month],0),MATCH("China",stdWorkingDays[#Headers],0))</f>
        <v>19</v>
      </c>
      <c r="I133" s="30" cm="1">
        <f t="array" ref="I133">INDEX(stdWorkingDays[],MATCH(capacityTbl[[#This Row],[Year]]&amp;capacityTbl[[#This Row],[Month]],stdWorkingDays[Year]&amp;stdWorkingDays[Month],0),MATCH("Philippine",stdWorkingDays[#Headers],0))</f>
        <v>21</v>
      </c>
      <c r="J1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3" s="31">
        <f>IFERROR(capacityTbl[[#This Row],[Production Days]]/capacityTbl[[#This Row],[Weighted Working day]],0)</f>
        <v>0</v>
      </c>
      <c r="L133" s="31" cm="1">
        <f t="array" ref="L133">INDEX(ProductivityBaseline[ProductivityBaseline],MATCH(capacityTbl[[#This Row],[Process]]&amp;capacityTbl[[#This Row],[Year]],ProductivityBaseline[Title]&amp;ProductivityBaseline[Year to use],0))</f>
        <v>17.269677419354839</v>
      </c>
      <c r="M133" s="32">
        <f>IFERROR(capacityTbl[[#This Row],[No. of Transaction]]/(capacityTbl[[#This Row],[Productivity Baseline (Transation/FTE/Day)]]*capacityTbl[[#This Row],[Weighted Working day]]),0)</f>
        <v>0</v>
      </c>
      <c r="N133" s="33">
        <f>IFERROR(capacityTbl[[#This Row],[No. of Transaction]]/capacityTbl[[#This Row],[Production Days]],0)</f>
        <v>15.42483660130719</v>
      </c>
    </row>
    <row r="134" spans="1:14" x14ac:dyDescent="0.25">
      <c r="A134" s="49">
        <v>2025</v>
      </c>
      <c r="B134" s="25" t="s">
        <v>17</v>
      </c>
      <c r="C134" s="26" t="s">
        <v>35</v>
      </c>
      <c r="D134" s="27">
        <v>1095</v>
      </c>
      <c r="E134" s="28">
        <v>96</v>
      </c>
      <c r="F134" s="29" cm="1">
        <f t="array" ref="F1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4" s="30" cm="1">
        <f t="array" ref="G1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4" s="30" cm="1">
        <f t="array" ref="H134">INDEX(stdWorkingDays[],MATCH(capacityTbl[[#This Row],[Year]]&amp;capacityTbl[[#This Row],[Month]],stdWorkingDays[Year]&amp;stdWorkingDays[Month],0),MATCH("China",stdWorkingDays[#Headers],0))</f>
        <v>19</v>
      </c>
      <c r="I134" s="30" cm="1">
        <f t="array" ref="I134">INDEX(stdWorkingDays[],MATCH(capacityTbl[[#This Row],[Year]]&amp;capacityTbl[[#This Row],[Month]],stdWorkingDays[Year]&amp;stdWorkingDays[Month],0),MATCH("Philippine",stdWorkingDays[#Headers],0))</f>
        <v>20</v>
      </c>
      <c r="J1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4" s="31">
        <f>IFERROR(capacityTbl[[#This Row],[Production Days]]/capacityTbl[[#This Row],[Weighted Working day]],0)</f>
        <v>0</v>
      </c>
      <c r="L134" s="31" cm="1">
        <f t="array" ref="L134">INDEX(ProductivityBaseline[ProductivityBaseline],MATCH(capacityTbl[[#This Row],[Process]]&amp;capacityTbl[[#This Row],[Year]],ProductivityBaseline[Title]&amp;ProductivityBaseline[Year to use],0))</f>
        <v>17.269677419354839</v>
      </c>
      <c r="M134" s="32">
        <f>IFERROR(capacityTbl[[#This Row],[No. of Transaction]]/(capacityTbl[[#This Row],[Productivity Baseline (Transation/FTE/Day)]]*capacityTbl[[#This Row],[Weighted Working day]]),0)</f>
        <v>0</v>
      </c>
      <c r="N134" s="33">
        <f>IFERROR(capacityTbl[[#This Row],[No. of Transaction]]/capacityTbl[[#This Row],[Production Days]],0)</f>
        <v>11.40625</v>
      </c>
    </row>
    <row r="135" spans="1:14" x14ac:dyDescent="0.25">
      <c r="A135" s="49">
        <v>2025</v>
      </c>
      <c r="B135" s="25" t="s">
        <v>18</v>
      </c>
      <c r="C135" s="26" t="s">
        <v>35</v>
      </c>
      <c r="D135" s="27">
        <f>141+322+433+243+125</f>
        <v>1264</v>
      </c>
      <c r="E135" s="28">
        <v>98</v>
      </c>
      <c r="F135" s="29" cm="1">
        <f t="array" ref="F1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5" s="30" cm="1">
        <f t="array" ref="G1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5" s="30" cm="1">
        <f t="array" ref="H135">INDEX(stdWorkingDays[],MATCH(capacityTbl[[#This Row],[Year]]&amp;capacityTbl[[#This Row],[Month]],stdWorkingDays[Year]&amp;stdWorkingDays[Month],0),MATCH("China",stdWorkingDays[#Headers],0))</f>
        <v>21</v>
      </c>
      <c r="I135" s="30" cm="1">
        <f t="array" ref="I135">INDEX(stdWorkingDays[],MATCH(capacityTbl[[#This Row],[Year]]&amp;capacityTbl[[#This Row],[Month]],stdWorkingDays[Year]&amp;stdWorkingDays[Month],0),MATCH("Philippine",stdWorkingDays[#Headers],0))</f>
        <v>21</v>
      </c>
      <c r="J1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5" s="31">
        <f>IFERROR(capacityTbl[[#This Row],[Production Days]]/capacityTbl[[#This Row],[Weighted Working day]],0)</f>
        <v>0</v>
      </c>
      <c r="L135" s="31" cm="1">
        <f t="array" ref="L135">INDEX(ProductivityBaseline[ProductivityBaseline],MATCH(capacityTbl[[#This Row],[Process]]&amp;capacityTbl[[#This Row],[Year]],ProductivityBaseline[Title]&amp;ProductivityBaseline[Year to use],0))</f>
        <v>17.269677419354839</v>
      </c>
      <c r="M135" s="32">
        <f>IFERROR(capacityTbl[[#This Row],[No. of Transaction]]/(capacityTbl[[#This Row],[Productivity Baseline (Transation/FTE/Day)]]*capacityTbl[[#This Row],[Weighted Working day]]),0)</f>
        <v>0</v>
      </c>
      <c r="N135" s="33">
        <f>IFERROR(capacityTbl[[#This Row],[No. of Transaction]]/capacityTbl[[#This Row],[Production Days]],0)</f>
        <v>12.897959183673469</v>
      </c>
    </row>
    <row r="136" spans="1:14" x14ac:dyDescent="0.25">
      <c r="A136" s="49">
        <v>2025</v>
      </c>
      <c r="B136" s="25" t="s">
        <v>19</v>
      </c>
      <c r="C136" s="26" t="s">
        <v>35</v>
      </c>
      <c r="D136" s="27">
        <f>182+325+380+191+123</f>
        <v>1201</v>
      </c>
      <c r="E136" s="28">
        <v>89</v>
      </c>
      <c r="F136" s="29" cm="1">
        <f t="array" ref="F1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6" s="30" cm="1">
        <f t="array" ref="G1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6" s="30" cm="1">
        <f t="array" ref="H136">INDEX(stdWorkingDays[],MATCH(capacityTbl[[#This Row],[Year]]&amp;capacityTbl[[#This Row],[Month]],stdWorkingDays[Year]&amp;stdWorkingDays[Month],0),MATCH("China",stdWorkingDays[#Headers],0))</f>
        <v>22</v>
      </c>
      <c r="I136" s="30" cm="1">
        <f t="array" ref="I136">INDEX(stdWorkingDays[],MATCH(capacityTbl[[#This Row],[Year]]&amp;capacityTbl[[#This Row],[Month]],stdWorkingDays[Year]&amp;stdWorkingDays[Month],0),MATCH("Philippine",stdWorkingDays[#Headers],0))</f>
        <v>19</v>
      </c>
      <c r="J13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6" s="31">
        <f>IFERROR(capacityTbl[[#This Row],[Production Days]]/capacityTbl[[#This Row],[Weighted Working day]],0)</f>
        <v>0</v>
      </c>
      <c r="L136" s="31" cm="1">
        <f t="array" ref="L136">INDEX(ProductivityBaseline[ProductivityBaseline],MATCH(capacityTbl[[#This Row],[Process]]&amp;capacityTbl[[#This Row],[Year]],ProductivityBaseline[Title]&amp;ProductivityBaseline[Year to use],0))</f>
        <v>17.269677419354839</v>
      </c>
      <c r="M136" s="32">
        <f>IFERROR(capacityTbl[[#This Row],[No. of Transaction]]/(capacityTbl[[#This Row],[Productivity Baseline (Transation/FTE/Day)]]*capacityTbl[[#This Row],[Weighted Working day]]),0)</f>
        <v>0</v>
      </c>
      <c r="N136" s="33">
        <f>IFERROR(capacityTbl[[#This Row],[No. of Transaction]]/capacityTbl[[#This Row],[Production Days]],0)</f>
        <v>13.49438202247191</v>
      </c>
    </row>
    <row r="137" spans="1:14" x14ac:dyDescent="0.25">
      <c r="A137" s="49">
        <v>2025</v>
      </c>
      <c r="B137" s="25" t="s">
        <v>20</v>
      </c>
      <c r="C137" s="26" t="s">
        <v>35</v>
      </c>
      <c r="D137" s="27">
        <f>168+316+357+105+129</f>
        <v>1075</v>
      </c>
      <c r="E137" s="28">
        <v>78</v>
      </c>
      <c r="F137" s="29" cm="1">
        <f t="array" ref="F13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7" s="30" cm="1">
        <f t="array" ref="G1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7" s="30" cm="1">
        <f t="array" ref="H137">INDEX(stdWorkingDays[],MATCH(capacityTbl[[#This Row],[Year]]&amp;capacityTbl[[#This Row],[Month]],stdWorkingDays[Year]&amp;stdWorkingDays[Month],0),MATCH("China",stdWorkingDays[#Headers],0))</f>
        <v>19</v>
      </c>
      <c r="I137" s="30" cm="1">
        <f t="array" ref="I137">INDEX(stdWorkingDays[],MATCH(capacityTbl[[#This Row],[Year]]&amp;capacityTbl[[#This Row],[Month]],stdWorkingDays[Year]&amp;stdWorkingDays[Month],0),MATCH("Philippine",stdWorkingDays[#Headers],0))</f>
        <v>21</v>
      </c>
      <c r="J13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7" s="31">
        <f>IFERROR(capacityTbl[[#This Row],[Production Days]]/capacityTbl[[#This Row],[Weighted Working day]],0)</f>
        <v>0</v>
      </c>
      <c r="L137" s="31" cm="1">
        <f t="array" ref="L137">INDEX(ProductivityBaseline[ProductivityBaseline],MATCH(capacityTbl[[#This Row],[Process]]&amp;capacityTbl[[#This Row],[Year]],ProductivityBaseline[Title]&amp;ProductivityBaseline[Year to use],0))</f>
        <v>17.269677419354839</v>
      </c>
      <c r="M137" s="32">
        <f>IFERROR(capacityTbl[[#This Row],[No. of Transaction]]/(capacityTbl[[#This Row],[Productivity Baseline (Transation/FTE/Day)]]*capacityTbl[[#This Row],[Weighted Working day]]),0)</f>
        <v>0</v>
      </c>
      <c r="N137" s="33">
        <f>IFERROR(capacityTbl[[#This Row],[No. of Transaction]]/capacityTbl[[#This Row],[Production Days]],0)</f>
        <v>13.782051282051283</v>
      </c>
    </row>
    <row r="138" spans="1:14" x14ac:dyDescent="0.25">
      <c r="A138" s="49">
        <v>2025</v>
      </c>
      <c r="B138" s="25" t="s">
        <v>21</v>
      </c>
      <c r="C138" s="26" t="s">
        <v>35</v>
      </c>
      <c r="D138" s="27">
        <f>144+415+348+215+122</f>
        <v>1244</v>
      </c>
      <c r="E138" s="28">
        <v>72.5</v>
      </c>
      <c r="F138" s="29" cm="1">
        <f t="array" ref="F13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8" s="30" cm="1">
        <f t="array" ref="G13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8" s="30" cm="1">
        <f t="array" ref="H138">INDEX(stdWorkingDays[],MATCH(capacityTbl[[#This Row],[Year]]&amp;capacityTbl[[#This Row],[Month]],stdWorkingDays[Year]&amp;stdWorkingDays[Month],0),MATCH("China",stdWorkingDays[#Headers],0))</f>
        <v>20</v>
      </c>
      <c r="I138" s="30" cm="1">
        <f t="array" ref="I138">INDEX(stdWorkingDays[],MATCH(capacityTbl[[#This Row],[Year]]&amp;capacityTbl[[#This Row],[Month]],stdWorkingDays[Year]&amp;stdWorkingDays[Month],0),MATCH("Philippine",stdWorkingDays[#Headers],0))</f>
        <v>19</v>
      </c>
      <c r="J13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8" s="31">
        <f>IFERROR(capacityTbl[[#This Row],[Production Days]]/capacityTbl[[#This Row],[Weighted Working day]],0)</f>
        <v>0</v>
      </c>
      <c r="L138" s="31" cm="1">
        <f t="array" ref="L138">INDEX(ProductivityBaseline[ProductivityBaseline],MATCH(capacityTbl[[#This Row],[Process]]&amp;capacityTbl[[#This Row],[Year]],ProductivityBaseline[Title]&amp;ProductivityBaseline[Year to use],0))</f>
        <v>17.269677419354839</v>
      </c>
      <c r="M138" s="32">
        <f>IFERROR(capacityTbl[[#This Row],[No. of Transaction]]/(capacityTbl[[#This Row],[Productivity Baseline (Transation/FTE/Day)]]*capacityTbl[[#This Row],[Weighted Working day]]),0)</f>
        <v>0</v>
      </c>
      <c r="N138" s="33">
        <f>IFERROR(capacityTbl[[#This Row],[No. of Transaction]]/capacityTbl[[#This Row],[Production Days]],0)</f>
        <v>17.158620689655173</v>
      </c>
    </row>
    <row r="139" spans="1:14" x14ac:dyDescent="0.25">
      <c r="A139" s="49">
        <v>2025</v>
      </c>
      <c r="B139" s="25" t="s">
        <v>22</v>
      </c>
      <c r="C139" s="26" t="s">
        <v>35</v>
      </c>
      <c r="D139" s="27">
        <f>121+355+325+167+133</f>
        <v>1101</v>
      </c>
      <c r="E139" s="28">
        <v>86</v>
      </c>
      <c r="F139" s="29" cm="1">
        <f t="array" ref="F13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39" s="30" cm="1">
        <f t="array" ref="G13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39" s="30" cm="1">
        <f t="array" ref="H139">INDEX(stdWorkingDays[],MATCH(capacityTbl[[#This Row],[Year]]&amp;capacityTbl[[#This Row],[Month]],stdWorkingDays[Year]&amp;stdWorkingDays[Month],0),MATCH("China",stdWorkingDays[#Headers],0))</f>
        <v>23</v>
      </c>
      <c r="I139" s="30" cm="1">
        <f t="array" ref="I139">INDEX(stdWorkingDays[],MATCH(capacityTbl[[#This Row],[Year]]&amp;capacityTbl[[#This Row],[Month]],stdWorkingDays[Year]&amp;stdWorkingDays[Month],0),MATCH("Philippine",stdWorkingDays[#Headers],0))</f>
        <v>23</v>
      </c>
      <c r="J13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39" s="31">
        <f>IFERROR(capacityTbl[[#This Row],[Production Days]]/capacityTbl[[#This Row],[Weighted Working day]],0)</f>
        <v>0</v>
      </c>
      <c r="L139" s="31" cm="1">
        <f t="array" ref="L139">INDEX(ProductivityBaseline[ProductivityBaseline],MATCH(capacityTbl[[#This Row],[Process]]&amp;capacityTbl[[#This Row],[Year]],ProductivityBaseline[Title]&amp;ProductivityBaseline[Year to use],0))</f>
        <v>17.269677419354839</v>
      </c>
      <c r="M139" s="32">
        <f>IFERROR(capacityTbl[[#This Row],[No. of Transaction]]/(capacityTbl[[#This Row],[Productivity Baseline (Transation/FTE/Day)]]*capacityTbl[[#This Row],[Weighted Working day]]),0)</f>
        <v>0</v>
      </c>
      <c r="N139" s="33">
        <f>IFERROR(capacityTbl[[#This Row],[No. of Transaction]]/capacityTbl[[#This Row],[Production Days]],0)</f>
        <v>12.802325581395349</v>
      </c>
    </row>
    <row r="140" spans="1:14" x14ac:dyDescent="0.25">
      <c r="A140" s="49">
        <v>2025</v>
      </c>
      <c r="B140" s="25" t="s">
        <v>23</v>
      </c>
      <c r="C140" s="26" t="s">
        <v>35</v>
      </c>
      <c r="D140" s="27">
        <f>142+322+272+189+156</f>
        <v>1081</v>
      </c>
      <c r="E140" s="28">
        <v>73.5</v>
      </c>
      <c r="F140" s="29" cm="1">
        <f t="array" ref="F14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0" s="30" cm="1">
        <f t="array" ref="G14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0" s="30" cm="1">
        <f t="array" ref="H140">INDEX(stdWorkingDays[],MATCH(capacityTbl[[#This Row],[Year]]&amp;capacityTbl[[#This Row],[Month]],stdWorkingDays[Year]&amp;stdWorkingDays[Month],0),MATCH("China",stdWorkingDays[#Headers],0))</f>
        <v>21</v>
      </c>
      <c r="I140" s="30" cm="1">
        <f t="array" ref="I140">INDEX(stdWorkingDays[],MATCH(capacityTbl[[#This Row],[Year]]&amp;capacityTbl[[#This Row],[Month]],stdWorkingDays[Year]&amp;stdWorkingDays[Month],0),MATCH("Philippine",stdWorkingDays[#Headers],0))</f>
        <v>19</v>
      </c>
      <c r="J14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0" s="31">
        <f>IFERROR(capacityTbl[[#This Row],[Production Days]]/capacityTbl[[#This Row],[Weighted Working day]],0)</f>
        <v>0</v>
      </c>
      <c r="L140" s="31" cm="1">
        <f t="array" ref="L140">INDEX(ProductivityBaseline[ProductivityBaseline],MATCH(capacityTbl[[#This Row],[Process]]&amp;capacityTbl[[#This Row],[Year]],ProductivityBaseline[Title]&amp;ProductivityBaseline[Year to use],0))</f>
        <v>17.269677419354839</v>
      </c>
      <c r="M140" s="32">
        <f>IFERROR(capacityTbl[[#This Row],[No. of Transaction]]/(capacityTbl[[#This Row],[Productivity Baseline (Transation/FTE/Day)]]*capacityTbl[[#This Row],[Weighted Working day]]),0)</f>
        <v>0</v>
      </c>
      <c r="N140" s="33">
        <f>IFERROR(capacityTbl[[#This Row],[No. of Transaction]]/capacityTbl[[#This Row],[Production Days]],0)</f>
        <v>14.70748299319728</v>
      </c>
    </row>
    <row r="141" spans="1:14" x14ac:dyDescent="0.25">
      <c r="A141" s="49">
        <v>2025</v>
      </c>
      <c r="B141" s="25" t="s">
        <v>33</v>
      </c>
      <c r="C141" s="26" t="s">
        <v>35</v>
      </c>
      <c r="D141" s="27"/>
      <c r="E141" s="28"/>
      <c r="F141" s="29" cm="1">
        <f t="array" ref="F14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1" s="30" cm="1">
        <f t="array" ref="G14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1" s="30" cm="1">
        <f t="array" ref="H141">INDEX(stdWorkingDays[],MATCH(capacityTbl[[#This Row],[Year]]&amp;capacityTbl[[#This Row],[Month]],stdWorkingDays[Year]&amp;stdWorkingDays[Month],0),MATCH("China",stdWorkingDays[#Headers],0))</f>
        <v>23</v>
      </c>
      <c r="I141" s="30" cm="1">
        <f t="array" ref="I141">INDEX(stdWorkingDays[],MATCH(capacityTbl[[#This Row],[Year]]&amp;capacityTbl[[#This Row],[Month]],stdWorkingDays[Year]&amp;stdWorkingDays[Month],0),MATCH("Philippine",stdWorkingDays[#Headers],0))</f>
        <v>22</v>
      </c>
      <c r="J14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1" s="31">
        <f>IFERROR(capacityTbl[[#This Row],[Production Days]]/capacityTbl[[#This Row],[Weighted Working day]],0)</f>
        <v>0</v>
      </c>
      <c r="L141" s="31" cm="1">
        <f t="array" ref="L141">INDEX(ProductivityBaseline[ProductivityBaseline],MATCH(capacityTbl[[#This Row],[Process]]&amp;capacityTbl[[#This Row],[Year]],ProductivityBaseline[Title]&amp;ProductivityBaseline[Year to use],0))</f>
        <v>17.269677419354839</v>
      </c>
      <c r="M141" s="32">
        <f>IFERROR(capacityTbl[[#This Row],[No. of Transaction]]/(capacityTbl[[#This Row],[Productivity Baseline (Transation/FTE/Day)]]*capacityTbl[[#This Row],[Weighted Working day]]),0)</f>
        <v>0</v>
      </c>
      <c r="N141" s="33">
        <f>IFERROR(capacityTbl[[#This Row],[No. of Transaction]]/capacityTbl[[#This Row],[Production Days]],0)</f>
        <v>0</v>
      </c>
    </row>
    <row r="142" spans="1:14" x14ac:dyDescent="0.25">
      <c r="A142" s="49">
        <v>2025</v>
      </c>
      <c r="B142" s="25" t="s">
        <v>25</v>
      </c>
      <c r="C142" s="26" t="s">
        <v>35</v>
      </c>
      <c r="D142" s="27"/>
      <c r="E142" s="28"/>
      <c r="F142" s="29" cm="1">
        <f t="array" ref="F14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2" s="30" cm="1">
        <f t="array" ref="G14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2" s="30" cm="1">
        <f t="array" ref="H142">INDEX(stdWorkingDays[],MATCH(capacityTbl[[#This Row],[Year]]&amp;capacityTbl[[#This Row],[Month]],stdWorkingDays[Year]&amp;stdWorkingDays[Month],0),MATCH("China",stdWorkingDays[#Headers],0))</f>
        <v>18</v>
      </c>
      <c r="I142" s="30" cm="1">
        <f t="array" ref="I142">INDEX(stdWorkingDays[],MATCH(capacityTbl[[#This Row],[Year]]&amp;capacityTbl[[#This Row],[Month]],stdWorkingDays[Year]&amp;stdWorkingDays[Month],0),MATCH("Philippine",stdWorkingDays[#Headers],0))</f>
        <v>22</v>
      </c>
      <c r="J14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2" s="31">
        <f>IFERROR(capacityTbl[[#This Row],[Production Days]]/capacityTbl[[#This Row],[Weighted Working day]],0)</f>
        <v>0</v>
      </c>
      <c r="L142" s="31" cm="1">
        <f t="array" ref="L142">INDEX(ProductivityBaseline[ProductivityBaseline],MATCH(capacityTbl[[#This Row],[Process]]&amp;capacityTbl[[#This Row],[Year]],ProductivityBaseline[Title]&amp;ProductivityBaseline[Year to use],0))</f>
        <v>17.269677419354839</v>
      </c>
      <c r="M142" s="32">
        <f>IFERROR(capacityTbl[[#This Row],[No. of Transaction]]/(capacityTbl[[#This Row],[Productivity Baseline (Transation/FTE/Day)]]*capacityTbl[[#This Row],[Weighted Working day]]),0)</f>
        <v>0</v>
      </c>
      <c r="N142" s="33">
        <f>IFERROR(capacityTbl[[#This Row],[No. of Transaction]]/capacityTbl[[#This Row],[Production Days]],0)</f>
        <v>0</v>
      </c>
    </row>
    <row r="143" spans="1:14" x14ac:dyDescent="0.25">
      <c r="A143" s="49">
        <v>2025</v>
      </c>
      <c r="B143" s="25" t="s">
        <v>26</v>
      </c>
      <c r="C143" s="26" t="s">
        <v>35</v>
      </c>
      <c r="D143" s="27"/>
      <c r="E143" s="28"/>
      <c r="F143" s="29" cm="1">
        <f t="array" ref="F14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3" s="30" cm="1">
        <f t="array" ref="G14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3" s="30" cm="1">
        <f t="array" ref="H143">INDEX(stdWorkingDays[],MATCH(capacityTbl[[#This Row],[Year]]&amp;capacityTbl[[#This Row],[Month]],stdWorkingDays[Year]&amp;stdWorkingDays[Month],0),MATCH("China",stdWorkingDays[#Headers],0))</f>
        <v>20</v>
      </c>
      <c r="I143" s="30" cm="1">
        <f t="array" ref="I143">INDEX(stdWorkingDays[],MATCH(capacityTbl[[#This Row],[Year]]&amp;capacityTbl[[#This Row],[Month]],stdWorkingDays[Year]&amp;stdWorkingDays[Month],0),MATCH("Philippine",stdWorkingDays[#Headers],0))</f>
        <v>20</v>
      </c>
      <c r="J14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3" s="31">
        <f>IFERROR(capacityTbl[[#This Row],[Production Days]]/capacityTbl[[#This Row],[Weighted Working day]],0)</f>
        <v>0</v>
      </c>
      <c r="L143" s="31" cm="1">
        <f t="array" ref="L143">INDEX(ProductivityBaseline[ProductivityBaseline],MATCH(capacityTbl[[#This Row],[Process]]&amp;capacityTbl[[#This Row],[Year]],ProductivityBaseline[Title]&amp;ProductivityBaseline[Year to use],0))</f>
        <v>17.269677419354839</v>
      </c>
      <c r="M143" s="32">
        <f>IFERROR(capacityTbl[[#This Row],[No. of Transaction]]/(capacityTbl[[#This Row],[Productivity Baseline (Transation/FTE/Day)]]*capacityTbl[[#This Row],[Weighted Working day]]),0)</f>
        <v>0</v>
      </c>
      <c r="N143" s="33">
        <f>IFERROR(capacityTbl[[#This Row],[No. of Transaction]]/capacityTbl[[#This Row],[Production Days]],0)</f>
        <v>0</v>
      </c>
    </row>
    <row r="144" spans="1:14" x14ac:dyDescent="0.25">
      <c r="A144" s="49">
        <v>2025</v>
      </c>
      <c r="B144" s="25" t="s">
        <v>27</v>
      </c>
      <c r="C144" s="26" t="s">
        <v>35</v>
      </c>
      <c r="D144" s="27"/>
      <c r="E144" s="28"/>
      <c r="F144" s="29" cm="1">
        <f t="array" ref="F14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44" s="30" cm="1">
        <f t="array" ref="G14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44" s="30" cm="1">
        <f t="array" ref="H144">INDEX(stdWorkingDays[],MATCH(capacityTbl[[#This Row],[Year]]&amp;capacityTbl[[#This Row],[Month]],stdWorkingDays[Year]&amp;stdWorkingDays[Month],0),MATCH("China",stdWorkingDays[#Headers],0))</f>
        <v>23</v>
      </c>
      <c r="I144" s="30" cm="1">
        <f t="array" ref="I144">INDEX(stdWorkingDays[],MATCH(capacityTbl[[#This Row],[Year]]&amp;capacityTbl[[#This Row],[Month]],stdWorkingDays[Year]&amp;stdWorkingDays[Month],0),MATCH("Philippine",stdWorkingDays[#Headers],0))</f>
        <v>18</v>
      </c>
      <c r="J14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44" s="31">
        <f>IFERROR(capacityTbl[[#This Row],[Production Days]]/capacityTbl[[#This Row],[Weighted Working day]],0)</f>
        <v>0</v>
      </c>
      <c r="L144" s="31" cm="1">
        <f t="array" ref="L144">INDEX(ProductivityBaseline[ProductivityBaseline],MATCH(capacityTbl[[#This Row],[Process]]&amp;capacityTbl[[#This Row],[Year]],ProductivityBaseline[Title]&amp;ProductivityBaseline[Year to use],0))</f>
        <v>17.269677419354839</v>
      </c>
      <c r="M144" s="32">
        <f>IFERROR(capacityTbl[[#This Row],[No. of Transaction]]/(capacityTbl[[#This Row],[Productivity Baseline (Transation/FTE/Day)]]*capacityTbl[[#This Row],[Weighted Working day]]),0)</f>
        <v>0</v>
      </c>
      <c r="N144" s="33">
        <f>IFERROR(capacityTbl[[#This Row],[No. of Transaction]]/capacityTbl[[#This Row],[Production Days]],0)</f>
        <v>0</v>
      </c>
    </row>
    <row r="145" spans="1:14" x14ac:dyDescent="0.25">
      <c r="A145" s="24">
        <v>2025</v>
      </c>
      <c r="B145" s="110" t="s">
        <v>14</v>
      </c>
      <c r="C145" s="111" t="s">
        <v>285</v>
      </c>
      <c r="D145" s="27">
        <v>902</v>
      </c>
      <c r="E145" s="28">
        <v>77.5</v>
      </c>
      <c r="F145" s="29" cm="1">
        <f t="array" ref="F145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5" s="30" cm="1">
        <f t="array" ref="G145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145" s="30" cm="1">
        <f t="array" ref="H145">INDEX(stdWorkingDays[],MATCH(capacityTbl[[#This Row],[Year]]&amp;capacityTbl[[#This Row],[Month]],stdWorkingDays[Year]&amp;stdWorkingDays[Month],0),MATCH("China",stdWorkingDays[#Headers],0))</f>
        <v>19</v>
      </c>
      <c r="I145" s="30" cm="1">
        <f t="array" ref="I145">INDEX(stdWorkingDays[],MATCH(capacityTbl[[#This Row],[Year]]&amp;capacityTbl[[#This Row],[Month]],stdWorkingDays[Year]&amp;stdWorkingDays[Month],0),MATCH("Philippine",stdWorkingDays[#Headers],0))</f>
        <v>21</v>
      </c>
      <c r="J1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20.857142857142858</v>
      </c>
      <c r="K145" s="35">
        <f>IFERROR(capacityTbl[[#This Row],[Production Days]]/capacityTbl[[#This Row],[Weighted Working day]],0)</f>
        <v>3.7157534246575343</v>
      </c>
      <c r="L145" s="31" cm="1">
        <f t="array" ref="L145">INDEX(ProductivityBaseline[ProductivityBaseline],MATCH(capacityTbl[[#This Row],[Process]]&amp;capacityTbl[[#This Row],[Year]],ProductivityBaseline[Title]&amp;ProductivityBaseline[Year to use],0))</f>
        <v>20</v>
      </c>
      <c r="M145" s="32">
        <f>IFERROR(capacityTbl[[#This Row],[No. of Transaction]]/(capacityTbl[[#This Row],[Productivity Baseline (Transation/FTE/Day)]]*capacityTbl[[#This Row],[Weighted Working day]]),0)</f>
        <v>2.1623287671232876</v>
      </c>
      <c r="N145" s="33">
        <f>IFERROR(capacityTbl[[#This Row],[No. of Transaction]]/capacityTbl[[#This Row],[Production Days]],0)</f>
        <v>11.638709677419355</v>
      </c>
    </row>
    <row r="146" spans="1:14" x14ac:dyDescent="0.25">
      <c r="A146" s="24">
        <v>2025</v>
      </c>
      <c r="B146" s="110" t="s">
        <v>17</v>
      </c>
      <c r="C146" s="111" t="s">
        <v>285</v>
      </c>
      <c r="D146" s="27">
        <v>1167</v>
      </c>
      <c r="E146" s="28">
        <v>74</v>
      </c>
      <c r="F146" s="29" cm="1">
        <f t="array" ref="F146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6" s="30" cm="1">
        <f t="array" ref="G146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146" s="30" cm="1">
        <f t="array" ref="H146">INDEX(stdWorkingDays[],MATCH(capacityTbl[[#This Row],[Year]]&amp;capacityTbl[[#This Row],[Month]],stdWorkingDays[Year]&amp;stdWorkingDays[Month],0),MATCH("China",stdWorkingDays[#Headers],0))</f>
        <v>19</v>
      </c>
      <c r="I146" s="30" cm="1">
        <f t="array" ref="I146">INDEX(stdWorkingDays[],MATCH(capacityTbl[[#This Row],[Year]]&amp;capacityTbl[[#This Row],[Month]],stdWorkingDays[Year]&amp;stdWorkingDays[Month],0),MATCH("Philippine",stdWorkingDays[#Headers],0))</f>
        <v>20</v>
      </c>
      <c r="J14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19.928571428571427</v>
      </c>
      <c r="K146" s="35">
        <f>IFERROR(capacityTbl[[#This Row],[Production Days]]/capacityTbl[[#This Row],[Weighted Working day]],0)</f>
        <v>3.7132616487455201</v>
      </c>
      <c r="L146" s="31" cm="1">
        <f t="array" ref="L146">INDEX(ProductivityBaseline[ProductivityBaseline],MATCH(capacityTbl[[#This Row],[Process]]&amp;capacityTbl[[#This Row],[Year]],ProductivityBaseline[Title]&amp;ProductivityBaseline[Year to use],0))</f>
        <v>20</v>
      </c>
      <c r="M146" s="32">
        <f>IFERROR(capacityTbl[[#This Row],[No. of Transaction]]/(capacityTbl[[#This Row],[Productivity Baseline (Transation/FTE/Day)]]*capacityTbl[[#This Row],[Weighted Working day]]),0)</f>
        <v>2.9279569892473121</v>
      </c>
      <c r="N146" s="33">
        <f>IFERROR(capacityTbl[[#This Row],[No. of Transaction]]/capacityTbl[[#This Row],[Production Days]],0)</f>
        <v>15.77027027027027</v>
      </c>
    </row>
    <row r="147" spans="1:14" x14ac:dyDescent="0.25">
      <c r="A147" s="24">
        <v>2025</v>
      </c>
      <c r="B147" s="110" t="s">
        <v>18</v>
      </c>
      <c r="C147" s="111" t="s">
        <v>285</v>
      </c>
      <c r="D147" s="27">
        <v>1284</v>
      </c>
      <c r="E147" s="28">
        <v>77.5</v>
      </c>
      <c r="F147" s="29" cm="1">
        <f t="array" ref="F147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7" s="30" cm="1">
        <f t="array" ref="G147">IFERROR(INDEX(FTE_stdWD[FTE],MATCH(capacityTbl[[#This Row],[Process]]&amp;capacityTbl[[#This Row],[Month]]&amp;capacityTbl[[#This Row],[Year]]&amp;"MNL",FTE_stdWD[Service Description]&amp;FTE_stdWD[Month]&amp;FTE_stdWD[Year]&amp;FTE_stdWD[Country],0)),0)</f>
        <v>11</v>
      </c>
      <c r="H147" s="30" cm="1">
        <f t="array" ref="H147">INDEX(stdWorkingDays[],MATCH(capacityTbl[[#This Row],[Year]]&amp;capacityTbl[[#This Row],[Month]],stdWorkingDays[Year]&amp;stdWorkingDays[Month],0),MATCH("China",stdWorkingDays[#Headers],0))</f>
        <v>21</v>
      </c>
      <c r="I147" s="30" cm="1">
        <f t="array" ref="I147">INDEX(stdWorkingDays[],MATCH(capacityTbl[[#This Row],[Year]]&amp;capacityTbl[[#This Row],[Month]],stdWorkingDays[Year]&amp;stdWorkingDays[Month],0),MATCH("Philippine",stdWorkingDays[#Headers],0))</f>
        <v>21</v>
      </c>
      <c r="J1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47" s="35">
        <f>IFERROR(capacityTbl[[#This Row],[Production Days]]/capacityTbl[[#This Row],[Weighted Working day]],0)</f>
        <v>3.6904761904761907</v>
      </c>
      <c r="L147" s="31" cm="1">
        <f t="array" ref="L147">INDEX(ProductivityBaseline[ProductivityBaseline],MATCH(capacityTbl[[#This Row],[Process]]&amp;capacityTbl[[#This Row],[Year]],ProductivityBaseline[Title]&amp;ProductivityBaseline[Year to use],0))</f>
        <v>20</v>
      </c>
      <c r="M147" s="32">
        <f>IFERROR(capacityTbl[[#This Row],[No. of Transaction]]/(capacityTbl[[#This Row],[Productivity Baseline (Transation/FTE/Day)]]*capacityTbl[[#This Row],[Weighted Working day]]),0)</f>
        <v>3.0571428571428569</v>
      </c>
      <c r="N147" s="33">
        <f>IFERROR(capacityTbl[[#This Row],[No. of Transaction]]/capacityTbl[[#This Row],[Production Days]],0)</f>
        <v>16.56774193548387</v>
      </c>
    </row>
    <row r="148" spans="1:14" x14ac:dyDescent="0.25">
      <c r="A148" s="24">
        <v>2025</v>
      </c>
      <c r="B148" s="110" t="s">
        <v>19</v>
      </c>
      <c r="C148" s="111" t="s">
        <v>285</v>
      </c>
      <c r="D148" s="27">
        <v>1602</v>
      </c>
      <c r="E148" s="28">
        <v>69.5</v>
      </c>
      <c r="F148" s="29" cm="1">
        <f t="array" ref="F148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8" s="30" cm="1">
        <f t="array" ref="G148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148" s="30" cm="1">
        <f t="array" ref="H148">INDEX(stdWorkingDays[],MATCH(capacityTbl[[#This Row],[Year]]&amp;capacityTbl[[#This Row],[Month]],stdWorkingDays[Year]&amp;stdWorkingDays[Month],0),MATCH("China",stdWorkingDays[#Headers],0))</f>
        <v>22</v>
      </c>
      <c r="I148" s="30" cm="1">
        <f t="array" ref="I148">INDEX(stdWorkingDays[],MATCH(capacityTbl[[#This Row],[Year]]&amp;capacityTbl[[#This Row],[Month]],stdWorkingDays[Year]&amp;stdWorkingDays[Month],0),MATCH("Philippine",stdWorkingDays[#Headers],0))</f>
        <v>19</v>
      </c>
      <c r="J14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19.272727272727273</v>
      </c>
      <c r="K148" s="35">
        <f>IFERROR(capacityTbl[[#This Row],[Production Days]]/capacityTbl[[#This Row],[Weighted Working day]],0)</f>
        <v>3.6061320754716979</v>
      </c>
      <c r="L148" s="31" cm="1">
        <f t="array" ref="L148">INDEX(ProductivityBaseline[ProductivityBaseline],MATCH(capacityTbl[[#This Row],[Process]]&amp;capacityTbl[[#This Row],[Year]],ProductivityBaseline[Title]&amp;ProductivityBaseline[Year to use],0))</f>
        <v>20</v>
      </c>
      <c r="M148" s="32">
        <f>IFERROR(capacityTbl[[#This Row],[No. of Transaction]]/(capacityTbl[[#This Row],[Productivity Baseline (Transation/FTE/Day)]]*capacityTbl[[#This Row],[Weighted Working day]]),0)</f>
        <v>4.1561320754716977</v>
      </c>
      <c r="N148" s="33">
        <f>IFERROR(capacityTbl[[#This Row],[No. of Transaction]]/capacityTbl[[#This Row],[Production Days]],0)</f>
        <v>23.050359712230215</v>
      </c>
    </row>
    <row r="149" spans="1:14" x14ac:dyDescent="0.25">
      <c r="A149" s="24">
        <v>2025</v>
      </c>
      <c r="B149" s="110" t="s">
        <v>20</v>
      </c>
      <c r="C149" s="111" t="s">
        <v>285</v>
      </c>
      <c r="D149" s="27">
        <v>2201</v>
      </c>
      <c r="E149" s="28">
        <v>70.5</v>
      </c>
      <c r="F149" s="29" cm="1">
        <f t="array" ref="F149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49" s="30" cm="1">
        <f t="array" ref="G149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149" s="30" cm="1">
        <f t="array" ref="H149">INDEX(stdWorkingDays[],MATCH(capacityTbl[[#This Row],[Year]]&amp;capacityTbl[[#This Row],[Month]],stdWorkingDays[Year]&amp;stdWorkingDays[Month],0),MATCH("China",stdWorkingDays[#Headers],0))</f>
        <v>19</v>
      </c>
      <c r="I149" s="30" cm="1">
        <f t="array" ref="I149">INDEX(stdWorkingDays[],MATCH(capacityTbl[[#This Row],[Year]]&amp;capacityTbl[[#This Row],[Month]],stdWorkingDays[Year]&amp;stdWorkingDays[Month],0),MATCH("Philippine",stdWorkingDays[#Headers],0))</f>
        <v>21</v>
      </c>
      <c r="J149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20.8</v>
      </c>
      <c r="K149" s="35">
        <f>IFERROR(capacityTbl[[#This Row],[Production Days]]/capacityTbl[[#This Row],[Weighted Working day]],0)</f>
        <v>3.3894230769230766</v>
      </c>
      <c r="L149" s="31" cm="1">
        <f t="array" ref="L149">INDEX(ProductivityBaseline[ProductivityBaseline],MATCH(capacityTbl[[#This Row],[Process]]&amp;capacityTbl[[#This Row],[Year]],ProductivityBaseline[Title]&amp;ProductivityBaseline[Year to use],0))</f>
        <v>20</v>
      </c>
      <c r="M149" s="32">
        <f>IFERROR(capacityTbl[[#This Row],[No. of Transaction]]/(capacityTbl[[#This Row],[Productivity Baseline (Transation/FTE/Day)]]*capacityTbl[[#This Row],[Weighted Working day]]),0)</f>
        <v>5.290865384615385</v>
      </c>
      <c r="N149" s="33">
        <f>IFERROR(capacityTbl[[#This Row],[No. of Transaction]]/capacityTbl[[#This Row],[Production Days]],0)</f>
        <v>31.219858156028369</v>
      </c>
    </row>
    <row r="150" spans="1:14" x14ac:dyDescent="0.25">
      <c r="A150" s="24">
        <v>2025</v>
      </c>
      <c r="B150" s="110" t="s">
        <v>21</v>
      </c>
      <c r="C150" s="111" t="s">
        <v>285</v>
      </c>
      <c r="D150" s="27">
        <v>4673</v>
      </c>
      <c r="E150" s="28">
        <v>91.5</v>
      </c>
      <c r="F150" s="29" cm="1">
        <f t="array" ref="F150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0" s="30" cm="1">
        <f t="array" ref="G15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0" s="30" cm="1">
        <f t="array" ref="H150">INDEX(stdWorkingDays[],MATCH(capacityTbl[[#This Row],[Year]]&amp;capacityTbl[[#This Row],[Month]],stdWorkingDays[Year]&amp;stdWorkingDays[Month],0),MATCH("China",stdWorkingDays[#Headers],0))</f>
        <v>20</v>
      </c>
      <c r="I150" s="30" cm="1">
        <f t="array" ref="I150">INDEX(stdWorkingDays[],MATCH(capacityTbl[[#This Row],[Year]]&amp;capacityTbl[[#This Row],[Month]],stdWorkingDays[Year]&amp;stdWorkingDays[Month],0),MATCH("Philippine",stdWorkingDays[#Headers],0))</f>
        <v>19</v>
      </c>
      <c r="J150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50" s="35">
        <f>IFERROR(capacityTbl[[#This Row],[Production Days]]/capacityTbl[[#This Row],[Weighted Working day]],0)</f>
        <v>4.5750000000000002</v>
      </c>
      <c r="L150" s="31" cm="1">
        <f t="array" ref="L150">INDEX(ProductivityBaseline[ProductivityBaseline],MATCH(capacityTbl[[#This Row],[Process]]&amp;capacityTbl[[#This Row],[Year]],ProductivityBaseline[Title]&amp;ProductivityBaseline[Year to use],0))</f>
        <v>20</v>
      </c>
      <c r="M150" s="32">
        <f>IFERROR(capacityTbl[[#This Row],[No. of Transaction]]/(capacityTbl[[#This Row],[Productivity Baseline (Transation/FTE/Day)]]*capacityTbl[[#This Row],[Weighted Working day]]),0)</f>
        <v>11.682499999999999</v>
      </c>
      <c r="N150" s="33">
        <f>IFERROR(capacityTbl[[#This Row],[No. of Transaction]]/capacityTbl[[#This Row],[Production Days]],0)</f>
        <v>51.071038251366119</v>
      </c>
    </row>
    <row r="151" spans="1:14" x14ac:dyDescent="0.25">
      <c r="A151" s="24">
        <v>2025</v>
      </c>
      <c r="B151" s="110" t="s">
        <v>22</v>
      </c>
      <c r="C151" s="111" t="s">
        <v>285</v>
      </c>
      <c r="D151" s="27">
        <v>3016</v>
      </c>
      <c r="E151" s="28">
        <v>111.5</v>
      </c>
      <c r="F151" s="29" cm="1">
        <f t="array" ref="F151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1" s="30" cm="1">
        <f t="array" ref="G15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1" s="30" cm="1">
        <f t="array" ref="H151">INDEX(stdWorkingDays[],MATCH(capacityTbl[[#This Row],[Year]]&amp;capacityTbl[[#This Row],[Month]],stdWorkingDays[Year]&amp;stdWorkingDays[Month],0),MATCH("China",stdWorkingDays[#Headers],0))</f>
        <v>23</v>
      </c>
      <c r="I151" s="30" cm="1">
        <f t="array" ref="I151">INDEX(stdWorkingDays[],MATCH(capacityTbl[[#This Row],[Year]]&amp;capacityTbl[[#This Row],[Month]],stdWorkingDays[Year]&amp;stdWorkingDays[Month],0),MATCH("Philippine",stdWorkingDays[#Headers],0))</f>
        <v>23</v>
      </c>
      <c r="J15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51" s="35">
        <f>IFERROR(capacityTbl[[#This Row],[Production Days]]/capacityTbl[[#This Row],[Weighted Working day]],0)</f>
        <v>4.8478260869565215</v>
      </c>
      <c r="L151" s="31" cm="1">
        <f t="array" ref="L151">INDEX(ProductivityBaseline[ProductivityBaseline],MATCH(capacityTbl[[#This Row],[Process]]&amp;capacityTbl[[#This Row],[Year]],ProductivityBaseline[Title]&amp;ProductivityBaseline[Year to use],0))</f>
        <v>20</v>
      </c>
      <c r="M151" s="32">
        <f>IFERROR(capacityTbl[[#This Row],[No. of Transaction]]/(capacityTbl[[#This Row],[Productivity Baseline (Transation/FTE/Day)]]*capacityTbl[[#This Row],[Weighted Working day]]),0)</f>
        <v>6.5565217391304351</v>
      </c>
      <c r="N151" s="33">
        <f>IFERROR(capacityTbl[[#This Row],[No. of Transaction]]/capacityTbl[[#This Row],[Production Days]],0)</f>
        <v>27.04932735426009</v>
      </c>
    </row>
    <row r="152" spans="1:14" x14ac:dyDescent="0.25">
      <c r="A152" s="24">
        <v>2025</v>
      </c>
      <c r="B152" s="110" t="s">
        <v>46</v>
      </c>
      <c r="C152" s="111" t="s">
        <v>285</v>
      </c>
      <c r="D152" s="27">
        <v>1694</v>
      </c>
      <c r="E152" s="28">
        <v>91</v>
      </c>
      <c r="F152" s="29" cm="1">
        <f t="array" ref="F152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2" s="30" cm="1">
        <f t="array" ref="G15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2" s="30" cm="1">
        <f t="array" ref="H152">INDEX(stdWorkingDays[],MATCH(capacityTbl[[#This Row],[Year]]&amp;capacityTbl[[#This Row],[Month]],stdWorkingDays[Year]&amp;stdWorkingDays[Month],0),MATCH("China",stdWorkingDays[#Headers],0))</f>
        <v>21</v>
      </c>
      <c r="I152" s="30" cm="1">
        <f t="array" ref="I152">INDEX(stdWorkingDays[],MATCH(capacityTbl[[#This Row],[Year]]&amp;capacityTbl[[#This Row],[Month]],stdWorkingDays[Year]&amp;stdWorkingDays[Month],0),MATCH("Philippine",stdWorkingDays[#Headers],0))</f>
        <v>19</v>
      </c>
      <c r="J152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52" s="35">
        <f>IFERROR(capacityTbl[[#This Row],[Production Days]]/capacityTbl[[#This Row],[Weighted Working day]],0)</f>
        <v>4.333333333333333</v>
      </c>
      <c r="L152" s="31" cm="1">
        <f t="array" ref="L152">INDEX(ProductivityBaseline[ProductivityBaseline],MATCH(capacityTbl[[#This Row],[Process]]&amp;capacityTbl[[#This Row],[Year]],ProductivityBaseline[Title]&amp;ProductivityBaseline[Year to use],0))</f>
        <v>20</v>
      </c>
      <c r="M152" s="32">
        <f>IFERROR(capacityTbl[[#This Row],[No. of Transaction]]/(capacityTbl[[#This Row],[Productivity Baseline (Transation/FTE/Day)]]*capacityTbl[[#This Row],[Weighted Working day]]),0)</f>
        <v>4.0333333333333332</v>
      </c>
      <c r="N152" s="33">
        <f>IFERROR(capacityTbl[[#This Row],[No. of Transaction]]/capacityTbl[[#This Row],[Production Days]],0)</f>
        <v>18.615384615384617</v>
      </c>
    </row>
    <row r="153" spans="1:14" x14ac:dyDescent="0.25">
      <c r="A153" s="24">
        <v>2025</v>
      </c>
      <c r="B153" s="110" t="s">
        <v>33</v>
      </c>
      <c r="C153" s="111" t="s">
        <v>285</v>
      </c>
      <c r="D153" s="27"/>
      <c r="E153" s="28"/>
      <c r="F153" s="29" cm="1">
        <f t="array" ref="F153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3" s="30" cm="1">
        <f t="array" ref="G15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3" s="30" cm="1">
        <f t="array" ref="H153">INDEX(stdWorkingDays[],MATCH(capacityTbl[[#This Row],[Year]]&amp;capacityTbl[[#This Row],[Month]],stdWorkingDays[Year]&amp;stdWorkingDays[Month],0),MATCH("China",stdWorkingDays[#Headers],0))</f>
        <v>23</v>
      </c>
      <c r="I153" s="30" cm="1">
        <f t="array" ref="I153">INDEX(stdWorkingDays[],MATCH(capacityTbl[[#This Row],[Year]]&amp;capacityTbl[[#This Row],[Month]],stdWorkingDays[Year]&amp;stdWorkingDays[Month],0),MATCH("Philippine",stdWorkingDays[#Headers],0))</f>
        <v>22</v>
      </c>
      <c r="J153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53" s="35">
        <f>IFERROR(capacityTbl[[#This Row],[Production Days]]/capacityTbl[[#This Row],[Weighted Working day]],0)</f>
        <v>0</v>
      </c>
      <c r="L153" s="31" cm="1">
        <f t="array" ref="L153">INDEX(ProductivityBaseline[ProductivityBaseline],MATCH(capacityTbl[[#This Row],[Process]]&amp;capacityTbl[[#This Row],[Year]],ProductivityBaseline[Title]&amp;ProductivityBaseline[Year to use],0))</f>
        <v>20</v>
      </c>
      <c r="M153" s="32">
        <f>IFERROR(capacityTbl[[#This Row],[No. of Transaction]]/(capacityTbl[[#This Row],[Productivity Baseline (Transation/FTE/Day)]]*capacityTbl[[#This Row],[Weighted Working day]]),0)</f>
        <v>0</v>
      </c>
      <c r="N153" s="33">
        <f>IFERROR(capacityTbl[[#This Row],[No. of Transaction]]/capacityTbl[[#This Row],[Production Days]],0)</f>
        <v>0</v>
      </c>
    </row>
    <row r="154" spans="1:14" x14ac:dyDescent="0.25">
      <c r="A154" s="24">
        <v>2025</v>
      </c>
      <c r="B154" s="110" t="s">
        <v>25</v>
      </c>
      <c r="C154" s="111" t="s">
        <v>285</v>
      </c>
      <c r="D154" s="27"/>
      <c r="E154" s="28"/>
      <c r="F154" s="29" cm="1">
        <f t="array" ref="F154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4" s="30" cm="1">
        <f t="array" ref="G15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4" s="30" cm="1">
        <f t="array" ref="H154">INDEX(stdWorkingDays[],MATCH(capacityTbl[[#This Row],[Year]]&amp;capacityTbl[[#This Row],[Month]],stdWorkingDays[Year]&amp;stdWorkingDays[Month],0),MATCH("China",stdWorkingDays[#Headers],0))</f>
        <v>18</v>
      </c>
      <c r="I154" s="30" cm="1">
        <f t="array" ref="I154">INDEX(stdWorkingDays[],MATCH(capacityTbl[[#This Row],[Year]]&amp;capacityTbl[[#This Row],[Month]],stdWorkingDays[Year]&amp;stdWorkingDays[Month],0),MATCH("Philippine",stdWorkingDays[#Headers],0))</f>
        <v>22</v>
      </c>
      <c r="J154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154" s="35">
        <f>IFERROR(capacityTbl[[#This Row],[Production Days]]/capacityTbl[[#This Row],[Weighted Working day]],0)</f>
        <v>0</v>
      </c>
      <c r="L154" s="31" cm="1">
        <f t="array" ref="L154">INDEX(ProductivityBaseline[ProductivityBaseline],MATCH(capacityTbl[[#This Row],[Process]]&amp;capacityTbl[[#This Row],[Year]],ProductivityBaseline[Title]&amp;ProductivityBaseline[Year to use],0))</f>
        <v>20</v>
      </c>
      <c r="M154" s="32">
        <f>IFERROR(capacityTbl[[#This Row],[No. of Transaction]]/(capacityTbl[[#This Row],[Productivity Baseline (Transation/FTE/Day)]]*capacityTbl[[#This Row],[Weighted Working day]]),0)</f>
        <v>0</v>
      </c>
      <c r="N154" s="33">
        <f>IFERROR(capacityTbl[[#This Row],[No. of Transaction]]/capacityTbl[[#This Row],[Production Days]],0)</f>
        <v>0</v>
      </c>
    </row>
    <row r="155" spans="1:14" x14ac:dyDescent="0.25">
      <c r="A155" s="24">
        <v>2025</v>
      </c>
      <c r="B155" s="110" t="s">
        <v>26</v>
      </c>
      <c r="C155" s="111" t="s">
        <v>285</v>
      </c>
      <c r="D155" s="27"/>
      <c r="E155" s="28"/>
      <c r="F155" s="29" cm="1">
        <f t="array" ref="F155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5" s="30" cm="1">
        <f t="array" ref="G15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5" s="30" cm="1">
        <f t="array" ref="H155">INDEX(stdWorkingDays[],MATCH(capacityTbl[[#This Row],[Year]]&amp;capacityTbl[[#This Row],[Month]],stdWorkingDays[Year]&amp;stdWorkingDays[Month],0),MATCH("China",stdWorkingDays[#Headers],0))</f>
        <v>20</v>
      </c>
      <c r="I155" s="30" cm="1">
        <f t="array" ref="I155">INDEX(stdWorkingDays[],MATCH(capacityTbl[[#This Row],[Year]]&amp;capacityTbl[[#This Row],[Month]],stdWorkingDays[Year]&amp;stdWorkingDays[Month],0),MATCH("Philippine",stdWorkingDays[#Headers],0))</f>
        <v>20</v>
      </c>
      <c r="J15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55" s="35">
        <f>IFERROR(capacityTbl[[#This Row],[Production Days]]/capacityTbl[[#This Row],[Weighted Working day]],0)</f>
        <v>0</v>
      </c>
      <c r="L155" s="31" cm="1">
        <f t="array" ref="L155">INDEX(ProductivityBaseline[ProductivityBaseline],MATCH(capacityTbl[[#This Row],[Process]]&amp;capacityTbl[[#This Row],[Year]],ProductivityBaseline[Title]&amp;ProductivityBaseline[Year to use],0))</f>
        <v>20</v>
      </c>
      <c r="M155" s="32">
        <f>IFERROR(capacityTbl[[#This Row],[No. of Transaction]]/(capacityTbl[[#This Row],[Productivity Baseline (Transation/FTE/Day)]]*capacityTbl[[#This Row],[Weighted Working day]]),0)</f>
        <v>0</v>
      </c>
      <c r="N155" s="33">
        <f>IFERROR(capacityTbl[[#This Row],[No. of Transaction]]/capacityTbl[[#This Row],[Production Days]],0)</f>
        <v>0</v>
      </c>
    </row>
    <row r="156" spans="1:14" x14ac:dyDescent="0.25">
      <c r="A156" s="24">
        <v>2025</v>
      </c>
      <c r="B156" s="110" t="s">
        <v>27</v>
      </c>
      <c r="C156" s="111" t="s">
        <v>285</v>
      </c>
      <c r="D156" s="27"/>
      <c r="E156" s="28"/>
      <c r="F156" s="29" cm="1">
        <f t="array" ref="F156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156" s="30" cm="1">
        <f t="array" ref="G15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6" s="30" cm="1">
        <f t="array" ref="H156">INDEX(stdWorkingDays[],MATCH(capacityTbl[[#This Row],[Year]]&amp;capacityTbl[[#This Row],[Month]],stdWorkingDays[Year]&amp;stdWorkingDays[Month],0),MATCH("China",stdWorkingDays[#Headers],0))</f>
        <v>23</v>
      </c>
      <c r="I156" s="30" cm="1">
        <f t="array" ref="I156">INDEX(stdWorkingDays[],MATCH(capacityTbl[[#This Row],[Year]]&amp;capacityTbl[[#This Row],[Month]],stdWorkingDays[Year]&amp;stdWorkingDays[Month],0),MATCH("Philippine",stdWorkingDays[#Headers],0))</f>
        <v>18</v>
      </c>
      <c r="J156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56" s="35">
        <f>IFERROR(capacityTbl[[#This Row],[Production Days]]/capacityTbl[[#This Row],[Weighted Working day]],0)</f>
        <v>0</v>
      </c>
      <c r="L156" s="31" cm="1">
        <f t="array" ref="L156">INDEX(ProductivityBaseline[ProductivityBaseline],MATCH(capacityTbl[[#This Row],[Process]]&amp;capacityTbl[[#This Row],[Year]],ProductivityBaseline[Title]&amp;ProductivityBaseline[Year to use],0))</f>
        <v>20</v>
      </c>
      <c r="M156" s="32">
        <f>IFERROR(capacityTbl[[#This Row],[No. of Transaction]]/(capacityTbl[[#This Row],[Productivity Baseline (Transation/FTE/Day)]]*capacityTbl[[#This Row],[Weighted Working day]]),0)</f>
        <v>0</v>
      </c>
      <c r="N156" s="33">
        <f>IFERROR(capacityTbl[[#This Row],[No. of Transaction]]/capacityTbl[[#This Row],[Production Days]],0)</f>
        <v>0</v>
      </c>
    </row>
    <row r="157" spans="1:14" x14ac:dyDescent="0.25">
      <c r="A157" s="24">
        <v>2025</v>
      </c>
      <c r="B157" s="110" t="s">
        <v>14</v>
      </c>
      <c r="C157" s="111" t="s">
        <v>296</v>
      </c>
      <c r="D157" s="27">
        <f>158+225+427+253+3</f>
        <v>1066</v>
      </c>
      <c r="E157" s="28">
        <v>56.5</v>
      </c>
      <c r="F157" s="29" cm="1">
        <f t="array" ref="F15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7" s="30" cm="1">
        <f t="array" ref="G15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7" s="30" cm="1">
        <f t="array" ref="H157">INDEX(stdWorkingDays[],MATCH(capacityTbl[[#This Row],[Year]]&amp;capacityTbl[[#This Row],[Month]],stdWorkingDays[Year]&amp;stdWorkingDays[Month],0),MATCH("China",stdWorkingDays[#Headers],0))</f>
        <v>19</v>
      </c>
      <c r="I157" s="30" cm="1">
        <f t="array" ref="I157">INDEX(stdWorkingDays[],MATCH(capacityTbl[[#This Row],[Year]]&amp;capacityTbl[[#This Row],[Month]],stdWorkingDays[Year]&amp;stdWorkingDays[Month],0),MATCH("Philippine",stdWorkingDays[#Headers],0))</f>
        <v>21</v>
      </c>
      <c r="J15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7" s="35">
        <f>IFERROR(capacityTbl[[#This Row],[Production Days]]/capacityTbl[[#This Row],[Weighted Working day]],0)</f>
        <v>0</v>
      </c>
      <c r="L157" s="31" cm="1">
        <f t="array" ref="L157">INDEX(ProductivityBaseline[ProductivityBaseline],MATCH(capacityTbl[[#This Row],[Process]]&amp;capacityTbl[[#This Row],[Year]],ProductivityBaseline[Title]&amp;ProductivityBaseline[Year to use],0))</f>
        <v>0</v>
      </c>
      <c r="M157" s="32">
        <f>IFERROR(capacityTbl[[#This Row],[No. of Transaction]]/(capacityTbl[[#This Row],[Productivity Baseline (Transation/FTE/Day)]]*capacityTbl[[#This Row],[Weighted Working day]]),0)</f>
        <v>0</v>
      </c>
      <c r="N157" s="33">
        <f>IFERROR(capacityTbl[[#This Row],[No. of Transaction]]/capacityTbl[[#This Row],[Production Days]],0)</f>
        <v>18.86725663716814</v>
      </c>
    </row>
    <row r="158" spans="1:14" x14ac:dyDescent="0.25">
      <c r="A158" s="24">
        <v>2025</v>
      </c>
      <c r="B158" s="110" t="s">
        <v>17</v>
      </c>
      <c r="C158" s="111" t="s">
        <v>296</v>
      </c>
      <c r="D158" s="27">
        <f>160+272+372+203+5</f>
        <v>1012</v>
      </c>
      <c r="E158" s="28">
        <v>76</v>
      </c>
      <c r="F158" s="29" cm="1">
        <f t="array" ref="F15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8" s="30" cm="1">
        <f t="array" ref="G15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8" s="30" cm="1">
        <f t="array" ref="H158">INDEX(stdWorkingDays[],MATCH(capacityTbl[[#This Row],[Year]]&amp;capacityTbl[[#This Row],[Month]],stdWorkingDays[Year]&amp;stdWorkingDays[Month],0),MATCH("China",stdWorkingDays[#Headers],0))</f>
        <v>19</v>
      </c>
      <c r="I158" s="30" cm="1">
        <f t="array" ref="I158">INDEX(stdWorkingDays[],MATCH(capacityTbl[[#This Row],[Year]]&amp;capacityTbl[[#This Row],[Month]],stdWorkingDays[Year]&amp;stdWorkingDays[Month],0),MATCH("Philippine",stdWorkingDays[#Headers],0))</f>
        <v>20</v>
      </c>
      <c r="J15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8" s="35">
        <f>IFERROR(capacityTbl[[#This Row],[Production Days]]/capacityTbl[[#This Row],[Weighted Working day]],0)</f>
        <v>0</v>
      </c>
      <c r="L158" s="31" cm="1">
        <f t="array" ref="L158">INDEX(ProductivityBaseline[ProductivityBaseline],MATCH(capacityTbl[[#This Row],[Process]]&amp;capacityTbl[[#This Row],[Year]],ProductivityBaseline[Title]&amp;ProductivityBaseline[Year to use],0))</f>
        <v>0</v>
      </c>
      <c r="M158" s="32">
        <f>IFERROR(capacityTbl[[#This Row],[No. of Transaction]]/(capacityTbl[[#This Row],[Productivity Baseline (Transation/FTE/Day)]]*capacityTbl[[#This Row],[Weighted Working day]]),0)</f>
        <v>0</v>
      </c>
      <c r="N158" s="33">
        <f>IFERROR(capacityTbl[[#This Row],[No. of Transaction]]/capacityTbl[[#This Row],[Production Days]],0)</f>
        <v>13.315789473684211</v>
      </c>
    </row>
    <row r="159" spans="1:14" x14ac:dyDescent="0.25">
      <c r="A159" s="24">
        <v>2025</v>
      </c>
      <c r="B159" s="110" t="s">
        <v>18</v>
      </c>
      <c r="C159" s="111" t="s">
        <v>296</v>
      </c>
      <c r="D159" s="27">
        <f>141+322+433+243+125</f>
        <v>1264</v>
      </c>
      <c r="E159" s="28">
        <v>80</v>
      </c>
      <c r="F159" s="29" cm="1">
        <f t="array" ref="F15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59" s="30" cm="1">
        <f t="array" ref="G15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59" s="30" cm="1">
        <f t="array" ref="H159">INDEX(stdWorkingDays[],MATCH(capacityTbl[[#This Row],[Year]]&amp;capacityTbl[[#This Row],[Month]],stdWorkingDays[Year]&amp;stdWorkingDays[Month],0),MATCH("China",stdWorkingDays[#Headers],0))</f>
        <v>21</v>
      </c>
      <c r="I159" s="30" cm="1">
        <f t="array" ref="I159">INDEX(stdWorkingDays[],MATCH(capacityTbl[[#This Row],[Year]]&amp;capacityTbl[[#This Row],[Month]],stdWorkingDays[Year]&amp;stdWorkingDays[Month],0),MATCH("Philippine",stdWorkingDays[#Headers],0))</f>
        <v>21</v>
      </c>
      <c r="J15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59" s="35">
        <f>IFERROR(capacityTbl[[#This Row],[Production Days]]/capacityTbl[[#This Row],[Weighted Working day]],0)</f>
        <v>0</v>
      </c>
      <c r="L159" s="31" cm="1">
        <f t="array" ref="L159">INDEX(ProductivityBaseline[ProductivityBaseline],MATCH(capacityTbl[[#This Row],[Process]]&amp;capacityTbl[[#This Row],[Year]],ProductivityBaseline[Title]&amp;ProductivityBaseline[Year to use],0))</f>
        <v>0</v>
      </c>
      <c r="M159" s="32">
        <f>IFERROR(capacityTbl[[#This Row],[No. of Transaction]]/(capacityTbl[[#This Row],[Productivity Baseline (Transation/FTE/Day)]]*capacityTbl[[#This Row],[Weighted Working day]]),0)</f>
        <v>0</v>
      </c>
      <c r="N159" s="33">
        <f>IFERROR(capacityTbl[[#This Row],[No. of Transaction]]/capacityTbl[[#This Row],[Production Days]],0)</f>
        <v>15.8</v>
      </c>
    </row>
    <row r="160" spans="1:14" x14ac:dyDescent="0.25">
      <c r="A160" s="24">
        <v>2025</v>
      </c>
      <c r="B160" s="110" t="s">
        <v>19</v>
      </c>
      <c r="C160" s="111" t="s">
        <v>296</v>
      </c>
      <c r="D160" s="27">
        <f>182+325+380+191+123</f>
        <v>1201</v>
      </c>
      <c r="E160" s="28">
        <v>74</v>
      </c>
      <c r="F160" s="29" cm="1">
        <f t="array" ref="F16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0" s="30" cm="1">
        <f t="array" ref="G16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0" s="30" cm="1">
        <f t="array" ref="H160">INDEX(stdWorkingDays[],MATCH(capacityTbl[[#This Row],[Year]]&amp;capacityTbl[[#This Row],[Month]],stdWorkingDays[Year]&amp;stdWorkingDays[Month],0),MATCH("China",stdWorkingDays[#Headers],0))</f>
        <v>22</v>
      </c>
      <c r="I160" s="30" cm="1">
        <f t="array" ref="I160">INDEX(stdWorkingDays[],MATCH(capacityTbl[[#This Row],[Year]]&amp;capacityTbl[[#This Row],[Month]],stdWorkingDays[Year]&amp;stdWorkingDays[Month],0),MATCH("Philippine",stdWorkingDays[#Headers],0))</f>
        <v>19</v>
      </c>
      <c r="J16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0" s="35">
        <f>IFERROR(capacityTbl[[#This Row],[Production Days]]/capacityTbl[[#This Row],[Weighted Working day]],0)</f>
        <v>0</v>
      </c>
      <c r="L160" s="31" cm="1">
        <f t="array" ref="L160">INDEX(ProductivityBaseline[ProductivityBaseline],MATCH(capacityTbl[[#This Row],[Process]]&amp;capacityTbl[[#This Row],[Year]],ProductivityBaseline[Title]&amp;ProductivityBaseline[Year to use],0))</f>
        <v>0</v>
      </c>
      <c r="M160" s="32">
        <f>IFERROR(capacityTbl[[#This Row],[No. of Transaction]]/(capacityTbl[[#This Row],[Productivity Baseline (Transation/FTE/Day)]]*capacityTbl[[#This Row],[Weighted Working day]]),0)</f>
        <v>0</v>
      </c>
      <c r="N160" s="33">
        <f>IFERROR(capacityTbl[[#This Row],[No. of Transaction]]/capacityTbl[[#This Row],[Production Days]],0)</f>
        <v>16.22972972972973</v>
      </c>
    </row>
    <row r="161" spans="1:16" x14ac:dyDescent="0.25">
      <c r="A161" s="24">
        <v>2025</v>
      </c>
      <c r="B161" s="110" t="s">
        <v>20</v>
      </c>
      <c r="C161" s="111" t="s">
        <v>296</v>
      </c>
      <c r="D161" s="27">
        <f>168+316+357+205+129</f>
        <v>1175</v>
      </c>
      <c r="E161" s="28">
        <v>78</v>
      </c>
      <c r="F161" s="29" cm="1">
        <f t="array" ref="F1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1" s="30" cm="1">
        <f t="array" ref="G1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1" s="30" cm="1">
        <f t="array" ref="H161">INDEX(stdWorkingDays[],MATCH(capacityTbl[[#This Row],[Year]]&amp;capacityTbl[[#This Row],[Month]],stdWorkingDays[Year]&amp;stdWorkingDays[Month],0),MATCH("China",stdWorkingDays[#Headers],0))</f>
        <v>19</v>
      </c>
      <c r="I161" s="30" cm="1">
        <f t="array" ref="I161">INDEX(stdWorkingDays[],MATCH(capacityTbl[[#This Row],[Year]]&amp;capacityTbl[[#This Row],[Month]],stdWorkingDays[Year]&amp;stdWorkingDays[Month],0),MATCH("Philippine",stdWorkingDays[#Headers],0))</f>
        <v>21</v>
      </c>
      <c r="J16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1" s="35">
        <f>IFERROR(capacityTbl[[#This Row],[Production Days]]/capacityTbl[[#This Row],[Weighted Working day]],0)</f>
        <v>0</v>
      </c>
      <c r="L161" s="31" cm="1">
        <f t="array" ref="L161">INDEX(ProductivityBaseline[ProductivityBaseline],MATCH(capacityTbl[[#This Row],[Process]]&amp;capacityTbl[[#This Row],[Year]],ProductivityBaseline[Title]&amp;ProductivityBaseline[Year to use],0))</f>
        <v>0</v>
      </c>
      <c r="M161" s="32">
        <f>IFERROR(capacityTbl[[#This Row],[No. of Transaction]]/(capacityTbl[[#This Row],[Productivity Baseline (Transation/FTE/Day)]]*capacityTbl[[#This Row],[Weighted Working day]]),0)</f>
        <v>0</v>
      </c>
      <c r="N161" s="33">
        <f>IFERROR(capacityTbl[[#This Row],[No. of Transaction]]/capacityTbl[[#This Row],[Production Days]],0)</f>
        <v>15.064102564102564</v>
      </c>
    </row>
    <row r="162" spans="1:16" x14ac:dyDescent="0.25">
      <c r="A162" s="24">
        <v>2025</v>
      </c>
      <c r="B162" s="110" t="s">
        <v>21</v>
      </c>
      <c r="C162" s="111" t="s">
        <v>296</v>
      </c>
      <c r="D162" s="27">
        <f>144+415+348+215+122</f>
        <v>1244</v>
      </c>
      <c r="E162" s="28">
        <v>72.5</v>
      </c>
      <c r="F162" s="29" cm="1">
        <f t="array" ref="F1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2" s="30" cm="1">
        <f t="array" ref="G1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2" s="30" cm="1">
        <f t="array" ref="H162">INDEX(stdWorkingDays[],MATCH(capacityTbl[[#This Row],[Year]]&amp;capacityTbl[[#This Row],[Month]],stdWorkingDays[Year]&amp;stdWorkingDays[Month],0),MATCH("China",stdWorkingDays[#Headers],0))</f>
        <v>20</v>
      </c>
      <c r="I162" s="30" cm="1">
        <f t="array" ref="I162">INDEX(stdWorkingDays[],MATCH(capacityTbl[[#This Row],[Year]]&amp;capacityTbl[[#This Row],[Month]],stdWorkingDays[Year]&amp;stdWorkingDays[Month],0),MATCH("Philippine",stdWorkingDays[#Headers],0))</f>
        <v>19</v>
      </c>
      <c r="J1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2" s="35">
        <f>IFERROR(capacityTbl[[#This Row],[Production Days]]/capacityTbl[[#This Row],[Weighted Working day]],0)</f>
        <v>0</v>
      </c>
      <c r="L162" s="31" cm="1">
        <f t="array" ref="L162">INDEX(ProductivityBaseline[ProductivityBaseline],MATCH(capacityTbl[[#This Row],[Process]]&amp;capacityTbl[[#This Row],[Year]],ProductivityBaseline[Title]&amp;ProductivityBaseline[Year to use],0))</f>
        <v>0</v>
      </c>
      <c r="M162" s="32">
        <f>IFERROR(capacityTbl[[#This Row],[No. of Transaction]]/(capacityTbl[[#This Row],[Productivity Baseline (Transation/FTE/Day)]]*capacityTbl[[#This Row],[Weighted Working day]]),0)</f>
        <v>0</v>
      </c>
      <c r="N162" s="33">
        <f>IFERROR(capacityTbl[[#This Row],[No. of Transaction]]/capacityTbl[[#This Row],[Production Days]],0)</f>
        <v>17.158620689655173</v>
      </c>
    </row>
    <row r="163" spans="1:16" x14ac:dyDescent="0.25">
      <c r="A163" s="24">
        <v>2025</v>
      </c>
      <c r="B163" s="110" t="s">
        <v>22</v>
      </c>
      <c r="C163" s="111" t="s">
        <v>296</v>
      </c>
      <c r="D163" s="68">
        <f>121+355+325+167+133</f>
        <v>1101</v>
      </c>
      <c r="E163" s="69">
        <v>86</v>
      </c>
      <c r="F163" s="29" cm="1">
        <f t="array" ref="F1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3" s="30" cm="1">
        <f t="array" ref="G1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3" s="30" cm="1">
        <f t="array" ref="H163">INDEX(stdWorkingDays[],MATCH(capacityTbl[[#This Row],[Year]]&amp;capacityTbl[[#This Row],[Month]],stdWorkingDays[Year]&amp;stdWorkingDays[Month],0),MATCH("China",stdWorkingDays[#Headers],0))</f>
        <v>23</v>
      </c>
      <c r="I163" s="30" cm="1">
        <f t="array" ref="I163">INDEX(stdWorkingDays[],MATCH(capacityTbl[[#This Row],[Year]]&amp;capacityTbl[[#This Row],[Month]],stdWorkingDays[Year]&amp;stdWorkingDays[Month],0),MATCH("Philippine",stdWorkingDays[#Headers],0))</f>
        <v>23</v>
      </c>
      <c r="J1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3" s="35">
        <f>IFERROR(capacityTbl[[#This Row],[Production Days]]/capacityTbl[[#This Row],[Weighted Working day]],0)</f>
        <v>0</v>
      </c>
      <c r="L163" s="31" cm="1">
        <f t="array" ref="L163">INDEX(ProductivityBaseline[ProductivityBaseline],MATCH(capacityTbl[[#This Row],[Process]]&amp;capacityTbl[[#This Row],[Year]],ProductivityBaseline[Title]&amp;ProductivityBaseline[Year to use],0))</f>
        <v>0</v>
      </c>
      <c r="M163" s="32">
        <f>IFERROR(capacityTbl[[#This Row],[No. of Transaction]]/(capacityTbl[[#This Row],[Productivity Baseline (Transation/FTE/Day)]]*capacityTbl[[#This Row],[Weighted Working day]]),0)</f>
        <v>0</v>
      </c>
      <c r="N163" s="33">
        <f>IFERROR(capacityTbl[[#This Row],[No. of Transaction]]/capacityTbl[[#This Row],[Production Days]],0)</f>
        <v>12.802325581395349</v>
      </c>
    </row>
    <row r="164" spans="1:16" x14ac:dyDescent="0.25">
      <c r="A164" s="24">
        <v>2025</v>
      </c>
      <c r="B164" s="110" t="s">
        <v>46</v>
      </c>
      <c r="C164" s="111" t="s">
        <v>296</v>
      </c>
      <c r="D164" s="68">
        <f>142+322+272+189+156</f>
        <v>1081</v>
      </c>
      <c r="E164" s="69">
        <v>73.5</v>
      </c>
      <c r="F164" s="29" cm="1">
        <f t="array" ref="F1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4" s="30" cm="1">
        <f t="array" ref="G1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4" s="30" cm="1">
        <f t="array" ref="H164">INDEX(stdWorkingDays[],MATCH(capacityTbl[[#This Row],[Year]]&amp;capacityTbl[[#This Row],[Month]],stdWorkingDays[Year]&amp;stdWorkingDays[Month],0),MATCH("China",stdWorkingDays[#Headers],0))</f>
        <v>21</v>
      </c>
      <c r="I164" s="30" cm="1">
        <f t="array" ref="I164">INDEX(stdWorkingDays[],MATCH(capacityTbl[[#This Row],[Year]]&amp;capacityTbl[[#This Row],[Month]],stdWorkingDays[Year]&amp;stdWorkingDays[Month],0),MATCH("Philippine",stdWorkingDays[#Headers],0))</f>
        <v>19</v>
      </c>
      <c r="J16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4" s="35">
        <f>IFERROR(capacityTbl[[#This Row],[Production Days]]/capacityTbl[[#This Row],[Weighted Working day]],0)</f>
        <v>0</v>
      </c>
      <c r="L164" s="31" cm="1">
        <f t="array" ref="L164">INDEX(ProductivityBaseline[ProductivityBaseline],MATCH(capacityTbl[[#This Row],[Process]]&amp;capacityTbl[[#This Row],[Year]],ProductivityBaseline[Title]&amp;ProductivityBaseline[Year to use],0))</f>
        <v>0</v>
      </c>
      <c r="M164" s="32">
        <f>IFERROR(capacityTbl[[#This Row],[No. of Transaction]]/(capacityTbl[[#This Row],[Productivity Baseline (Transation/FTE/Day)]]*capacityTbl[[#This Row],[Weighted Working day]]),0)</f>
        <v>0</v>
      </c>
      <c r="N164" s="33">
        <f>IFERROR(capacityTbl[[#This Row],[No. of Transaction]]/capacityTbl[[#This Row],[Production Days]],0)</f>
        <v>14.70748299319728</v>
      </c>
    </row>
    <row r="165" spans="1:16" x14ac:dyDescent="0.25">
      <c r="A165" s="24">
        <v>2025</v>
      </c>
      <c r="B165" s="110" t="s">
        <v>33</v>
      </c>
      <c r="C165" s="111" t="s">
        <v>296</v>
      </c>
      <c r="D165" s="68"/>
      <c r="E165" s="69"/>
      <c r="F165" s="29" cm="1">
        <f t="array" ref="F1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5" s="30" cm="1">
        <f t="array" ref="G16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5" s="30" cm="1">
        <f t="array" ref="H165">INDEX(stdWorkingDays[],MATCH(capacityTbl[[#This Row],[Year]]&amp;capacityTbl[[#This Row],[Month]],stdWorkingDays[Year]&amp;stdWorkingDays[Month],0),MATCH("China",stdWorkingDays[#Headers],0))</f>
        <v>23</v>
      </c>
      <c r="I165" s="30" cm="1">
        <f t="array" ref="I165">INDEX(stdWorkingDays[],MATCH(capacityTbl[[#This Row],[Year]]&amp;capacityTbl[[#This Row],[Month]],stdWorkingDays[Year]&amp;stdWorkingDays[Month],0),MATCH("Philippine",stdWorkingDays[#Headers],0))</f>
        <v>22</v>
      </c>
      <c r="J16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5" s="35">
        <f>IFERROR(capacityTbl[[#This Row],[Production Days]]/capacityTbl[[#This Row],[Weighted Working day]],0)</f>
        <v>0</v>
      </c>
      <c r="L165" s="31" cm="1">
        <f t="array" ref="L165">INDEX(ProductivityBaseline[ProductivityBaseline],MATCH(capacityTbl[[#This Row],[Process]]&amp;capacityTbl[[#This Row],[Year]],ProductivityBaseline[Title]&amp;ProductivityBaseline[Year to use],0))</f>
        <v>0</v>
      </c>
      <c r="M165" s="32">
        <f>IFERROR(capacityTbl[[#This Row],[No. of Transaction]]/(capacityTbl[[#This Row],[Productivity Baseline (Transation/FTE/Day)]]*capacityTbl[[#This Row],[Weighted Working day]]),0)</f>
        <v>0</v>
      </c>
      <c r="N165" s="33">
        <f>IFERROR(capacityTbl[[#This Row],[No. of Transaction]]/capacityTbl[[#This Row],[Production Days]],0)</f>
        <v>0</v>
      </c>
    </row>
    <row r="166" spans="1:16" x14ac:dyDescent="0.25">
      <c r="A166" s="24">
        <v>2025</v>
      </c>
      <c r="B166" s="110" t="s">
        <v>25</v>
      </c>
      <c r="C166" s="111" t="s">
        <v>296</v>
      </c>
      <c r="D166" s="68"/>
      <c r="E166" s="69"/>
      <c r="F166" s="29" cm="1">
        <f t="array" ref="F1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6" s="30" cm="1">
        <f t="array" ref="G16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6" s="30" cm="1">
        <f t="array" ref="H166">INDEX(stdWorkingDays[],MATCH(capacityTbl[[#This Row],[Year]]&amp;capacityTbl[[#This Row],[Month]],stdWorkingDays[Year]&amp;stdWorkingDays[Month],0),MATCH("China",stdWorkingDays[#Headers],0))</f>
        <v>18</v>
      </c>
      <c r="I166" s="30" cm="1">
        <f t="array" ref="I166">INDEX(stdWorkingDays[],MATCH(capacityTbl[[#This Row],[Year]]&amp;capacityTbl[[#This Row],[Month]],stdWorkingDays[Year]&amp;stdWorkingDays[Month],0),MATCH("Philippine",stdWorkingDays[#Headers],0))</f>
        <v>22</v>
      </c>
      <c r="J16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6" s="35">
        <f>IFERROR(capacityTbl[[#This Row],[Production Days]]/capacityTbl[[#This Row],[Weighted Working day]],0)</f>
        <v>0</v>
      </c>
      <c r="L166" s="31" cm="1">
        <f t="array" ref="L166">INDEX(ProductivityBaseline[ProductivityBaseline],MATCH(capacityTbl[[#This Row],[Process]]&amp;capacityTbl[[#This Row],[Year]],ProductivityBaseline[Title]&amp;ProductivityBaseline[Year to use],0))</f>
        <v>0</v>
      </c>
      <c r="M166" s="32">
        <f>IFERROR(capacityTbl[[#This Row],[No. of Transaction]]/(capacityTbl[[#This Row],[Productivity Baseline (Transation/FTE/Day)]]*capacityTbl[[#This Row],[Weighted Working day]]),0)</f>
        <v>0</v>
      </c>
      <c r="N166" s="33">
        <f>IFERROR(capacityTbl[[#This Row],[No. of Transaction]]/capacityTbl[[#This Row],[Production Days]],0)</f>
        <v>0</v>
      </c>
    </row>
    <row r="167" spans="1:16" x14ac:dyDescent="0.25">
      <c r="A167" s="24">
        <v>2025</v>
      </c>
      <c r="B167" s="110" t="s">
        <v>26</v>
      </c>
      <c r="C167" s="111" t="s">
        <v>296</v>
      </c>
      <c r="D167" s="68"/>
      <c r="E167" s="69"/>
      <c r="F167" s="29" cm="1">
        <f t="array" ref="F1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7" s="30" cm="1">
        <f t="array" ref="G16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7" s="30" cm="1">
        <f t="array" ref="H167">INDEX(stdWorkingDays[],MATCH(capacityTbl[[#This Row],[Year]]&amp;capacityTbl[[#This Row],[Month]],stdWorkingDays[Year]&amp;stdWorkingDays[Month],0),MATCH("China",stdWorkingDays[#Headers],0))</f>
        <v>20</v>
      </c>
      <c r="I167" s="30" cm="1">
        <f t="array" ref="I167">INDEX(stdWorkingDays[],MATCH(capacityTbl[[#This Row],[Year]]&amp;capacityTbl[[#This Row],[Month]],stdWorkingDays[Year]&amp;stdWorkingDays[Month],0),MATCH("Philippine",stdWorkingDays[#Headers],0))</f>
        <v>20</v>
      </c>
      <c r="J16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7" s="35">
        <f>IFERROR(capacityTbl[[#This Row],[Production Days]]/capacityTbl[[#This Row],[Weighted Working day]],0)</f>
        <v>0</v>
      </c>
      <c r="L167" s="31" cm="1">
        <f t="array" ref="L167">INDEX(ProductivityBaseline[ProductivityBaseline],MATCH(capacityTbl[[#This Row],[Process]]&amp;capacityTbl[[#This Row],[Year]],ProductivityBaseline[Title]&amp;ProductivityBaseline[Year to use],0))</f>
        <v>0</v>
      </c>
      <c r="M167" s="32">
        <f>IFERROR(capacityTbl[[#This Row],[No. of Transaction]]/(capacityTbl[[#This Row],[Productivity Baseline (Transation/FTE/Day)]]*capacityTbl[[#This Row],[Weighted Working day]]),0)</f>
        <v>0</v>
      </c>
      <c r="N167" s="33">
        <f>IFERROR(capacityTbl[[#This Row],[No. of Transaction]]/capacityTbl[[#This Row],[Production Days]],0)</f>
        <v>0</v>
      </c>
    </row>
    <row r="168" spans="1:16" x14ac:dyDescent="0.25">
      <c r="A168" s="37">
        <v>2025</v>
      </c>
      <c r="B168" s="112" t="s">
        <v>27</v>
      </c>
      <c r="C168" s="113" t="s">
        <v>296</v>
      </c>
      <c r="D168" s="70"/>
      <c r="E168" s="71"/>
      <c r="F168" s="42" cm="1">
        <f t="array" ref="F1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8" s="43" cm="1">
        <f t="array" ref="G16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8" s="43" cm="1">
        <f t="array" ref="H168">INDEX(stdWorkingDays[],MATCH(capacityTbl[[#This Row],[Year]]&amp;capacityTbl[[#This Row],[Month]],stdWorkingDays[Year]&amp;stdWorkingDays[Month],0),MATCH("China",stdWorkingDays[#Headers],0))</f>
        <v>23</v>
      </c>
      <c r="I168" s="43" cm="1">
        <f t="array" ref="I168">INDEX(stdWorkingDays[],MATCH(capacityTbl[[#This Row],[Year]]&amp;capacityTbl[[#This Row],[Month]],stdWorkingDays[Year]&amp;stdWorkingDays[Month],0),MATCH("Philippine",stdWorkingDays[#Headers],0))</f>
        <v>18</v>
      </c>
      <c r="J168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8" s="45">
        <f>IFERROR(capacityTbl[[#This Row],[Production Days]]/capacityTbl[[#This Row],[Weighted Working day]],0)</f>
        <v>0</v>
      </c>
      <c r="L168" s="44" cm="1">
        <f t="array" ref="L168">INDEX(ProductivityBaseline[ProductivityBaseline],MATCH(capacityTbl[[#This Row],[Process]]&amp;capacityTbl[[#This Row],[Year]],ProductivityBaseline[Title]&amp;ProductivityBaseline[Year to use],0))</f>
        <v>0</v>
      </c>
      <c r="M168" s="46">
        <f>IFERROR(capacityTbl[[#This Row],[No. of Transaction]]/(capacityTbl[[#This Row],[Productivity Baseline (Transation/FTE/Day)]]*capacityTbl[[#This Row],[Weighted Working day]]),0)</f>
        <v>0</v>
      </c>
      <c r="N168" s="47">
        <f>IFERROR(capacityTbl[[#This Row],[No. of Transaction]]/capacityTbl[[#This Row],[Production Days]],0)</f>
        <v>0</v>
      </c>
    </row>
    <row r="169" spans="1:16" x14ac:dyDescent="0.25">
      <c r="A169" s="24">
        <v>2025</v>
      </c>
      <c r="B169" s="112" t="s">
        <v>14</v>
      </c>
      <c r="C169" s="111" t="s">
        <v>297</v>
      </c>
      <c r="D169" s="68">
        <v>118</v>
      </c>
      <c r="E169" s="69">
        <v>17.5</v>
      </c>
      <c r="F169" s="29" cm="1">
        <f t="array" ref="F1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69" s="30" cm="1">
        <f t="array" ref="G16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69" s="30" cm="1">
        <f t="array" ref="H169">INDEX(stdWorkingDays[],MATCH(capacityTbl[[#This Row],[Year]]&amp;capacityTbl[[#This Row],[Month]],stdWorkingDays[Year]&amp;stdWorkingDays[Month],0),MATCH("China",stdWorkingDays[#Headers],0))</f>
        <v>19</v>
      </c>
      <c r="I169" s="30" cm="1">
        <f t="array" ref="I169">INDEX(stdWorkingDays[],MATCH(capacityTbl[[#This Row],[Year]]&amp;capacityTbl[[#This Row],[Month]],stdWorkingDays[Year]&amp;stdWorkingDays[Month],0),MATCH("Philippine",stdWorkingDays[#Headers],0))</f>
        <v>21</v>
      </c>
      <c r="J16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69" s="35">
        <f>IFERROR(capacityTbl[[#This Row],[Production Days]]/capacityTbl[[#This Row],[Weighted Working day]],0)</f>
        <v>0</v>
      </c>
      <c r="L169" s="31" cm="1">
        <f t="array" ref="L169">INDEX(ProductivityBaseline[ProductivityBaseline],MATCH(capacityTbl[[#This Row],[Process]]&amp;capacityTbl[[#This Row],[Year]],ProductivityBaseline[Title]&amp;ProductivityBaseline[Year to use],0))</f>
        <v>11.585585585585585</v>
      </c>
      <c r="M169" s="32">
        <f>IFERROR(capacityTbl[[#This Row],[No. of Transaction]]/(capacityTbl[[#This Row],[Productivity Baseline (Transation/FTE/Day)]]*capacityTbl[[#This Row],[Weighted Working day]]),0)</f>
        <v>0</v>
      </c>
      <c r="N169" s="33">
        <f>IFERROR(capacityTbl[[#This Row],[No. of Transaction]]/capacityTbl[[#This Row],[Production Days]],0)</f>
        <v>6.7428571428571429</v>
      </c>
    </row>
    <row r="170" spans="1:16" x14ac:dyDescent="0.25">
      <c r="A170" s="24">
        <v>2025</v>
      </c>
      <c r="B170" s="112" t="s">
        <v>17</v>
      </c>
      <c r="C170" s="111" t="s">
        <v>297</v>
      </c>
      <c r="D170" s="68">
        <v>119</v>
      </c>
      <c r="E170" s="69">
        <v>19</v>
      </c>
      <c r="F170" s="29" cm="1">
        <f t="array" ref="F1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0" s="30" cm="1">
        <f t="array" ref="G17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0" s="30" cm="1">
        <f t="array" ref="H170">INDEX(stdWorkingDays[],MATCH(capacityTbl[[#This Row],[Year]]&amp;capacityTbl[[#This Row],[Month]],stdWorkingDays[Year]&amp;stdWorkingDays[Month],0),MATCH("China",stdWorkingDays[#Headers],0))</f>
        <v>19</v>
      </c>
      <c r="I170" s="30" cm="1">
        <f t="array" ref="I170">INDEX(stdWorkingDays[],MATCH(capacityTbl[[#This Row],[Year]]&amp;capacityTbl[[#This Row],[Month]],stdWorkingDays[Year]&amp;stdWorkingDays[Month],0),MATCH("Philippine",stdWorkingDays[#Headers],0))</f>
        <v>20</v>
      </c>
      <c r="J17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0" s="35">
        <f>IFERROR(capacityTbl[[#This Row],[Production Days]]/capacityTbl[[#This Row],[Weighted Working day]],0)</f>
        <v>0</v>
      </c>
      <c r="L170" s="31" cm="1">
        <f t="array" ref="L170">INDEX(ProductivityBaseline[ProductivityBaseline],MATCH(capacityTbl[[#This Row],[Process]]&amp;capacityTbl[[#This Row],[Year]],ProductivityBaseline[Title]&amp;ProductivityBaseline[Year to use],0))</f>
        <v>11.585585585585585</v>
      </c>
      <c r="M170" s="32">
        <f>IFERROR(capacityTbl[[#This Row],[No. of Transaction]]/(capacityTbl[[#This Row],[Productivity Baseline (Transation/FTE/Day)]]*capacityTbl[[#This Row],[Weighted Working day]]),0)</f>
        <v>0</v>
      </c>
      <c r="N170" s="33">
        <f>IFERROR(capacityTbl[[#This Row],[No. of Transaction]]/capacityTbl[[#This Row],[Production Days]],0)</f>
        <v>6.2631578947368425</v>
      </c>
    </row>
    <row r="171" spans="1:16" x14ac:dyDescent="0.25">
      <c r="A171" s="24">
        <v>2025</v>
      </c>
      <c r="B171" s="112" t="s">
        <v>18</v>
      </c>
      <c r="C171" s="111" t="s">
        <v>297</v>
      </c>
      <c r="D171" s="68">
        <v>93</v>
      </c>
      <c r="E171" s="69">
        <v>19</v>
      </c>
      <c r="F171" s="29" cm="1">
        <f t="array" ref="F1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1" s="30" cm="1">
        <f t="array" ref="G17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1" s="30" cm="1">
        <f t="array" ref="H171">INDEX(stdWorkingDays[],MATCH(capacityTbl[[#This Row],[Year]]&amp;capacityTbl[[#This Row],[Month]],stdWorkingDays[Year]&amp;stdWorkingDays[Month],0),MATCH("China",stdWorkingDays[#Headers],0))</f>
        <v>21</v>
      </c>
      <c r="I171" s="30" cm="1">
        <f t="array" ref="I171">INDEX(stdWorkingDays[],MATCH(capacityTbl[[#This Row],[Year]]&amp;capacityTbl[[#This Row],[Month]],stdWorkingDays[Year]&amp;stdWorkingDays[Month],0),MATCH("Philippine",stdWorkingDays[#Headers],0))</f>
        <v>21</v>
      </c>
      <c r="J17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1" s="35">
        <f>IFERROR(capacityTbl[[#This Row],[Production Days]]/capacityTbl[[#This Row],[Weighted Working day]],0)</f>
        <v>0</v>
      </c>
      <c r="L171" s="31" cm="1">
        <f t="array" ref="L171">INDEX(ProductivityBaseline[ProductivityBaseline],MATCH(capacityTbl[[#This Row],[Process]]&amp;capacityTbl[[#This Row],[Year]],ProductivityBaseline[Title]&amp;ProductivityBaseline[Year to use],0))</f>
        <v>11.585585585585585</v>
      </c>
      <c r="M171" s="32">
        <f>IFERROR(capacityTbl[[#This Row],[No. of Transaction]]/(capacityTbl[[#This Row],[Productivity Baseline (Transation/FTE/Day)]]*capacityTbl[[#This Row],[Weighted Working day]]),0)</f>
        <v>0</v>
      </c>
      <c r="N171" s="33">
        <f>IFERROR(capacityTbl[[#This Row],[No. of Transaction]]/capacityTbl[[#This Row],[Production Days]],0)</f>
        <v>4.8947368421052628</v>
      </c>
    </row>
    <row r="172" spans="1:16" x14ac:dyDescent="0.25">
      <c r="A172" s="24">
        <v>2025</v>
      </c>
      <c r="B172" s="112" t="s">
        <v>19</v>
      </c>
      <c r="C172" s="111" t="s">
        <v>297</v>
      </c>
      <c r="D172" s="68">
        <v>125</v>
      </c>
      <c r="E172" s="69">
        <v>20</v>
      </c>
      <c r="F172" s="29" cm="1">
        <f t="array" ref="F1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2" s="30" cm="1">
        <f t="array" ref="G17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2" s="30" cm="1">
        <f t="array" ref="H172">INDEX(stdWorkingDays[],MATCH(capacityTbl[[#This Row],[Year]]&amp;capacityTbl[[#This Row],[Month]],stdWorkingDays[Year]&amp;stdWorkingDays[Month],0),MATCH("China",stdWorkingDays[#Headers],0))</f>
        <v>22</v>
      </c>
      <c r="I172" s="30" cm="1">
        <f t="array" ref="I172">INDEX(stdWorkingDays[],MATCH(capacityTbl[[#This Row],[Year]]&amp;capacityTbl[[#This Row],[Month]],stdWorkingDays[Year]&amp;stdWorkingDays[Month],0),MATCH("Philippine",stdWorkingDays[#Headers],0))</f>
        <v>19</v>
      </c>
      <c r="J17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2" s="35">
        <f>IFERROR(capacityTbl[[#This Row],[Production Days]]/capacityTbl[[#This Row],[Weighted Working day]],0)</f>
        <v>0</v>
      </c>
      <c r="L172" s="31" cm="1">
        <f t="array" ref="L172">INDEX(ProductivityBaseline[ProductivityBaseline],MATCH(capacityTbl[[#This Row],[Process]]&amp;capacityTbl[[#This Row],[Year]],ProductivityBaseline[Title]&amp;ProductivityBaseline[Year to use],0))</f>
        <v>11.585585585585585</v>
      </c>
      <c r="M172" s="32">
        <f>IFERROR(capacityTbl[[#This Row],[No. of Transaction]]/(capacityTbl[[#This Row],[Productivity Baseline (Transation/FTE/Day)]]*capacityTbl[[#This Row],[Weighted Working day]]),0)</f>
        <v>0</v>
      </c>
      <c r="N172" s="33">
        <f>IFERROR(capacityTbl[[#This Row],[No. of Transaction]]/capacityTbl[[#This Row],[Production Days]],0)</f>
        <v>6.25</v>
      </c>
      <c r="P172" s="15" t="s">
        <v>268</v>
      </c>
    </row>
    <row r="173" spans="1:16" x14ac:dyDescent="0.25">
      <c r="A173" s="24">
        <v>2025</v>
      </c>
      <c r="B173" s="112" t="s">
        <v>20</v>
      </c>
      <c r="C173" s="111" t="s">
        <v>297</v>
      </c>
      <c r="D173" s="68">
        <v>114</v>
      </c>
      <c r="E173" s="69">
        <v>20</v>
      </c>
      <c r="F173" s="29" cm="1">
        <f t="array" ref="F17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3" s="30" cm="1">
        <f t="array" ref="G17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3" s="30" cm="1">
        <f t="array" ref="H173">INDEX(stdWorkingDays[],MATCH(capacityTbl[[#This Row],[Year]]&amp;capacityTbl[[#This Row],[Month]],stdWorkingDays[Year]&amp;stdWorkingDays[Month],0),MATCH("China",stdWorkingDays[#Headers],0))</f>
        <v>19</v>
      </c>
      <c r="I173" s="30" cm="1">
        <f t="array" ref="I173">INDEX(stdWorkingDays[],MATCH(capacityTbl[[#This Row],[Year]]&amp;capacityTbl[[#This Row],[Month]],stdWorkingDays[Year]&amp;stdWorkingDays[Month],0),MATCH("Philippine",stdWorkingDays[#Headers],0))</f>
        <v>21</v>
      </c>
      <c r="J17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3" s="35">
        <f>IFERROR(capacityTbl[[#This Row],[Production Days]]/capacityTbl[[#This Row],[Weighted Working day]],0)</f>
        <v>0</v>
      </c>
      <c r="L173" s="31" cm="1">
        <f t="array" ref="L173">INDEX(ProductivityBaseline[ProductivityBaseline],MATCH(capacityTbl[[#This Row],[Process]]&amp;capacityTbl[[#This Row],[Year]],ProductivityBaseline[Title]&amp;ProductivityBaseline[Year to use],0))</f>
        <v>11.585585585585585</v>
      </c>
      <c r="M173" s="32">
        <f>IFERROR(capacityTbl[[#This Row],[No. of Transaction]]/(capacityTbl[[#This Row],[Productivity Baseline (Transation/FTE/Day)]]*capacityTbl[[#This Row],[Weighted Working day]]),0)</f>
        <v>0</v>
      </c>
      <c r="N173" s="33">
        <f>IFERROR(capacityTbl[[#This Row],[No. of Transaction]]/capacityTbl[[#This Row],[Production Days]],0)</f>
        <v>5.7</v>
      </c>
    </row>
    <row r="174" spans="1:16" x14ac:dyDescent="0.25">
      <c r="A174" s="24">
        <v>2025</v>
      </c>
      <c r="B174" s="112" t="s">
        <v>21</v>
      </c>
      <c r="C174" s="111" t="s">
        <v>297</v>
      </c>
      <c r="D174" s="68">
        <v>98</v>
      </c>
      <c r="E174" s="69">
        <v>19</v>
      </c>
      <c r="F174" s="29" cm="1">
        <f t="array" ref="F17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4" s="30" cm="1">
        <f t="array" ref="G17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4" s="30" cm="1">
        <f t="array" ref="H174">INDEX(stdWorkingDays[],MATCH(capacityTbl[[#This Row],[Year]]&amp;capacityTbl[[#This Row],[Month]],stdWorkingDays[Year]&amp;stdWorkingDays[Month],0),MATCH("China",stdWorkingDays[#Headers],0))</f>
        <v>20</v>
      </c>
      <c r="I174" s="30" cm="1">
        <f t="array" ref="I174">INDEX(stdWorkingDays[],MATCH(capacityTbl[[#This Row],[Year]]&amp;capacityTbl[[#This Row],[Month]],stdWorkingDays[Year]&amp;stdWorkingDays[Month],0),MATCH("Philippine",stdWorkingDays[#Headers],0))</f>
        <v>19</v>
      </c>
      <c r="J17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4" s="35">
        <f>IFERROR(capacityTbl[[#This Row],[Production Days]]/capacityTbl[[#This Row],[Weighted Working day]],0)</f>
        <v>0</v>
      </c>
      <c r="L174" s="31" cm="1">
        <f t="array" ref="L174">INDEX(ProductivityBaseline[ProductivityBaseline],MATCH(capacityTbl[[#This Row],[Process]]&amp;capacityTbl[[#This Row],[Year]],ProductivityBaseline[Title]&amp;ProductivityBaseline[Year to use],0))</f>
        <v>11.585585585585585</v>
      </c>
      <c r="M174" s="32">
        <f>IFERROR(capacityTbl[[#This Row],[No. of Transaction]]/(capacityTbl[[#This Row],[Productivity Baseline (Transation/FTE/Day)]]*capacityTbl[[#This Row],[Weighted Working day]]),0)</f>
        <v>0</v>
      </c>
      <c r="N174" s="33">
        <f>IFERROR(capacityTbl[[#This Row],[No. of Transaction]]/capacityTbl[[#This Row],[Production Days]],0)</f>
        <v>5.1578947368421053</v>
      </c>
    </row>
    <row r="175" spans="1:16" x14ac:dyDescent="0.25">
      <c r="A175" s="24">
        <v>2025</v>
      </c>
      <c r="B175" s="112" t="s">
        <v>22</v>
      </c>
      <c r="C175" s="111" t="s">
        <v>297</v>
      </c>
      <c r="D175" s="68">
        <v>100</v>
      </c>
      <c r="E175" s="69">
        <v>22</v>
      </c>
      <c r="F175" s="29" cm="1">
        <f t="array" ref="F17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5" s="30" cm="1">
        <f t="array" ref="G17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5" s="30" cm="1">
        <f t="array" ref="H175">INDEX(stdWorkingDays[],MATCH(capacityTbl[[#This Row],[Year]]&amp;capacityTbl[[#This Row],[Month]],stdWorkingDays[Year]&amp;stdWorkingDays[Month],0),MATCH("China",stdWorkingDays[#Headers],0))</f>
        <v>23</v>
      </c>
      <c r="I175" s="30" cm="1">
        <f t="array" ref="I175">INDEX(stdWorkingDays[],MATCH(capacityTbl[[#This Row],[Year]]&amp;capacityTbl[[#This Row],[Month]],stdWorkingDays[Year]&amp;stdWorkingDays[Month],0),MATCH("Philippine",stdWorkingDays[#Headers],0))</f>
        <v>23</v>
      </c>
      <c r="J17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5" s="35">
        <f>IFERROR(capacityTbl[[#This Row],[Production Days]]/capacityTbl[[#This Row],[Weighted Working day]],0)</f>
        <v>0</v>
      </c>
      <c r="L175" s="31" cm="1">
        <f t="array" ref="L175">INDEX(ProductivityBaseline[ProductivityBaseline],MATCH(capacityTbl[[#This Row],[Process]]&amp;capacityTbl[[#This Row],[Year]],ProductivityBaseline[Title]&amp;ProductivityBaseline[Year to use],0))</f>
        <v>11.585585585585585</v>
      </c>
      <c r="M175" s="32">
        <f>IFERROR(capacityTbl[[#This Row],[No. of Transaction]]/(capacityTbl[[#This Row],[Productivity Baseline (Transation/FTE/Day)]]*capacityTbl[[#This Row],[Weighted Working day]]),0)</f>
        <v>0</v>
      </c>
      <c r="N175" s="33">
        <f>IFERROR(capacityTbl[[#This Row],[No. of Transaction]]/capacityTbl[[#This Row],[Production Days]],0)</f>
        <v>4.5454545454545459</v>
      </c>
    </row>
    <row r="176" spans="1:16" x14ac:dyDescent="0.25">
      <c r="A176" s="24">
        <v>2025</v>
      </c>
      <c r="B176" s="112" t="s">
        <v>46</v>
      </c>
      <c r="C176" s="111" t="s">
        <v>297</v>
      </c>
      <c r="D176" s="68">
        <v>107</v>
      </c>
      <c r="E176" s="69">
        <v>20</v>
      </c>
      <c r="F176" s="29" cm="1">
        <f t="array" ref="F17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6" s="30" cm="1">
        <f t="array" ref="G17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6" s="30" cm="1">
        <f t="array" ref="H176">INDEX(stdWorkingDays[],MATCH(capacityTbl[[#This Row],[Year]]&amp;capacityTbl[[#This Row],[Month]],stdWorkingDays[Year]&amp;stdWorkingDays[Month],0),MATCH("China",stdWorkingDays[#Headers],0))</f>
        <v>21</v>
      </c>
      <c r="I176" s="30" cm="1">
        <f t="array" ref="I176">INDEX(stdWorkingDays[],MATCH(capacityTbl[[#This Row],[Year]]&amp;capacityTbl[[#This Row],[Month]],stdWorkingDays[Year]&amp;stdWorkingDays[Month],0),MATCH("Philippine",stdWorkingDays[#Headers],0))</f>
        <v>19</v>
      </c>
      <c r="J17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6" s="35">
        <f>IFERROR(capacityTbl[[#This Row],[Production Days]]/capacityTbl[[#This Row],[Weighted Working day]],0)</f>
        <v>0</v>
      </c>
      <c r="L176" s="31" cm="1">
        <f t="array" ref="L176">INDEX(ProductivityBaseline[ProductivityBaseline],MATCH(capacityTbl[[#This Row],[Process]]&amp;capacityTbl[[#This Row],[Year]],ProductivityBaseline[Title]&amp;ProductivityBaseline[Year to use],0))</f>
        <v>11.585585585585585</v>
      </c>
      <c r="M176" s="32">
        <f>IFERROR(capacityTbl[[#This Row],[No. of Transaction]]/(capacityTbl[[#This Row],[Productivity Baseline (Transation/FTE/Day)]]*capacityTbl[[#This Row],[Weighted Working day]]),0)</f>
        <v>0</v>
      </c>
      <c r="N176" s="33">
        <f>IFERROR(capacityTbl[[#This Row],[No. of Transaction]]/capacityTbl[[#This Row],[Production Days]],0)</f>
        <v>5.35</v>
      </c>
    </row>
    <row r="177" spans="1:14" x14ac:dyDescent="0.25">
      <c r="A177" s="24">
        <v>2025</v>
      </c>
      <c r="B177" s="112" t="s">
        <v>33</v>
      </c>
      <c r="C177" s="111" t="s">
        <v>297</v>
      </c>
      <c r="D177" s="68"/>
      <c r="E177" s="69"/>
      <c r="F177" s="29" cm="1">
        <f t="array" ref="F17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7" s="30" cm="1">
        <f t="array" ref="G17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7" s="30" cm="1">
        <f t="array" ref="H177">INDEX(stdWorkingDays[],MATCH(capacityTbl[[#This Row],[Year]]&amp;capacityTbl[[#This Row],[Month]],stdWorkingDays[Year]&amp;stdWorkingDays[Month],0),MATCH("China",stdWorkingDays[#Headers],0))</f>
        <v>23</v>
      </c>
      <c r="I177" s="30" cm="1">
        <f t="array" ref="I177">INDEX(stdWorkingDays[],MATCH(capacityTbl[[#This Row],[Year]]&amp;capacityTbl[[#This Row],[Month]],stdWorkingDays[Year]&amp;stdWorkingDays[Month],0),MATCH("Philippine",stdWorkingDays[#Headers],0))</f>
        <v>22</v>
      </c>
      <c r="J17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7" s="35">
        <f>IFERROR(capacityTbl[[#This Row],[Production Days]]/capacityTbl[[#This Row],[Weighted Working day]],0)</f>
        <v>0</v>
      </c>
      <c r="L177" s="31" cm="1">
        <f t="array" ref="L177">INDEX(ProductivityBaseline[ProductivityBaseline],MATCH(capacityTbl[[#This Row],[Process]]&amp;capacityTbl[[#This Row],[Year]],ProductivityBaseline[Title]&amp;ProductivityBaseline[Year to use],0))</f>
        <v>11.585585585585585</v>
      </c>
      <c r="M177" s="32">
        <f>IFERROR(capacityTbl[[#This Row],[No. of Transaction]]/(capacityTbl[[#This Row],[Productivity Baseline (Transation/FTE/Day)]]*capacityTbl[[#This Row],[Weighted Working day]]),0)</f>
        <v>0</v>
      </c>
      <c r="N177" s="33">
        <f>IFERROR(capacityTbl[[#This Row],[No. of Transaction]]/capacityTbl[[#This Row],[Production Days]],0)</f>
        <v>0</v>
      </c>
    </row>
    <row r="178" spans="1:14" x14ac:dyDescent="0.25">
      <c r="A178" s="24">
        <v>2025</v>
      </c>
      <c r="B178" s="112" t="s">
        <v>25</v>
      </c>
      <c r="C178" s="111" t="s">
        <v>297</v>
      </c>
      <c r="D178" s="68"/>
      <c r="E178" s="69"/>
      <c r="F178" s="29" cm="1">
        <f t="array" ref="F17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8" s="30" cm="1">
        <f t="array" ref="G1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8" s="30" cm="1">
        <f t="array" ref="H178">INDEX(stdWorkingDays[],MATCH(capacityTbl[[#This Row],[Year]]&amp;capacityTbl[[#This Row],[Month]],stdWorkingDays[Year]&amp;stdWorkingDays[Month],0),MATCH("China",stdWorkingDays[#Headers],0))</f>
        <v>18</v>
      </c>
      <c r="I178" s="30" cm="1">
        <f t="array" ref="I178">INDEX(stdWorkingDays[],MATCH(capacityTbl[[#This Row],[Year]]&amp;capacityTbl[[#This Row],[Month]],stdWorkingDays[Year]&amp;stdWorkingDays[Month],0),MATCH("Philippine",stdWorkingDays[#Headers],0))</f>
        <v>22</v>
      </c>
      <c r="J17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8" s="35">
        <f>IFERROR(capacityTbl[[#This Row],[Production Days]]/capacityTbl[[#This Row],[Weighted Working day]],0)</f>
        <v>0</v>
      </c>
      <c r="L178" s="31" cm="1">
        <f t="array" ref="L178">INDEX(ProductivityBaseline[ProductivityBaseline],MATCH(capacityTbl[[#This Row],[Process]]&amp;capacityTbl[[#This Row],[Year]],ProductivityBaseline[Title]&amp;ProductivityBaseline[Year to use],0))</f>
        <v>11.585585585585585</v>
      </c>
      <c r="M178" s="32">
        <f>IFERROR(capacityTbl[[#This Row],[No. of Transaction]]/(capacityTbl[[#This Row],[Productivity Baseline (Transation/FTE/Day)]]*capacityTbl[[#This Row],[Weighted Working day]]),0)</f>
        <v>0</v>
      </c>
      <c r="N178" s="33">
        <f>IFERROR(capacityTbl[[#This Row],[No. of Transaction]]/capacityTbl[[#This Row],[Production Days]],0)</f>
        <v>0</v>
      </c>
    </row>
    <row r="179" spans="1:14" x14ac:dyDescent="0.25">
      <c r="A179" s="24">
        <v>2025</v>
      </c>
      <c r="B179" s="112" t="s">
        <v>26</v>
      </c>
      <c r="C179" s="111" t="s">
        <v>297</v>
      </c>
      <c r="D179" s="68"/>
      <c r="E179" s="69"/>
      <c r="F179" s="29" cm="1">
        <f t="array" ref="F17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79" s="30" cm="1">
        <f t="array" ref="G1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79" s="30" cm="1">
        <f t="array" ref="H179">INDEX(stdWorkingDays[],MATCH(capacityTbl[[#This Row],[Year]]&amp;capacityTbl[[#This Row],[Month]],stdWorkingDays[Year]&amp;stdWorkingDays[Month],0),MATCH("China",stdWorkingDays[#Headers],0))</f>
        <v>20</v>
      </c>
      <c r="I179" s="30" cm="1">
        <f t="array" ref="I179">INDEX(stdWorkingDays[],MATCH(capacityTbl[[#This Row],[Year]]&amp;capacityTbl[[#This Row],[Month]],stdWorkingDays[Year]&amp;stdWorkingDays[Month],0),MATCH("Philippine",stdWorkingDays[#Headers],0))</f>
        <v>20</v>
      </c>
      <c r="J17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79" s="35">
        <f>IFERROR(capacityTbl[[#This Row],[Production Days]]/capacityTbl[[#This Row],[Weighted Working day]],0)</f>
        <v>0</v>
      </c>
      <c r="L179" s="31" cm="1">
        <f t="array" ref="L179">INDEX(ProductivityBaseline[ProductivityBaseline],MATCH(capacityTbl[[#This Row],[Process]]&amp;capacityTbl[[#This Row],[Year]],ProductivityBaseline[Title]&amp;ProductivityBaseline[Year to use],0))</f>
        <v>11.585585585585585</v>
      </c>
      <c r="M179" s="32">
        <f>IFERROR(capacityTbl[[#This Row],[No. of Transaction]]/(capacityTbl[[#This Row],[Productivity Baseline (Transation/FTE/Day)]]*capacityTbl[[#This Row],[Weighted Working day]]),0)</f>
        <v>0</v>
      </c>
      <c r="N179" s="33">
        <f>IFERROR(capacityTbl[[#This Row],[No. of Transaction]]/capacityTbl[[#This Row],[Production Days]],0)</f>
        <v>0</v>
      </c>
    </row>
    <row r="180" spans="1:14" x14ac:dyDescent="0.25">
      <c r="A180" s="37">
        <v>2025</v>
      </c>
      <c r="B180" s="112" t="s">
        <v>27</v>
      </c>
      <c r="C180" s="113" t="s">
        <v>297</v>
      </c>
      <c r="D180" s="70"/>
      <c r="E180" s="71"/>
      <c r="F180" s="42" cm="1">
        <f t="array" ref="F18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0" s="43" cm="1">
        <f t="array" ref="G1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80" s="43" cm="1">
        <f t="array" ref="H180">INDEX(stdWorkingDays[],MATCH(capacityTbl[[#This Row],[Year]]&amp;capacityTbl[[#This Row],[Month]],stdWorkingDays[Year]&amp;stdWorkingDays[Month],0),MATCH("China",stdWorkingDays[#Headers],0))</f>
        <v>23</v>
      </c>
      <c r="I180" s="43" cm="1">
        <f t="array" ref="I180">INDEX(stdWorkingDays[],MATCH(capacityTbl[[#This Row],[Year]]&amp;capacityTbl[[#This Row],[Month]],stdWorkingDays[Year]&amp;stdWorkingDays[Month],0),MATCH("Philippine",stdWorkingDays[#Headers],0))</f>
        <v>18</v>
      </c>
      <c r="J180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80" s="45">
        <f>IFERROR(capacityTbl[[#This Row],[Production Days]]/capacityTbl[[#This Row],[Weighted Working day]],0)</f>
        <v>0</v>
      </c>
      <c r="L180" s="44" cm="1">
        <f t="array" ref="L180">INDEX(ProductivityBaseline[ProductivityBaseline],MATCH(capacityTbl[[#This Row],[Process]]&amp;capacityTbl[[#This Row],[Year]],ProductivityBaseline[Title]&amp;ProductivityBaseline[Year to use],0))</f>
        <v>11.585585585585585</v>
      </c>
      <c r="M180" s="46">
        <f>IFERROR(capacityTbl[[#This Row],[No. of Transaction]]/(capacityTbl[[#This Row],[Productivity Baseline (Transation/FTE/Day)]]*capacityTbl[[#This Row],[Weighted Working day]]),0)</f>
        <v>0</v>
      </c>
      <c r="N180" s="47">
        <f>IFERROR(capacityTbl[[#This Row],[No. of Transaction]]/capacityTbl[[#This Row],[Production Days]],0)</f>
        <v>0</v>
      </c>
    </row>
    <row r="181" spans="1:14" x14ac:dyDescent="0.25">
      <c r="A181" s="24">
        <v>2025</v>
      </c>
      <c r="B181" s="38" t="s">
        <v>14</v>
      </c>
      <c r="C181" s="26" t="s">
        <v>37</v>
      </c>
      <c r="D181" s="87">
        <f>320+790</f>
        <v>1110</v>
      </c>
      <c r="E181" s="88">
        <v>28.5</v>
      </c>
      <c r="F181" s="29" cm="1">
        <f t="array" ref="F18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1" s="30" cm="1">
        <f t="array" ref="G181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1" s="30" cm="1">
        <f t="array" ref="H181">INDEX(stdWorkingDays[],MATCH(capacityTbl[[#This Row],[Year]]&amp;capacityTbl[[#This Row],[Month]],stdWorkingDays[Year]&amp;stdWorkingDays[Month],0),MATCH("China",stdWorkingDays[#Headers],0))</f>
        <v>19</v>
      </c>
      <c r="I181" s="30" cm="1">
        <f t="array" ref="I181">INDEX(stdWorkingDays[],MATCH(capacityTbl[[#This Row],[Year]]&amp;capacityTbl[[#This Row],[Month]],stdWorkingDays[Year]&amp;stdWorkingDays[Month],0),MATCH("Philippine",stdWorkingDays[#Headers],0))</f>
        <v>21</v>
      </c>
      <c r="J18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81" s="35">
        <f>IFERROR(capacityTbl[[#This Row],[Production Days]]/capacityTbl[[#This Row],[Weighted Working day]],0)</f>
        <v>1.3571428571428572</v>
      </c>
      <c r="L181" s="31" cm="1">
        <f t="array" ref="L181">INDEX(ProductivityBaseline[ProductivityBaseline],MATCH(capacityTbl[[#This Row],[Process]]&amp;capacityTbl[[#This Row],[Year]],ProductivityBaseline[Title]&amp;ProductivityBaseline[Year to use],0))</f>
        <v>39</v>
      </c>
      <c r="M181" s="32">
        <f>IFERROR(capacityTbl[[#This Row],[No. of Transaction]]/(capacityTbl[[#This Row],[Productivity Baseline (Transation/FTE/Day)]]*capacityTbl[[#This Row],[Weighted Working day]]),0)</f>
        <v>1.3553113553113554</v>
      </c>
      <c r="N181" s="33">
        <f>IFERROR(capacityTbl[[#This Row],[No. of Transaction]]/capacityTbl[[#This Row],[Production Days]],0)</f>
        <v>38.94736842105263</v>
      </c>
    </row>
    <row r="182" spans="1:14" x14ac:dyDescent="0.25">
      <c r="A182" s="24">
        <v>2025</v>
      </c>
      <c r="B182" s="38" t="s">
        <v>17</v>
      </c>
      <c r="C182" s="26" t="s">
        <v>37</v>
      </c>
      <c r="D182" s="87">
        <f>698+323</f>
        <v>1021</v>
      </c>
      <c r="E182" s="88">
        <v>27.5</v>
      </c>
      <c r="F182" s="29" cm="1">
        <f t="array" ref="F18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2" s="30" cm="1">
        <f t="array" ref="G182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2" s="30" cm="1">
        <f t="array" ref="H182">INDEX(stdWorkingDays[],MATCH(capacityTbl[[#This Row],[Year]]&amp;capacityTbl[[#This Row],[Month]],stdWorkingDays[Year]&amp;stdWorkingDays[Month],0),MATCH("China",stdWorkingDays[#Headers],0))</f>
        <v>19</v>
      </c>
      <c r="I182" s="30" cm="1">
        <f t="array" ref="I182">INDEX(stdWorkingDays[],MATCH(capacityTbl[[#This Row],[Year]]&amp;capacityTbl[[#This Row],[Month]],stdWorkingDays[Year]&amp;stdWorkingDays[Month],0),MATCH("Philippine",stdWorkingDays[#Headers],0))</f>
        <v>20</v>
      </c>
      <c r="J182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82" s="35">
        <f>IFERROR(capacityTbl[[#This Row],[Production Days]]/capacityTbl[[#This Row],[Weighted Working day]],0)</f>
        <v>1.375</v>
      </c>
      <c r="L182" s="31" cm="1">
        <f t="array" ref="L182">INDEX(ProductivityBaseline[ProductivityBaseline],MATCH(capacityTbl[[#This Row],[Process]]&amp;capacityTbl[[#This Row],[Year]],ProductivityBaseline[Title]&amp;ProductivityBaseline[Year to use],0))</f>
        <v>39</v>
      </c>
      <c r="M182" s="32">
        <f>IFERROR(capacityTbl[[#This Row],[No. of Transaction]]/(capacityTbl[[#This Row],[Productivity Baseline (Transation/FTE/Day)]]*capacityTbl[[#This Row],[Weighted Working day]]),0)</f>
        <v>1.308974358974359</v>
      </c>
      <c r="N182" s="33">
        <f>IFERROR(capacityTbl[[#This Row],[No. of Transaction]]/capacityTbl[[#This Row],[Production Days]],0)</f>
        <v>37.127272727272725</v>
      </c>
    </row>
    <row r="183" spans="1:14" x14ac:dyDescent="0.25">
      <c r="A183" s="24">
        <v>2025</v>
      </c>
      <c r="B183" s="38" t="s">
        <v>18</v>
      </c>
      <c r="C183" s="26" t="s">
        <v>37</v>
      </c>
      <c r="D183" s="87">
        <f>791+354</f>
        <v>1145</v>
      </c>
      <c r="E183" s="88">
        <v>24.5</v>
      </c>
      <c r="F183" s="29" cm="1">
        <f t="array" ref="F18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3" s="30" cm="1">
        <f t="array" ref="G183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3" s="30" cm="1">
        <f t="array" ref="H183">INDEX(stdWorkingDays[],MATCH(capacityTbl[[#This Row],[Year]]&amp;capacityTbl[[#This Row],[Month]],stdWorkingDays[Year]&amp;stdWorkingDays[Month],0),MATCH("China",stdWorkingDays[#Headers],0))</f>
        <v>21</v>
      </c>
      <c r="I183" s="30" cm="1">
        <f t="array" ref="I183">INDEX(stdWorkingDays[],MATCH(capacityTbl[[#This Row],[Year]]&amp;capacityTbl[[#This Row],[Month]],stdWorkingDays[Year]&amp;stdWorkingDays[Month],0),MATCH("Philippine",stdWorkingDays[#Headers],0))</f>
        <v>21</v>
      </c>
      <c r="J183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83" s="35">
        <f>IFERROR(capacityTbl[[#This Row],[Production Days]]/capacityTbl[[#This Row],[Weighted Working day]],0)</f>
        <v>1.1666666666666667</v>
      </c>
      <c r="L183" s="31" cm="1">
        <f t="array" ref="L183">INDEX(ProductivityBaseline[ProductivityBaseline],MATCH(capacityTbl[[#This Row],[Process]]&amp;capacityTbl[[#This Row],[Year]],ProductivityBaseline[Title]&amp;ProductivityBaseline[Year to use],0))</f>
        <v>39</v>
      </c>
      <c r="M183" s="32">
        <f>IFERROR(capacityTbl[[#This Row],[No. of Transaction]]/(capacityTbl[[#This Row],[Productivity Baseline (Transation/FTE/Day)]]*capacityTbl[[#This Row],[Weighted Working day]]),0)</f>
        <v>1.398046398046398</v>
      </c>
      <c r="N183" s="33">
        <f>IFERROR(capacityTbl[[#This Row],[No. of Transaction]]/capacityTbl[[#This Row],[Production Days]],0)</f>
        <v>46.734693877551024</v>
      </c>
    </row>
    <row r="184" spans="1:14" x14ac:dyDescent="0.25">
      <c r="A184" s="24">
        <v>2025</v>
      </c>
      <c r="B184" s="38" t="s">
        <v>19</v>
      </c>
      <c r="C184" s="26" t="s">
        <v>37</v>
      </c>
      <c r="D184" s="87">
        <f>770+325</f>
        <v>1095</v>
      </c>
      <c r="E184" s="88">
        <v>19</v>
      </c>
      <c r="F184" s="29" cm="1">
        <f t="array" ref="F18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4" s="30" cm="1">
        <f t="array" ref="G184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84" s="30" cm="1">
        <f t="array" ref="H184">INDEX(stdWorkingDays[],MATCH(capacityTbl[[#This Row],[Year]]&amp;capacityTbl[[#This Row],[Month]],stdWorkingDays[Year]&amp;stdWorkingDays[Month],0),MATCH("China",stdWorkingDays[#Headers],0))</f>
        <v>22</v>
      </c>
      <c r="I184" s="30" cm="1">
        <f t="array" ref="I184">INDEX(stdWorkingDays[],MATCH(capacityTbl[[#This Row],[Year]]&amp;capacityTbl[[#This Row],[Month]],stdWorkingDays[Year]&amp;stdWorkingDays[Month],0),MATCH("Philippine",stdWorkingDays[#Headers],0))</f>
        <v>19</v>
      </c>
      <c r="J18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84" s="35">
        <f>IFERROR(capacityTbl[[#This Row],[Production Days]]/capacityTbl[[#This Row],[Weighted Working day]],0)</f>
        <v>1</v>
      </c>
      <c r="L184" s="31" cm="1">
        <f t="array" ref="L184">INDEX(ProductivityBaseline[ProductivityBaseline],MATCH(capacityTbl[[#This Row],[Process]]&amp;capacityTbl[[#This Row],[Year]],ProductivityBaseline[Title]&amp;ProductivityBaseline[Year to use],0))</f>
        <v>39</v>
      </c>
      <c r="M184" s="32">
        <f>IFERROR(capacityTbl[[#This Row],[No. of Transaction]]/(capacityTbl[[#This Row],[Productivity Baseline (Transation/FTE/Day)]]*capacityTbl[[#This Row],[Weighted Working day]]),0)</f>
        <v>1.4777327935222673</v>
      </c>
      <c r="N184" s="33">
        <f>IFERROR(capacityTbl[[#This Row],[No. of Transaction]]/capacityTbl[[#This Row],[Production Days]],0)</f>
        <v>57.631578947368418</v>
      </c>
    </row>
    <row r="185" spans="1:14" x14ac:dyDescent="0.25">
      <c r="A185" s="24">
        <v>2025</v>
      </c>
      <c r="B185" s="38" t="s">
        <v>20</v>
      </c>
      <c r="C185" s="26" t="s">
        <v>37</v>
      </c>
      <c r="D185" s="87">
        <f>734+310</f>
        <v>1044</v>
      </c>
      <c r="E185" s="88">
        <v>31.5</v>
      </c>
      <c r="F185" s="29" cm="1">
        <f t="array" ref="F18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5" s="30" cm="1">
        <f t="array" ref="G18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5" s="30" cm="1">
        <f t="array" ref="H185">INDEX(stdWorkingDays[],MATCH(capacityTbl[[#This Row],[Year]]&amp;capacityTbl[[#This Row],[Month]],stdWorkingDays[Year]&amp;stdWorkingDays[Month],0),MATCH("China",stdWorkingDays[#Headers],0))</f>
        <v>19</v>
      </c>
      <c r="I185" s="30" cm="1">
        <f t="array" ref="I185">INDEX(stdWorkingDays[],MATCH(capacityTbl[[#This Row],[Year]]&amp;capacityTbl[[#This Row],[Month]],stdWorkingDays[Year]&amp;stdWorkingDays[Month],0),MATCH("Philippine",stdWorkingDays[#Headers],0))</f>
        <v>21</v>
      </c>
      <c r="J18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85" s="35">
        <f>IFERROR(capacityTbl[[#This Row],[Production Days]]/capacityTbl[[#This Row],[Weighted Working day]],0)</f>
        <v>1.5</v>
      </c>
      <c r="L185" s="31" cm="1">
        <f t="array" ref="L185">INDEX(ProductivityBaseline[ProductivityBaseline],MATCH(capacityTbl[[#This Row],[Process]]&amp;capacityTbl[[#This Row],[Year]],ProductivityBaseline[Title]&amp;ProductivityBaseline[Year to use],0))</f>
        <v>39</v>
      </c>
      <c r="M185" s="32">
        <f>IFERROR(capacityTbl[[#This Row],[No. of Transaction]]/(capacityTbl[[#This Row],[Productivity Baseline (Transation/FTE/Day)]]*capacityTbl[[#This Row],[Weighted Working day]]),0)</f>
        <v>1.2747252747252746</v>
      </c>
      <c r="N185" s="33">
        <f>IFERROR(capacityTbl[[#This Row],[No. of Transaction]]/capacityTbl[[#This Row],[Production Days]],0)</f>
        <v>33.142857142857146</v>
      </c>
    </row>
    <row r="186" spans="1:14" x14ac:dyDescent="0.25">
      <c r="A186" s="24">
        <v>2025</v>
      </c>
      <c r="B186" s="38" t="s">
        <v>21</v>
      </c>
      <c r="C186" s="26" t="s">
        <v>37</v>
      </c>
      <c r="D186" s="87">
        <f>716+272</f>
        <v>988</v>
      </c>
      <c r="E186" s="88">
        <v>29.25</v>
      </c>
      <c r="F186" s="29" cm="1">
        <f t="array" ref="F18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6" s="30" cm="1">
        <f t="array" ref="G18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6" s="30" cm="1">
        <f t="array" ref="H186">INDEX(stdWorkingDays[],MATCH(capacityTbl[[#This Row],[Year]]&amp;capacityTbl[[#This Row],[Month]],stdWorkingDays[Year]&amp;stdWorkingDays[Month],0),MATCH("China",stdWorkingDays[#Headers],0))</f>
        <v>20</v>
      </c>
      <c r="I186" s="30" cm="1">
        <f t="array" ref="I186">INDEX(stdWorkingDays[],MATCH(capacityTbl[[#This Row],[Year]]&amp;capacityTbl[[#This Row],[Month]],stdWorkingDays[Year]&amp;stdWorkingDays[Month],0),MATCH("Philippine",stdWorkingDays[#Headers],0))</f>
        <v>19</v>
      </c>
      <c r="J18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86" s="35">
        <f>IFERROR(capacityTbl[[#This Row],[Production Days]]/capacityTbl[[#This Row],[Weighted Working day]],0)</f>
        <v>1.5394736842105263</v>
      </c>
      <c r="L186" s="31" cm="1">
        <f t="array" ref="L186">INDEX(ProductivityBaseline[ProductivityBaseline],MATCH(capacityTbl[[#This Row],[Process]]&amp;capacityTbl[[#This Row],[Year]],ProductivityBaseline[Title]&amp;ProductivityBaseline[Year to use],0))</f>
        <v>39</v>
      </c>
      <c r="M186" s="32">
        <f>IFERROR(capacityTbl[[#This Row],[No. of Transaction]]/(capacityTbl[[#This Row],[Productivity Baseline (Transation/FTE/Day)]]*capacityTbl[[#This Row],[Weighted Working day]]),0)</f>
        <v>1.3333333333333333</v>
      </c>
      <c r="N186" s="33">
        <f>IFERROR(capacityTbl[[#This Row],[No. of Transaction]]/capacityTbl[[#This Row],[Production Days]],0)</f>
        <v>33.777777777777779</v>
      </c>
    </row>
    <row r="187" spans="1:14" x14ac:dyDescent="0.25">
      <c r="A187" s="24">
        <v>2025</v>
      </c>
      <c r="B187" s="38" t="s">
        <v>22</v>
      </c>
      <c r="C187" s="26" t="s">
        <v>37</v>
      </c>
      <c r="D187" s="87">
        <f>798+370</f>
        <v>1168</v>
      </c>
      <c r="E187" s="88">
        <v>30</v>
      </c>
      <c r="F187" s="29" cm="1">
        <f t="array" ref="F18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7" s="30" cm="1">
        <f t="array" ref="G18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7" s="30" cm="1">
        <f t="array" ref="H187">INDEX(stdWorkingDays[],MATCH(capacityTbl[[#This Row],[Year]]&amp;capacityTbl[[#This Row],[Month]],stdWorkingDays[Year]&amp;stdWorkingDays[Month],0),MATCH("China",stdWorkingDays[#Headers],0))</f>
        <v>23</v>
      </c>
      <c r="I187" s="30" cm="1">
        <f t="array" ref="I187">INDEX(stdWorkingDays[],MATCH(capacityTbl[[#This Row],[Year]]&amp;capacityTbl[[#This Row],[Month]],stdWorkingDays[Year]&amp;stdWorkingDays[Month],0),MATCH("Philippine",stdWorkingDays[#Headers],0))</f>
        <v>23</v>
      </c>
      <c r="J187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87" s="35">
        <f>IFERROR(capacityTbl[[#This Row],[Production Days]]/capacityTbl[[#This Row],[Weighted Working day]],0)</f>
        <v>1.3043478260869565</v>
      </c>
      <c r="L187" s="31" cm="1">
        <f t="array" ref="L187">INDEX(ProductivityBaseline[ProductivityBaseline],MATCH(capacityTbl[[#This Row],[Process]]&amp;capacityTbl[[#This Row],[Year]],ProductivityBaseline[Title]&amp;ProductivityBaseline[Year to use],0))</f>
        <v>39</v>
      </c>
      <c r="M187" s="32">
        <f>IFERROR(capacityTbl[[#This Row],[No. of Transaction]]/(capacityTbl[[#This Row],[Productivity Baseline (Transation/FTE/Day)]]*capacityTbl[[#This Row],[Weighted Working day]]),0)</f>
        <v>1.3021181716833892</v>
      </c>
      <c r="N187" s="33">
        <f>IFERROR(capacityTbl[[#This Row],[No. of Transaction]]/capacityTbl[[#This Row],[Production Days]],0)</f>
        <v>38.93333333333333</v>
      </c>
    </row>
    <row r="188" spans="1:14" x14ac:dyDescent="0.25">
      <c r="A188" s="24">
        <v>2025</v>
      </c>
      <c r="B188" s="38" t="s">
        <v>23</v>
      </c>
      <c r="C188" s="26" t="s">
        <v>37</v>
      </c>
      <c r="D188" s="87">
        <f>718+298</f>
        <v>1016</v>
      </c>
      <c r="E188" s="88">
        <v>30.5</v>
      </c>
      <c r="F188" s="29" cm="1">
        <f t="array" ref="F18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8" s="30" cm="1">
        <f t="array" ref="G18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88" s="30" cm="1">
        <f t="array" ref="H188">INDEX(stdWorkingDays[],MATCH(capacityTbl[[#This Row],[Year]]&amp;capacityTbl[[#This Row],[Month]],stdWorkingDays[Year]&amp;stdWorkingDays[Month],0),MATCH("China",stdWorkingDays[#Headers],0))</f>
        <v>21</v>
      </c>
      <c r="I188" s="30" cm="1">
        <f t="array" ref="I188">INDEX(stdWorkingDays[],MATCH(capacityTbl[[#This Row],[Year]]&amp;capacityTbl[[#This Row],[Month]],stdWorkingDays[Year]&amp;stdWorkingDays[Month],0),MATCH("Philippine",stdWorkingDays[#Headers],0))</f>
        <v>19</v>
      </c>
      <c r="J18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88" s="35">
        <f>IFERROR(capacityTbl[[#This Row],[Production Days]]/capacityTbl[[#This Row],[Weighted Working day]],0)</f>
        <v>1.6052631578947369</v>
      </c>
      <c r="L188" s="31" cm="1">
        <f t="array" ref="L188">INDEX(ProductivityBaseline[ProductivityBaseline],MATCH(capacityTbl[[#This Row],[Process]]&amp;capacityTbl[[#This Row],[Year]],ProductivityBaseline[Title]&amp;ProductivityBaseline[Year to use],0))</f>
        <v>39</v>
      </c>
      <c r="M188" s="32">
        <f>IFERROR(capacityTbl[[#This Row],[No. of Transaction]]/(capacityTbl[[#This Row],[Productivity Baseline (Transation/FTE/Day)]]*capacityTbl[[#This Row],[Weighted Working day]]),0)</f>
        <v>1.3711201079622133</v>
      </c>
      <c r="N188" s="33">
        <f>IFERROR(capacityTbl[[#This Row],[No. of Transaction]]/capacityTbl[[#This Row],[Production Days]],0)</f>
        <v>33.311475409836063</v>
      </c>
    </row>
    <row r="189" spans="1:14" x14ac:dyDescent="0.25">
      <c r="A189" s="24">
        <v>2025</v>
      </c>
      <c r="B189" s="38" t="s">
        <v>33</v>
      </c>
      <c r="C189" s="26" t="s">
        <v>37</v>
      </c>
      <c r="D189" s="87"/>
      <c r="E189" s="88"/>
      <c r="F189" s="29" cm="1">
        <f t="array" ref="F18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89" s="30" cm="1">
        <f t="array" ref="G18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89" s="30" cm="1">
        <f t="array" ref="H189">INDEX(stdWorkingDays[],MATCH(capacityTbl[[#This Row],[Year]]&amp;capacityTbl[[#This Row],[Month]],stdWorkingDays[Year]&amp;stdWorkingDays[Month],0),MATCH("China",stdWorkingDays[#Headers],0))</f>
        <v>23</v>
      </c>
      <c r="I189" s="30" cm="1">
        <f t="array" ref="I189">INDEX(stdWorkingDays[],MATCH(capacityTbl[[#This Row],[Year]]&amp;capacityTbl[[#This Row],[Month]],stdWorkingDays[Year]&amp;stdWorkingDays[Month],0),MATCH("Philippine",stdWorkingDays[#Headers],0))</f>
        <v>22</v>
      </c>
      <c r="J18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89" s="35">
        <f>IFERROR(capacityTbl[[#This Row],[Production Days]]/capacityTbl[[#This Row],[Weighted Working day]],0)</f>
        <v>0</v>
      </c>
      <c r="L189" s="31" cm="1">
        <f t="array" ref="L189">INDEX(ProductivityBaseline[ProductivityBaseline],MATCH(capacityTbl[[#This Row],[Process]]&amp;capacityTbl[[#This Row],[Year]],ProductivityBaseline[Title]&amp;ProductivityBaseline[Year to use],0))</f>
        <v>39</v>
      </c>
      <c r="M189" s="32">
        <f>IFERROR(capacityTbl[[#This Row],[No. of Transaction]]/(capacityTbl[[#This Row],[Productivity Baseline (Transation/FTE/Day)]]*capacityTbl[[#This Row],[Weighted Working day]]),0)</f>
        <v>0</v>
      </c>
      <c r="N189" s="33">
        <f>IFERROR(capacityTbl[[#This Row],[No. of Transaction]]/capacityTbl[[#This Row],[Production Days]],0)</f>
        <v>0</v>
      </c>
    </row>
    <row r="190" spans="1:14" x14ac:dyDescent="0.25">
      <c r="A190" s="24">
        <v>2025</v>
      </c>
      <c r="B190" s="38" t="s">
        <v>25</v>
      </c>
      <c r="C190" s="26" t="s">
        <v>37</v>
      </c>
      <c r="D190" s="87"/>
      <c r="E190" s="88"/>
      <c r="F190" s="29" cm="1">
        <f t="array" ref="F19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0" s="30" cm="1">
        <f t="array" ref="G19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0" s="30" cm="1">
        <f t="array" ref="H190">INDEX(stdWorkingDays[],MATCH(capacityTbl[[#This Row],[Year]]&amp;capacityTbl[[#This Row],[Month]],stdWorkingDays[Year]&amp;stdWorkingDays[Month],0),MATCH("China",stdWorkingDays[#Headers],0))</f>
        <v>18</v>
      </c>
      <c r="I190" s="30" cm="1">
        <f t="array" ref="I190">INDEX(stdWorkingDays[],MATCH(capacityTbl[[#This Row],[Year]]&amp;capacityTbl[[#This Row],[Month]],stdWorkingDays[Year]&amp;stdWorkingDays[Month],0),MATCH("Philippine",stdWorkingDays[#Headers],0))</f>
        <v>22</v>
      </c>
      <c r="J19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0" s="35">
        <f>IFERROR(capacityTbl[[#This Row],[Production Days]]/capacityTbl[[#This Row],[Weighted Working day]],0)</f>
        <v>0</v>
      </c>
      <c r="L190" s="31" cm="1">
        <f t="array" ref="L190">INDEX(ProductivityBaseline[ProductivityBaseline],MATCH(capacityTbl[[#This Row],[Process]]&amp;capacityTbl[[#This Row],[Year]],ProductivityBaseline[Title]&amp;ProductivityBaseline[Year to use],0))</f>
        <v>39</v>
      </c>
      <c r="M190" s="32">
        <f>IFERROR(capacityTbl[[#This Row],[No. of Transaction]]/(capacityTbl[[#This Row],[Productivity Baseline (Transation/FTE/Day)]]*capacityTbl[[#This Row],[Weighted Working day]]),0)</f>
        <v>0</v>
      </c>
      <c r="N190" s="33">
        <f>IFERROR(capacityTbl[[#This Row],[No. of Transaction]]/capacityTbl[[#This Row],[Production Days]],0)</f>
        <v>0</v>
      </c>
    </row>
    <row r="191" spans="1:14" x14ac:dyDescent="0.25">
      <c r="A191" s="24">
        <v>2025</v>
      </c>
      <c r="B191" s="38" t="s">
        <v>26</v>
      </c>
      <c r="C191" s="26" t="s">
        <v>37</v>
      </c>
      <c r="D191" s="87"/>
      <c r="E191" s="88"/>
      <c r="F191" s="29" cm="1">
        <f t="array" ref="F19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1" s="30" cm="1">
        <f t="array" ref="G19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1" s="30" cm="1">
        <f t="array" ref="H191">INDEX(stdWorkingDays[],MATCH(capacityTbl[[#This Row],[Year]]&amp;capacityTbl[[#This Row],[Month]],stdWorkingDays[Year]&amp;stdWorkingDays[Month],0),MATCH("China",stdWorkingDays[#Headers],0))</f>
        <v>20</v>
      </c>
      <c r="I191" s="30" cm="1">
        <f t="array" ref="I191">INDEX(stdWorkingDays[],MATCH(capacityTbl[[#This Row],[Year]]&amp;capacityTbl[[#This Row],[Month]],stdWorkingDays[Year]&amp;stdWorkingDays[Month],0),MATCH("Philippine",stdWorkingDays[#Headers],0))</f>
        <v>20</v>
      </c>
      <c r="J19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1" s="35">
        <f>IFERROR(capacityTbl[[#This Row],[Production Days]]/capacityTbl[[#This Row],[Weighted Working day]],0)</f>
        <v>0</v>
      </c>
      <c r="L191" s="31" cm="1">
        <f t="array" ref="L191">INDEX(ProductivityBaseline[ProductivityBaseline],MATCH(capacityTbl[[#This Row],[Process]]&amp;capacityTbl[[#This Row],[Year]],ProductivityBaseline[Title]&amp;ProductivityBaseline[Year to use],0))</f>
        <v>39</v>
      </c>
      <c r="M191" s="32">
        <f>IFERROR(capacityTbl[[#This Row],[No. of Transaction]]/(capacityTbl[[#This Row],[Productivity Baseline (Transation/FTE/Day)]]*capacityTbl[[#This Row],[Weighted Working day]]),0)</f>
        <v>0</v>
      </c>
      <c r="N191" s="33">
        <f>IFERROR(capacityTbl[[#This Row],[No. of Transaction]]/capacityTbl[[#This Row],[Production Days]],0)</f>
        <v>0</v>
      </c>
    </row>
    <row r="192" spans="1:14" x14ac:dyDescent="0.25">
      <c r="A192" s="37">
        <v>2025</v>
      </c>
      <c r="B192" s="38" t="s">
        <v>27</v>
      </c>
      <c r="C192" s="39" t="s">
        <v>37</v>
      </c>
      <c r="D192" s="89"/>
      <c r="E192" s="90"/>
      <c r="F192" s="42" cm="1">
        <f t="array" ref="F19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2" s="43" cm="1">
        <f t="array" ref="G19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192" s="43" cm="1">
        <f t="array" ref="H192">INDEX(stdWorkingDays[],MATCH(capacityTbl[[#This Row],[Year]]&amp;capacityTbl[[#This Row],[Month]],stdWorkingDays[Year]&amp;stdWorkingDays[Month],0),MATCH("China",stdWorkingDays[#Headers],0))</f>
        <v>23</v>
      </c>
      <c r="I192" s="43" cm="1">
        <f t="array" ref="I192">INDEX(stdWorkingDays[],MATCH(capacityTbl[[#This Row],[Year]]&amp;capacityTbl[[#This Row],[Month]],stdWorkingDays[Year]&amp;stdWorkingDays[Month],0),MATCH("Philippine",stdWorkingDays[#Headers],0))</f>
        <v>18</v>
      </c>
      <c r="J192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192" s="45">
        <f>IFERROR(capacityTbl[[#This Row],[Production Days]]/capacityTbl[[#This Row],[Weighted Working day]],0)</f>
        <v>0</v>
      </c>
      <c r="L192" s="44" cm="1">
        <f t="array" ref="L192">INDEX(ProductivityBaseline[ProductivityBaseline],MATCH(capacityTbl[[#This Row],[Process]]&amp;capacityTbl[[#This Row],[Year]],ProductivityBaseline[Title]&amp;ProductivityBaseline[Year to use],0))</f>
        <v>39</v>
      </c>
      <c r="M192" s="46">
        <f>IFERROR(capacityTbl[[#This Row],[No. of Transaction]]/(capacityTbl[[#This Row],[Productivity Baseline (Transation/FTE/Day)]]*capacityTbl[[#This Row],[Weighted Working day]]),0)</f>
        <v>0</v>
      </c>
      <c r="N192" s="47">
        <f>IFERROR(capacityTbl[[#This Row],[No. of Transaction]]/capacityTbl[[#This Row],[Production Days]],0)</f>
        <v>0</v>
      </c>
    </row>
    <row r="193" spans="1:14" x14ac:dyDescent="0.25">
      <c r="A193" s="24">
        <v>2025</v>
      </c>
      <c r="B193" s="25" t="s">
        <v>14</v>
      </c>
      <c r="C193" s="26" t="s">
        <v>38</v>
      </c>
      <c r="D193" s="87">
        <v>1320</v>
      </c>
      <c r="E193" s="88">
        <v>18</v>
      </c>
      <c r="F193" s="29" cm="1">
        <f t="array" ref="F19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3" s="30" cm="1">
        <f t="array" ref="G193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3" s="30" cm="1">
        <f t="array" ref="H193">INDEX(stdWorkingDays[],MATCH(capacityTbl[[#This Row],[Year]]&amp;capacityTbl[[#This Row],[Month]],stdWorkingDays[Year]&amp;stdWorkingDays[Month],0),MATCH("China",stdWorkingDays[#Headers],0))</f>
        <v>19</v>
      </c>
      <c r="I193" s="30" cm="1">
        <f t="array" ref="I193">INDEX(stdWorkingDays[],MATCH(capacityTbl[[#This Row],[Year]]&amp;capacityTbl[[#This Row],[Month]],stdWorkingDays[Year]&amp;stdWorkingDays[Month],0),MATCH("Philippine",stdWorkingDays[#Headers],0))</f>
        <v>21</v>
      </c>
      <c r="J193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93" s="35">
        <f>IFERROR(capacityTbl[[#This Row],[Production Days]]/capacityTbl[[#This Row],[Weighted Working day]],0)</f>
        <v>0.8571428571428571</v>
      </c>
      <c r="L193" s="31" cm="1">
        <f t="array" ref="L193">INDEX(ProductivityBaseline[ProductivityBaseline],MATCH(capacityTbl[[#This Row],[Process]]&amp;capacityTbl[[#This Row],[Year]],ProductivityBaseline[Title]&amp;ProductivityBaseline[Year to use],0))</f>
        <v>54</v>
      </c>
      <c r="M193" s="32">
        <f>IFERROR(capacityTbl[[#This Row],[No. of Transaction]]/(capacityTbl[[#This Row],[Productivity Baseline (Transation/FTE/Day)]]*capacityTbl[[#This Row],[Weighted Working day]]),0)</f>
        <v>1.164021164021164</v>
      </c>
      <c r="N193" s="33">
        <f>IFERROR(capacityTbl[[#This Row],[No. of Transaction]]/capacityTbl[[#This Row],[Production Days]],0)</f>
        <v>73.333333333333329</v>
      </c>
    </row>
    <row r="194" spans="1:14" x14ac:dyDescent="0.25">
      <c r="A194" s="24">
        <v>2025</v>
      </c>
      <c r="B194" s="25" t="s">
        <v>17</v>
      </c>
      <c r="C194" s="26" t="s">
        <v>38</v>
      </c>
      <c r="D194" s="87">
        <v>1183</v>
      </c>
      <c r="E194" s="88">
        <v>20</v>
      </c>
      <c r="F194" s="29" cm="1">
        <f t="array" ref="F19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4" s="30" cm="1">
        <f t="array" ref="G194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4" s="30" cm="1">
        <f t="array" ref="H194">INDEX(stdWorkingDays[],MATCH(capacityTbl[[#This Row],[Year]]&amp;capacityTbl[[#This Row],[Month]],stdWorkingDays[Year]&amp;stdWorkingDays[Month],0),MATCH("China",stdWorkingDays[#Headers],0))</f>
        <v>19</v>
      </c>
      <c r="I194" s="30" cm="1">
        <f t="array" ref="I194">INDEX(stdWorkingDays[],MATCH(capacityTbl[[#This Row],[Year]]&amp;capacityTbl[[#This Row],[Month]],stdWorkingDays[Year]&amp;stdWorkingDays[Month],0),MATCH("Philippine",stdWorkingDays[#Headers],0))</f>
        <v>20</v>
      </c>
      <c r="J194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194" s="35">
        <f>IFERROR(capacityTbl[[#This Row],[Production Days]]/capacityTbl[[#This Row],[Weighted Working day]],0)</f>
        <v>1</v>
      </c>
      <c r="L194" s="31" cm="1">
        <f t="array" ref="L194">INDEX(ProductivityBaseline[ProductivityBaseline],MATCH(capacityTbl[[#This Row],[Process]]&amp;capacityTbl[[#This Row],[Year]],ProductivityBaseline[Title]&amp;ProductivityBaseline[Year to use],0))</f>
        <v>54</v>
      </c>
      <c r="M194" s="32">
        <f>IFERROR(capacityTbl[[#This Row],[No. of Transaction]]/(capacityTbl[[#This Row],[Productivity Baseline (Transation/FTE/Day)]]*capacityTbl[[#This Row],[Weighted Working day]]),0)</f>
        <v>1.0953703703703703</v>
      </c>
      <c r="N194" s="33">
        <f>IFERROR(capacityTbl[[#This Row],[No. of Transaction]]/capacityTbl[[#This Row],[Production Days]],0)</f>
        <v>59.15</v>
      </c>
    </row>
    <row r="195" spans="1:14" x14ac:dyDescent="0.25">
      <c r="A195" s="24">
        <v>2025</v>
      </c>
      <c r="B195" s="25" t="s">
        <v>18</v>
      </c>
      <c r="C195" s="26" t="s">
        <v>38</v>
      </c>
      <c r="D195" s="87">
        <v>1231</v>
      </c>
      <c r="E195" s="88">
        <v>17</v>
      </c>
      <c r="F195" s="29" cm="1">
        <f t="array" ref="F19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5" s="30" cm="1">
        <f t="array" ref="G195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5" s="30" cm="1">
        <f t="array" ref="H195">INDEX(stdWorkingDays[],MATCH(capacityTbl[[#This Row],[Year]]&amp;capacityTbl[[#This Row],[Month]],stdWorkingDays[Year]&amp;stdWorkingDays[Month],0),MATCH("China",stdWorkingDays[#Headers],0))</f>
        <v>21</v>
      </c>
      <c r="I195" s="30" cm="1">
        <f t="array" ref="I195">INDEX(stdWorkingDays[],MATCH(capacityTbl[[#This Row],[Year]]&amp;capacityTbl[[#This Row],[Month]],stdWorkingDays[Year]&amp;stdWorkingDays[Month],0),MATCH("Philippine",stdWorkingDays[#Headers],0))</f>
        <v>21</v>
      </c>
      <c r="J19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95" s="35">
        <f>IFERROR(capacityTbl[[#This Row],[Production Days]]/capacityTbl[[#This Row],[Weighted Working day]],0)</f>
        <v>0.80952380952380953</v>
      </c>
      <c r="L195" s="31" cm="1">
        <f t="array" ref="L195">INDEX(ProductivityBaseline[ProductivityBaseline],MATCH(capacityTbl[[#This Row],[Process]]&amp;capacityTbl[[#This Row],[Year]],ProductivityBaseline[Title]&amp;ProductivityBaseline[Year to use],0))</f>
        <v>54</v>
      </c>
      <c r="M195" s="32">
        <f>IFERROR(capacityTbl[[#This Row],[No. of Transaction]]/(capacityTbl[[#This Row],[Productivity Baseline (Transation/FTE/Day)]]*capacityTbl[[#This Row],[Weighted Working day]]),0)</f>
        <v>1.0855379188712522</v>
      </c>
      <c r="N195" s="33">
        <f>IFERROR(capacityTbl[[#This Row],[No. of Transaction]]/capacityTbl[[#This Row],[Production Days]],0)</f>
        <v>72.411764705882348</v>
      </c>
    </row>
    <row r="196" spans="1:14" x14ac:dyDescent="0.25">
      <c r="A196" s="24">
        <v>2025</v>
      </c>
      <c r="B196" s="25" t="s">
        <v>19</v>
      </c>
      <c r="C196" s="26" t="s">
        <v>38</v>
      </c>
      <c r="D196" s="87">
        <v>631</v>
      </c>
      <c r="E196" s="88">
        <v>14</v>
      </c>
      <c r="F196" s="29" cm="1">
        <f t="array" ref="F19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6" s="30" cm="1">
        <f t="array" ref="G196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196" s="30" cm="1">
        <f t="array" ref="H196">INDEX(stdWorkingDays[],MATCH(capacityTbl[[#This Row],[Year]]&amp;capacityTbl[[#This Row],[Month]],stdWorkingDays[Year]&amp;stdWorkingDays[Month],0),MATCH("China",stdWorkingDays[#Headers],0))</f>
        <v>22</v>
      </c>
      <c r="I196" s="30" cm="1">
        <f t="array" ref="I196">INDEX(stdWorkingDays[],MATCH(capacityTbl[[#This Row],[Year]]&amp;capacityTbl[[#This Row],[Month]],stdWorkingDays[Year]&amp;stdWorkingDays[Month],0),MATCH("Philippine",stdWorkingDays[#Headers],0))</f>
        <v>19</v>
      </c>
      <c r="J19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96" s="35">
        <f>IFERROR(capacityTbl[[#This Row],[Production Days]]/capacityTbl[[#This Row],[Weighted Working day]],0)</f>
        <v>0.73684210526315785</v>
      </c>
      <c r="L196" s="31" cm="1">
        <f t="array" ref="L196">INDEX(ProductivityBaseline[ProductivityBaseline],MATCH(capacityTbl[[#This Row],[Process]]&amp;capacityTbl[[#This Row],[Year]],ProductivityBaseline[Title]&amp;ProductivityBaseline[Year to use],0))</f>
        <v>54</v>
      </c>
      <c r="M196" s="32">
        <f>IFERROR(capacityTbl[[#This Row],[No. of Transaction]]/(capacityTbl[[#This Row],[Productivity Baseline (Transation/FTE/Day)]]*capacityTbl[[#This Row],[Weighted Working day]]),0)</f>
        <v>0.61500974658869401</v>
      </c>
      <c r="N196" s="33">
        <f>IFERROR(capacityTbl[[#This Row],[No. of Transaction]]/capacityTbl[[#This Row],[Production Days]],0)</f>
        <v>45.071428571428569</v>
      </c>
    </row>
    <row r="197" spans="1:14" x14ac:dyDescent="0.25">
      <c r="A197" s="24">
        <v>2025</v>
      </c>
      <c r="B197" s="25" t="s">
        <v>20</v>
      </c>
      <c r="C197" s="26" t="s">
        <v>38</v>
      </c>
      <c r="D197" s="87">
        <v>1291</v>
      </c>
      <c r="E197" s="88">
        <v>20</v>
      </c>
      <c r="F197" s="29" cm="1">
        <f t="array" ref="F19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7" s="30" cm="1">
        <f t="array" ref="G19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97" s="30" cm="1">
        <f t="array" ref="H197">INDEX(stdWorkingDays[],MATCH(capacityTbl[[#This Row],[Year]]&amp;capacityTbl[[#This Row],[Month]],stdWorkingDays[Year]&amp;stdWorkingDays[Month],0),MATCH("China",stdWorkingDays[#Headers],0))</f>
        <v>19</v>
      </c>
      <c r="I197" s="30" cm="1">
        <f t="array" ref="I197">INDEX(stdWorkingDays[],MATCH(capacityTbl[[#This Row],[Year]]&amp;capacityTbl[[#This Row],[Month]],stdWorkingDays[Year]&amp;stdWorkingDays[Month],0),MATCH("Philippine",stdWorkingDays[#Headers],0))</f>
        <v>21</v>
      </c>
      <c r="J19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197" s="35">
        <f>IFERROR(capacityTbl[[#This Row],[Production Days]]/capacityTbl[[#This Row],[Weighted Working day]],0)</f>
        <v>0.95238095238095233</v>
      </c>
      <c r="L197" s="31" cm="1">
        <f t="array" ref="L197">INDEX(ProductivityBaseline[ProductivityBaseline],MATCH(capacityTbl[[#This Row],[Process]]&amp;capacityTbl[[#This Row],[Year]],ProductivityBaseline[Title]&amp;ProductivityBaseline[Year to use],0))</f>
        <v>54</v>
      </c>
      <c r="M197" s="32">
        <f>IFERROR(capacityTbl[[#This Row],[No. of Transaction]]/(capacityTbl[[#This Row],[Productivity Baseline (Transation/FTE/Day)]]*capacityTbl[[#This Row],[Weighted Working day]]),0)</f>
        <v>1.1384479717813052</v>
      </c>
      <c r="N197" s="33">
        <f>IFERROR(capacityTbl[[#This Row],[No. of Transaction]]/capacityTbl[[#This Row],[Production Days]],0)</f>
        <v>64.55</v>
      </c>
    </row>
    <row r="198" spans="1:14" x14ac:dyDescent="0.25">
      <c r="A198" s="24">
        <v>2025</v>
      </c>
      <c r="B198" s="25" t="s">
        <v>21</v>
      </c>
      <c r="C198" s="26" t="s">
        <v>38</v>
      </c>
      <c r="D198" s="87">
        <v>1246</v>
      </c>
      <c r="E198" s="88">
        <v>19</v>
      </c>
      <c r="F198" s="29" cm="1">
        <f t="array" ref="F19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8" s="30" cm="1">
        <f t="array" ref="G19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98" s="30" cm="1">
        <f t="array" ref="H198">INDEX(stdWorkingDays[],MATCH(capacityTbl[[#This Row],[Year]]&amp;capacityTbl[[#This Row],[Month]],stdWorkingDays[Year]&amp;stdWorkingDays[Month],0),MATCH("China",stdWorkingDays[#Headers],0))</f>
        <v>20</v>
      </c>
      <c r="I198" s="30" cm="1">
        <f t="array" ref="I198">INDEX(stdWorkingDays[],MATCH(capacityTbl[[#This Row],[Year]]&amp;capacityTbl[[#This Row],[Month]],stdWorkingDays[Year]&amp;stdWorkingDays[Month],0),MATCH("Philippine",stdWorkingDays[#Headers],0))</f>
        <v>19</v>
      </c>
      <c r="J19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198" s="35">
        <f>IFERROR(capacityTbl[[#This Row],[Production Days]]/capacityTbl[[#This Row],[Weighted Working day]],0)</f>
        <v>1</v>
      </c>
      <c r="L198" s="31" cm="1">
        <f t="array" ref="L198">INDEX(ProductivityBaseline[ProductivityBaseline],MATCH(capacityTbl[[#This Row],[Process]]&amp;capacityTbl[[#This Row],[Year]],ProductivityBaseline[Title]&amp;ProductivityBaseline[Year to use],0))</f>
        <v>54</v>
      </c>
      <c r="M198" s="32">
        <f>IFERROR(capacityTbl[[#This Row],[No. of Transaction]]/(capacityTbl[[#This Row],[Productivity Baseline (Transation/FTE/Day)]]*capacityTbl[[#This Row],[Weighted Working day]]),0)</f>
        <v>1.2144249512670566</v>
      </c>
      <c r="N198" s="33">
        <f>IFERROR(capacityTbl[[#This Row],[No. of Transaction]]/capacityTbl[[#This Row],[Production Days]],0)</f>
        <v>65.578947368421055</v>
      </c>
    </row>
    <row r="199" spans="1:14" x14ac:dyDescent="0.25">
      <c r="A199" s="24">
        <v>2025</v>
      </c>
      <c r="B199" s="25" t="s">
        <v>22</v>
      </c>
      <c r="C199" s="26" t="s">
        <v>38</v>
      </c>
      <c r="D199" s="87">
        <v>1434</v>
      </c>
      <c r="E199" s="88">
        <v>21</v>
      </c>
      <c r="F199" s="29" cm="1">
        <f t="array" ref="F19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199" s="30" cm="1">
        <f t="array" ref="G19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199" s="30" cm="1">
        <f t="array" ref="H199">INDEX(stdWorkingDays[],MATCH(capacityTbl[[#This Row],[Year]]&amp;capacityTbl[[#This Row],[Month]],stdWorkingDays[Year]&amp;stdWorkingDays[Month],0),MATCH("China",stdWorkingDays[#Headers],0))</f>
        <v>23</v>
      </c>
      <c r="I199" s="30" cm="1">
        <f t="array" ref="I199">INDEX(stdWorkingDays[],MATCH(capacityTbl[[#This Row],[Year]]&amp;capacityTbl[[#This Row],[Month]],stdWorkingDays[Year]&amp;stdWorkingDays[Month],0),MATCH("Philippine",stdWorkingDays[#Headers],0))</f>
        <v>23</v>
      </c>
      <c r="J199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199" s="35">
        <f>IFERROR(capacityTbl[[#This Row],[Production Days]]/capacityTbl[[#This Row],[Weighted Working day]],0)</f>
        <v>0.91304347826086951</v>
      </c>
      <c r="L199" s="31" cm="1">
        <f t="array" ref="L199">INDEX(ProductivityBaseline[ProductivityBaseline],MATCH(capacityTbl[[#This Row],[Process]]&amp;capacityTbl[[#This Row],[Year]],ProductivityBaseline[Title]&amp;ProductivityBaseline[Year to use],0))</f>
        <v>54</v>
      </c>
      <c r="M199" s="32">
        <f>IFERROR(capacityTbl[[#This Row],[No. of Transaction]]/(capacityTbl[[#This Row],[Productivity Baseline (Transation/FTE/Day)]]*capacityTbl[[#This Row],[Weighted Working day]]),0)</f>
        <v>1.1545893719806763</v>
      </c>
      <c r="N199" s="33">
        <f>IFERROR(capacityTbl[[#This Row],[No. of Transaction]]/capacityTbl[[#This Row],[Production Days]],0)</f>
        <v>68.285714285714292</v>
      </c>
    </row>
    <row r="200" spans="1:14" x14ac:dyDescent="0.25">
      <c r="A200" s="24">
        <v>2025</v>
      </c>
      <c r="B200" s="25" t="s">
        <v>23</v>
      </c>
      <c r="C200" s="26" t="s">
        <v>38</v>
      </c>
      <c r="D200" s="87">
        <v>1243</v>
      </c>
      <c r="E200" s="88">
        <v>19</v>
      </c>
      <c r="F200" s="29" cm="1">
        <f t="array" ref="F20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0" s="30" cm="1">
        <f t="array" ref="G20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00" s="30" cm="1">
        <f t="array" ref="H200">INDEX(stdWorkingDays[],MATCH(capacityTbl[[#This Row],[Year]]&amp;capacityTbl[[#This Row],[Month]],stdWorkingDays[Year]&amp;stdWorkingDays[Month],0),MATCH("China",stdWorkingDays[#Headers],0))</f>
        <v>21</v>
      </c>
      <c r="I200" s="30" cm="1">
        <f t="array" ref="I200">INDEX(stdWorkingDays[],MATCH(capacityTbl[[#This Row],[Year]]&amp;capacityTbl[[#This Row],[Month]],stdWorkingDays[Year]&amp;stdWorkingDays[Month],0),MATCH("Philippine",stdWorkingDays[#Headers],0))</f>
        <v>19</v>
      </c>
      <c r="J20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00" s="35">
        <f>IFERROR(capacityTbl[[#This Row],[Production Days]]/capacityTbl[[#This Row],[Weighted Working day]],0)</f>
        <v>1</v>
      </c>
      <c r="L200" s="31" cm="1">
        <f t="array" ref="L200">INDEX(ProductivityBaseline[ProductivityBaseline],MATCH(capacityTbl[[#This Row],[Process]]&amp;capacityTbl[[#This Row],[Year]],ProductivityBaseline[Title]&amp;ProductivityBaseline[Year to use],0))</f>
        <v>54</v>
      </c>
      <c r="M200" s="32">
        <f>IFERROR(capacityTbl[[#This Row],[No. of Transaction]]/(capacityTbl[[#This Row],[Productivity Baseline (Transation/FTE/Day)]]*capacityTbl[[#This Row],[Weighted Working day]]),0)</f>
        <v>1.2115009746588694</v>
      </c>
      <c r="N200" s="33">
        <f>IFERROR(capacityTbl[[#This Row],[No. of Transaction]]/capacityTbl[[#This Row],[Production Days]],0)</f>
        <v>65.421052631578945</v>
      </c>
    </row>
    <row r="201" spans="1:14" x14ac:dyDescent="0.25">
      <c r="A201" s="24">
        <v>2025</v>
      </c>
      <c r="B201" s="25" t="s">
        <v>33</v>
      </c>
      <c r="C201" s="26" t="s">
        <v>38</v>
      </c>
      <c r="D201" s="87"/>
      <c r="E201" s="88"/>
      <c r="F201" s="29" cm="1">
        <f t="array" ref="F20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1" s="30" cm="1">
        <f t="array" ref="G20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1" s="30" cm="1">
        <f t="array" ref="H201">INDEX(stdWorkingDays[],MATCH(capacityTbl[[#This Row],[Year]]&amp;capacityTbl[[#This Row],[Month]],stdWorkingDays[Year]&amp;stdWorkingDays[Month],0),MATCH("China",stdWorkingDays[#Headers],0))</f>
        <v>23</v>
      </c>
      <c r="I201" s="30" cm="1">
        <f t="array" ref="I201">INDEX(stdWorkingDays[],MATCH(capacityTbl[[#This Row],[Year]]&amp;capacityTbl[[#This Row],[Month]],stdWorkingDays[Year]&amp;stdWorkingDays[Month],0),MATCH("Philippine",stdWorkingDays[#Headers],0))</f>
        <v>22</v>
      </c>
      <c r="J20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1" s="35">
        <f>IFERROR(capacityTbl[[#This Row],[Production Days]]/capacityTbl[[#This Row],[Weighted Working day]],0)</f>
        <v>0</v>
      </c>
      <c r="L201" s="31" cm="1">
        <f t="array" ref="L201">INDEX(ProductivityBaseline[ProductivityBaseline],MATCH(capacityTbl[[#This Row],[Process]]&amp;capacityTbl[[#This Row],[Year]],ProductivityBaseline[Title]&amp;ProductivityBaseline[Year to use],0))</f>
        <v>54</v>
      </c>
      <c r="M201" s="32">
        <f>IFERROR(capacityTbl[[#This Row],[No. of Transaction]]/(capacityTbl[[#This Row],[Productivity Baseline (Transation/FTE/Day)]]*capacityTbl[[#This Row],[Weighted Working day]]),0)</f>
        <v>0</v>
      </c>
      <c r="N201" s="33">
        <f>IFERROR(capacityTbl[[#This Row],[No. of Transaction]]/capacityTbl[[#This Row],[Production Days]],0)</f>
        <v>0</v>
      </c>
    </row>
    <row r="202" spans="1:14" x14ac:dyDescent="0.25">
      <c r="A202" s="24">
        <v>2025</v>
      </c>
      <c r="B202" s="25" t="s">
        <v>25</v>
      </c>
      <c r="C202" s="26" t="s">
        <v>38</v>
      </c>
      <c r="D202" s="87"/>
      <c r="E202" s="88"/>
      <c r="F202" s="29" cm="1">
        <f t="array" ref="F20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2" s="30" cm="1">
        <f t="array" ref="G20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2" s="30" cm="1">
        <f t="array" ref="H202">INDEX(stdWorkingDays[],MATCH(capacityTbl[[#This Row],[Year]]&amp;capacityTbl[[#This Row],[Month]],stdWorkingDays[Year]&amp;stdWorkingDays[Month],0),MATCH("China",stdWorkingDays[#Headers],0))</f>
        <v>18</v>
      </c>
      <c r="I202" s="30" cm="1">
        <f t="array" ref="I202">INDEX(stdWorkingDays[],MATCH(capacityTbl[[#This Row],[Year]]&amp;capacityTbl[[#This Row],[Month]],stdWorkingDays[Year]&amp;stdWorkingDays[Month],0),MATCH("Philippine",stdWorkingDays[#Headers],0))</f>
        <v>22</v>
      </c>
      <c r="J20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2" s="35">
        <f>IFERROR(capacityTbl[[#This Row],[Production Days]]/capacityTbl[[#This Row],[Weighted Working day]],0)</f>
        <v>0</v>
      </c>
      <c r="L202" s="31" cm="1">
        <f t="array" ref="L202">INDEX(ProductivityBaseline[ProductivityBaseline],MATCH(capacityTbl[[#This Row],[Process]]&amp;capacityTbl[[#This Row],[Year]],ProductivityBaseline[Title]&amp;ProductivityBaseline[Year to use],0))</f>
        <v>54</v>
      </c>
      <c r="M202" s="32">
        <f>IFERROR(capacityTbl[[#This Row],[No. of Transaction]]/(capacityTbl[[#This Row],[Productivity Baseline (Transation/FTE/Day)]]*capacityTbl[[#This Row],[Weighted Working day]]),0)</f>
        <v>0</v>
      </c>
      <c r="N202" s="33">
        <f>IFERROR(capacityTbl[[#This Row],[No. of Transaction]]/capacityTbl[[#This Row],[Production Days]],0)</f>
        <v>0</v>
      </c>
    </row>
    <row r="203" spans="1:14" x14ac:dyDescent="0.25">
      <c r="A203" s="24">
        <v>2025</v>
      </c>
      <c r="B203" s="25" t="s">
        <v>26</v>
      </c>
      <c r="C203" s="26" t="s">
        <v>38</v>
      </c>
      <c r="D203" s="87"/>
      <c r="E203" s="88"/>
      <c r="F203" s="29" cm="1">
        <f t="array" ref="F20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3" s="30" cm="1">
        <f t="array" ref="G20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3" s="30" cm="1">
        <f t="array" ref="H203">INDEX(stdWorkingDays[],MATCH(capacityTbl[[#This Row],[Year]]&amp;capacityTbl[[#This Row],[Month]],stdWorkingDays[Year]&amp;stdWorkingDays[Month],0),MATCH("China",stdWorkingDays[#Headers],0))</f>
        <v>20</v>
      </c>
      <c r="I203" s="30" cm="1">
        <f t="array" ref="I203">INDEX(stdWorkingDays[],MATCH(capacityTbl[[#This Row],[Year]]&amp;capacityTbl[[#This Row],[Month]],stdWorkingDays[Year]&amp;stdWorkingDays[Month],0),MATCH("Philippine",stdWorkingDays[#Headers],0))</f>
        <v>20</v>
      </c>
      <c r="J20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3" s="35">
        <f>IFERROR(capacityTbl[[#This Row],[Production Days]]/capacityTbl[[#This Row],[Weighted Working day]],0)</f>
        <v>0</v>
      </c>
      <c r="L203" s="31" cm="1">
        <f t="array" ref="L203">INDEX(ProductivityBaseline[ProductivityBaseline],MATCH(capacityTbl[[#This Row],[Process]]&amp;capacityTbl[[#This Row],[Year]],ProductivityBaseline[Title]&amp;ProductivityBaseline[Year to use],0))</f>
        <v>54</v>
      </c>
      <c r="M203" s="32">
        <f>IFERROR(capacityTbl[[#This Row],[No. of Transaction]]/(capacityTbl[[#This Row],[Productivity Baseline (Transation/FTE/Day)]]*capacityTbl[[#This Row],[Weighted Working day]]),0)</f>
        <v>0</v>
      </c>
      <c r="N203" s="33">
        <f>IFERROR(capacityTbl[[#This Row],[No. of Transaction]]/capacityTbl[[#This Row],[Production Days]],0)</f>
        <v>0</v>
      </c>
    </row>
    <row r="204" spans="1:14" x14ac:dyDescent="0.25">
      <c r="A204" s="37">
        <v>2025</v>
      </c>
      <c r="B204" s="38" t="s">
        <v>27</v>
      </c>
      <c r="C204" s="39" t="s">
        <v>38</v>
      </c>
      <c r="D204" s="89"/>
      <c r="E204" s="90"/>
      <c r="F204" s="42" cm="1">
        <f t="array" ref="F20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4" s="43" cm="1">
        <f t="array" ref="G20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4" s="43" cm="1">
        <f t="array" ref="H204">INDEX(stdWorkingDays[],MATCH(capacityTbl[[#This Row],[Year]]&amp;capacityTbl[[#This Row],[Month]],stdWorkingDays[Year]&amp;stdWorkingDays[Month],0),MATCH("China",stdWorkingDays[#Headers],0))</f>
        <v>23</v>
      </c>
      <c r="I204" s="43" cm="1">
        <f t="array" ref="I204">INDEX(stdWorkingDays[],MATCH(capacityTbl[[#This Row],[Year]]&amp;capacityTbl[[#This Row],[Month]],stdWorkingDays[Year]&amp;stdWorkingDays[Month],0),MATCH("Philippine",stdWorkingDays[#Headers],0))</f>
        <v>18</v>
      </c>
      <c r="J204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4" s="45">
        <f>IFERROR(capacityTbl[[#This Row],[Production Days]]/capacityTbl[[#This Row],[Weighted Working day]],0)</f>
        <v>0</v>
      </c>
      <c r="L204" s="44" cm="1">
        <f t="array" ref="L204">INDEX(ProductivityBaseline[ProductivityBaseline],MATCH(capacityTbl[[#This Row],[Process]]&amp;capacityTbl[[#This Row],[Year]],ProductivityBaseline[Title]&amp;ProductivityBaseline[Year to use],0))</f>
        <v>54</v>
      </c>
      <c r="M204" s="46">
        <f>IFERROR(capacityTbl[[#This Row],[No. of Transaction]]/(capacityTbl[[#This Row],[Productivity Baseline (Transation/FTE/Day)]]*capacityTbl[[#This Row],[Weighted Working day]]),0)</f>
        <v>0</v>
      </c>
      <c r="N204" s="47">
        <f>IFERROR(capacityTbl[[#This Row],[No. of Transaction]]/capacityTbl[[#This Row],[Production Days]],0)</f>
        <v>0</v>
      </c>
    </row>
    <row r="205" spans="1:14" x14ac:dyDescent="0.25">
      <c r="A205" s="37">
        <v>2025</v>
      </c>
      <c r="B205" s="112" t="s">
        <v>14</v>
      </c>
      <c r="C205" s="113" t="s">
        <v>67</v>
      </c>
      <c r="D205" s="89"/>
      <c r="E205" s="90"/>
      <c r="F205" s="42" cm="1">
        <f t="array" ref="F20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5" s="43" cm="1">
        <f t="array" ref="G20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5" s="43" cm="1">
        <f t="array" ref="H205">INDEX(stdWorkingDays[],MATCH(capacityTbl[[#This Row],[Year]]&amp;capacityTbl[[#This Row],[Month]],stdWorkingDays[Year]&amp;stdWorkingDays[Month],0),MATCH("China",stdWorkingDays[#Headers],0))</f>
        <v>19</v>
      </c>
      <c r="I205" s="43" cm="1">
        <f t="array" ref="I205">INDEX(stdWorkingDays[],MATCH(capacityTbl[[#This Row],[Year]]&amp;capacityTbl[[#This Row],[Month]],stdWorkingDays[Year]&amp;stdWorkingDays[Month],0),MATCH("Philippine",stdWorkingDays[#Headers],0))</f>
        <v>21</v>
      </c>
      <c r="J205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5" s="45">
        <f>IFERROR(capacityTbl[[#This Row],[Production Days]]/capacityTbl[[#This Row],[Weighted Working day]],0)</f>
        <v>0</v>
      </c>
      <c r="L205" s="44" cm="1">
        <f t="array" ref="L205">INDEX(ProductivityBaseline[ProductivityBaseline],MATCH(capacityTbl[[#This Row],[Process]]&amp;capacityTbl[[#This Row],[Year]],ProductivityBaseline[Title]&amp;ProductivityBaseline[Year to use],0))</f>
        <v>59</v>
      </c>
      <c r="M205" s="46">
        <f>IFERROR(capacityTbl[[#This Row],[No. of Transaction]]/(capacityTbl[[#This Row],[Productivity Baseline (Transation/FTE/Day)]]*capacityTbl[[#This Row],[Weighted Working day]]),0)</f>
        <v>0</v>
      </c>
      <c r="N205" s="47">
        <f>IFERROR(capacityTbl[[#This Row],[No. of Transaction]]/capacityTbl[[#This Row],[Production Days]],0)</f>
        <v>0</v>
      </c>
    </row>
    <row r="206" spans="1:14" x14ac:dyDescent="0.25">
      <c r="A206" s="24">
        <v>2025</v>
      </c>
      <c r="B206" s="110" t="s">
        <v>17</v>
      </c>
      <c r="C206" s="113" t="s">
        <v>67</v>
      </c>
      <c r="D206" s="87"/>
      <c r="E206" s="88"/>
      <c r="F206" s="29" cm="1">
        <f t="array" ref="F20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6" s="30" cm="1">
        <f t="array" ref="G20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6" s="30" cm="1">
        <f t="array" ref="H206">INDEX(stdWorkingDays[],MATCH(capacityTbl[[#This Row],[Year]]&amp;capacityTbl[[#This Row],[Month]],stdWorkingDays[Year]&amp;stdWorkingDays[Month],0),MATCH("China",stdWorkingDays[#Headers],0))</f>
        <v>19</v>
      </c>
      <c r="I206" s="30" cm="1">
        <f t="array" ref="I206">INDEX(stdWorkingDays[],MATCH(capacityTbl[[#This Row],[Year]]&amp;capacityTbl[[#This Row],[Month]],stdWorkingDays[Year]&amp;stdWorkingDays[Month],0),MATCH("Philippine",stdWorkingDays[#Headers],0))</f>
        <v>20</v>
      </c>
      <c r="J20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6" s="35">
        <f>IFERROR(capacityTbl[[#This Row],[Production Days]]/capacityTbl[[#This Row],[Weighted Working day]],0)</f>
        <v>0</v>
      </c>
      <c r="L206" s="31" cm="1">
        <f t="array" ref="L206">INDEX(ProductivityBaseline[ProductivityBaseline],MATCH(capacityTbl[[#This Row],[Process]]&amp;capacityTbl[[#This Row],[Year]],ProductivityBaseline[Title]&amp;ProductivityBaseline[Year to use],0))</f>
        <v>59</v>
      </c>
      <c r="M206" s="32">
        <f>IFERROR(capacityTbl[[#This Row],[No. of Transaction]]/(capacityTbl[[#This Row],[Productivity Baseline (Transation/FTE/Day)]]*capacityTbl[[#This Row],[Weighted Working day]]),0)</f>
        <v>0</v>
      </c>
      <c r="N206" s="33">
        <f>IFERROR(capacityTbl[[#This Row],[No. of Transaction]]/capacityTbl[[#This Row],[Production Days]],0)</f>
        <v>0</v>
      </c>
    </row>
    <row r="207" spans="1:14" x14ac:dyDescent="0.25">
      <c r="A207" s="24">
        <v>2025</v>
      </c>
      <c r="B207" s="110" t="s">
        <v>18</v>
      </c>
      <c r="C207" s="113" t="s">
        <v>67</v>
      </c>
      <c r="D207" s="87">
        <v>2</v>
      </c>
      <c r="E207" s="88">
        <v>1</v>
      </c>
      <c r="F207" s="29" cm="1">
        <f t="array" ref="F20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7" s="30" cm="1">
        <f t="array" ref="G20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7" s="30" cm="1">
        <f t="array" ref="H207">INDEX(stdWorkingDays[],MATCH(capacityTbl[[#This Row],[Year]]&amp;capacityTbl[[#This Row],[Month]],stdWorkingDays[Year]&amp;stdWorkingDays[Month],0),MATCH("China",stdWorkingDays[#Headers],0))</f>
        <v>21</v>
      </c>
      <c r="I207" s="30" cm="1">
        <f t="array" ref="I207">INDEX(stdWorkingDays[],MATCH(capacityTbl[[#This Row],[Year]]&amp;capacityTbl[[#This Row],[Month]],stdWorkingDays[Year]&amp;stdWorkingDays[Month],0),MATCH("Philippine",stdWorkingDays[#Headers],0))</f>
        <v>21</v>
      </c>
      <c r="J20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7" s="35">
        <f>IFERROR(capacityTbl[[#This Row],[Production Days]]/capacityTbl[[#This Row],[Weighted Working day]],0)</f>
        <v>0</v>
      </c>
      <c r="L207" s="31" cm="1">
        <f t="array" ref="L207">INDEX(ProductivityBaseline[ProductivityBaseline],MATCH(capacityTbl[[#This Row],[Process]]&amp;capacityTbl[[#This Row],[Year]],ProductivityBaseline[Title]&amp;ProductivityBaseline[Year to use],0))</f>
        <v>59</v>
      </c>
      <c r="M207" s="32">
        <f>IFERROR(capacityTbl[[#This Row],[No. of Transaction]]/(capacityTbl[[#This Row],[Productivity Baseline (Transation/FTE/Day)]]*capacityTbl[[#This Row],[Weighted Working day]]),0)</f>
        <v>0</v>
      </c>
      <c r="N207" s="33">
        <f>IFERROR(capacityTbl[[#This Row],[No. of Transaction]]/capacityTbl[[#This Row],[Production Days]],0)</f>
        <v>2</v>
      </c>
    </row>
    <row r="208" spans="1:14" x14ac:dyDescent="0.25">
      <c r="A208" s="24">
        <v>2025</v>
      </c>
      <c r="B208" s="110" t="s">
        <v>19</v>
      </c>
      <c r="C208" s="113" t="s">
        <v>67</v>
      </c>
      <c r="D208" s="87">
        <v>307</v>
      </c>
      <c r="E208" s="88">
        <v>12</v>
      </c>
      <c r="F208" s="29" cm="1">
        <f t="array" ref="F20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8" s="30" cm="1">
        <f t="array" ref="G20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8" s="30" cm="1">
        <f t="array" ref="H208">INDEX(stdWorkingDays[],MATCH(capacityTbl[[#This Row],[Year]]&amp;capacityTbl[[#This Row],[Month]],stdWorkingDays[Year]&amp;stdWorkingDays[Month],0),MATCH("China",stdWorkingDays[#Headers],0))</f>
        <v>22</v>
      </c>
      <c r="I208" s="30" cm="1">
        <f t="array" ref="I208">INDEX(stdWorkingDays[],MATCH(capacityTbl[[#This Row],[Year]]&amp;capacityTbl[[#This Row],[Month]],stdWorkingDays[Year]&amp;stdWorkingDays[Month],0),MATCH("Philippine",stdWorkingDays[#Headers],0))</f>
        <v>19</v>
      </c>
      <c r="J20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8" s="35">
        <f>IFERROR(capacityTbl[[#This Row],[Production Days]]/capacityTbl[[#This Row],[Weighted Working day]],0)</f>
        <v>0</v>
      </c>
      <c r="L208" s="31" cm="1">
        <f t="array" ref="L208">INDEX(ProductivityBaseline[ProductivityBaseline],MATCH(capacityTbl[[#This Row],[Process]]&amp;capacityTbl[[#This Row],[Year]],ProductivityBaseline[Title]&amp;ProductivityBaseline[Year to use],0))</f>
        <v>59</v>
      </c>
      <c r="M208" s="32">
        <f>IFERROR(capacityTbl[[#This Row],[No. of Transaction]]/(capacityTbl[[#This Row],[Productivity Baseline (Transation/FTE/Day)]]*capacityTbl[[#This Row],[Weighted Working day]]),0)</f>
        <v>0</v>
      </c>
      <c r="N208" s="33">
        <f>IFERROR(capacityTbl[[#This Row],[No. of Transaction]]/capacityTbl[[#This Row],[Production Days]],0)</f>
        <v>25.583333333333332</v>
      </c>
    </row>
    <row r="209" spans="1:14" x14ac:dyDescent="0.25">
      <c r="A209" s="24">
        <v>2025</v>
      </c>
      <c r="B209" s="110" t="s">
        <v>20</v>
      </c>
      <c r="C209" s="113" t="s">
        <v>67</v>
      </c>
      <c r="D209" s="87">
        <v>1619</v>
      </c>
      <c r="E209" s="88">
        <v>49</v>
      </c>
      <c r="F209" s="29" cm="1">
        <f t="array" ref="F20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09" s="30" cm="1">
        <f t="array" ref="G20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09" s="30" cm="1">
        <f t="array" ref="H209">INDEX(stdWorkingDays[],MATCH(capacityTbl[[#This Row],[Year]]&amp;capacityTbl[[#This Row],[Month]],stdWorkingDays[Year]&amp;stdWorkingDays[Month],0),MATCH("China",stdWorkingDays[#Headers],0))</f>
        <v>19</v>
      </c>
      <c r="I209" s="30" cm="1">
        <f t="array" ref="I209">INDEX(stdWorkingDays[],MATCH(capacityTbl[[#This Row],[Year]]&amp;capacityTbl[[#This Row],[Month]],stdWorkingDays[Year]&amp;stdWorkingDays[Month],0),MATCH("Philippine",stdWorkingDays[#Headers],0))</f>
        <v>21</v>
      </c>
      <c r="J20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09" s="35">
        <f>IFERROR(capacityTbl[[#This Row],[Production Days]]/capacityTbl[[#This Row],[Weighted Working day]],0)</f>
        <v>0</v>
      </c>
      <c r="L209" s="31" cm="1">
        <f t="array" ref="L209">INDEX(ProductivityBaseline[ProductivityBaseline],MATCH(capacityTbl[[#This Row],[Process]]&amp;capacityTbl[[#This Row],[Year]],ProductivityBaseline[Title]&amp;ProductivityBaseline[Year to use],0))</f>
        <v>59</v>
      </c>
      <c r="M209" s="32">
        <f>IFERROR(capacityTbl[[#This Row],[No. of Transaction]]/(capacityTbl[[#This Row],[Productivity Baseline (Transation/FTE/Day)]]*capacityTbl[[#This Row],[Weighted Working day]]),0)</f>
        <v>0</v>
      </c>
      <c r="N209" s="33">
        <f>IFERROR(capacityTbl[[#This Row],[No. of Transaction]]/capacityTbl[[#This Row],[Production Days]],0)</f>
        <v>33.04081632653061</v>
      </c>
    </row>
    <row r="210" spans="1:14" x14ac:dyDescent="0.25">
      <c r="A210" s="24">
        <v>2025</v>
      </c>
      <c r="B210" s="110" t="s">
        <v>21</v>
      </c>
      <c r="C210" s="113" t="s">
        <v>67</v>
      </c>
      <c r="D210" s="87">
        <v>7682</v>
      </c>
      <c r="E210" s="88">
        <v>99</v>
      </c>
      <c r="F210" s="29" cm="1">
        <f t="array" ref="F2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0" s="30" cm="1">
        <f t="array" ref="G210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10" s="30" cm="1">
        <f t="array" ref="H210">INDEX(stdWorkingDays[],MATCH(capacityTbl[[#This Row],[Year]]&amp;capacityTbl[[#This Row],[Month]],stdWorkingDays[Year]&amp;stdWorkingDays[Month],0),MATCH("China",stdWorkingDays[#Headers],0))</f>
        <v>20</v>
      </c>
      <c r="I210" s="30" cm="1">
        <f t="array" ref="I210">INDEX(stdWorkingDays[],MATCH(capacityTbl[[#This Row],[Year]]&amp;capacityTbl[[#This Row],[Month]],stdWorkingDays[Year]&amp;stdWorkingDays[Month],0),MATCH("Philippine",stdWorkingDays[#Headers],0))</f>
        <v>19</v>
      </c>
      <c r="J21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10" s="35">
        <f>IFERROR(capacityTbl[[#This Row],[Production Days]]/capacityTbl[[#This Row],[Weighted Working day]],0)</f>
        <v>5.2105263157894735</v>
      </c>
      <c r="L210" s="31" cm="1">
        <f t="array" ref="L210">INDEX(ProductivityBaseline[ProductivityBaseline],MATCH(capacityTbl[[#This Row],[Process]]&amp;capacityTbl[[#This Row],[Year]],ProductivityBaseline[Title]&amp;ProductivityBaseline[Year to use],0))</f>
        <v>59</v>
      </c>
      <c r="M210" s="32">
        <f>IFERROR(capacityTbl[[#This Row],[No. of Transaction]]/(capacityTbl[[#This Row],[Productivity Baseline (Transation/FTE/Day)]]*capacityTbl[[#This Row],[Weighted Working day]]),0)</f>
        <v>6.8528099910793934</v>
      </c>
      <c r="N210" s="33">
        <f>IFERROR(capacityTbl[[#This Row],[No. of Transaction]]/capacityTbl[[#This Row],[Production Days]],0)</f>
        <v>77.595959595959599</v>
      </c>
    </row>
    <row r="211" spans="1:14" x14ac:dyDescent="0.25">
      <c r="A211" s="24">
        <v>2025</v>
      </c>
      <c r="B211" s="110" t="s">
        <v>22</v>
      </c>
      <c r="C211" s="113" t="s">
        <v>67</v>
      </c>
      <c r="D211" s="87"/>
      <c r="E211" s="88"/>
      <c r="F211" s="29" cm="1">
        <f t="array" ref="F2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1" s="30" cm="1">
        <f t="array" ref="G211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1" s="30" cm="1">
        <f t="array" ref="H211">INDEX(stdWorkingDays[],MATCH(capacityTbl[[#This Row],[Year]]&amp;capacityTbl[[#This Row],[Month]],stdWorkingDays[Year]&amp;stdWorkingDays[Month],0),MATCH("China",stdWorkingDays[#Headers],0))</f>
        <v>23</v>
      </c>
      <c r="I211" s="30" cm="1">
        <f t="array" ref="I211">INDEX(stdWorkingDays[],MATCH(capacityTbl[[#This Row],[Year]]&amp;capacityTbl[[#This Row],[Month]],stdWorkingDays[Year]&amp;stdWorkingDays[Month],0),MATCH("Philippine",stdWorkingDays[#Headers],0))</f>
        <v>23</v>
      </c>
      <c r="J21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11" s="35">
        <f>IFERROR(capacityTbl[[#This Row],[Production Days]]/capacityTbl[[#This Row],[Weighted Working day]],0)</f>
        <v>0</v>
      </c>
      <c r="L211" s="31" cm="1">
        <f t="array" ref="L211">INDEX(ProductivityBaseline[ProductivityBaseline],MATCH(capacityTbl[[#This Row],[Process]]&amp;capacityTbl[[#This Row],[Year]],ProductivityBaseline[Title]&amp;ProductivityBaseline[Year to use],0))</f>
        <v>59</v>
      </c>
      <c r="M211" s="32">
        <f>IFERROR(capacityTbl[[#This Row],[No. of Transaction]]/(capacityTbl[[#This Row],[Productivity Baseline (Transation/FTE/Day)]]*capacityTbl[[#This Row],[Weighted Working day]]),0)</f>
        <v>0</v>
      </c>
      <c r="N211" s="33">
        <f>IFERROR(capacityTbl[[#This Row],[No. of Transaction]]/capacityTbl[[#This Row],[Production Days]],0)</f>
        <v>0</v>
      </c>
    </row>
    <row r="212" spans="1:14" x14ac:dyDescent="0.25">
      <c r="A212" s="24">
        <v>2025</v>
      </c>
      <c r="B212" s="110" t="s">
        <v>46</v>
      </c>
      <c r="C212" s="113" t="s">
        <v>67</v>
      </c>
      <c r="D212" s="87"/>
      <c r="E212" s="88"/>
      <c r="F212" s="29" cm="1">
        <f t="array" ref="F2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2" s="30" cm="1">
        <f t="array" ref="G212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2" s="30" cm="1">
        <f t="array" ref="H212">INDEX(stdWorkingDays[],MATCH(capacityTbl[[#This Row],[Year]]&amp;capacityTbl[[#This Row],[Month]],stdWorkingDays[Year]&amp;stdWorkingDays[Month],0),MATCH("China",stdWorkingDays[#Headers],0))</f>
        <v>21</v>
      </c>
      <c r="I212" s="30" cm="1">
        <f t="array" ref="I212">INDEX(stdWorkingDays[],MATCH(capacityTbl[[#This Row],[Year]]&amp;capacityTbl[[#This Row],[Month]],stdWorkingDays[Year]&amp;stdWorkingDays[Month],0),MATCH("Philippine",stdWorkingDays[#Headers],0))</f>
        <v>19</v>
      </c>
      <c r="J21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12" s="35">
        <f>IFERROR(capacityTbl[[#This Row],[Production Days]]/capacityTbl[[#This Row],[Weighted Working day]],0)</f>
        <v>0</v>
      </c>
      <c r="L212" s="31" cm="1">
        <f t="array" ref="L212">INDEX(ProductivityBaseline[ProductivityBaseline],MATCH(capacityTbl[[#This Row],[Process]]&amp;capacityTbl[[#This Row],[Year]],ProductivityBaseline[Title]&amp;ProductivityBaseline[Year to use],0))</f>
        <v>59</v>
      </c>
      <c r="M212" s="32">
        <f>IFERROR(capacityTbl[[#This Row],[No. of Transaction]]/(capacityTbl[[#This Row],[Productivity Baseline (Transation/FTE/Day)]]*capacityTbl[[#This Row],[Weighted Working day]]),0)</f>
        <v>0</v>
      </c>
      <c r="N212" s="33">
        <f>IFERROR(capacityTbl[[#This Row],[No. of Transaction]]/capacityTbl[[#This Row],[Production Days]],0)</f>
        <v>0</v>
      </c>
    </row>
    <row r="213" spans="1:14" x14ac:dyDescent="0.25">
      <c r="A213" s="24">
        <v>2025</v>
      </c>
      <c r="B213" s="110" t="s">
        <v>33</v>
      </c>
      <c r="C213" s="113" t="s">
        <v>67</v>
      </c>
      <c r="D213" s="87"/>
      <c r="E213" s="88"/>
      <c r="F213" s="29" cm="1">
        <f t="array" ref="F2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3" s="30" cm="1">
        <f t="array" ref="G213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3" s="30" cm="1">
        <f t="array" ref="H213">INDEX(stdWorkingDays[],MATCH(capacityTbl[[#This Row],[Year]]&amp;capacityTbl[[#This Row],[Month]],stdWorkingDays[Year]&amp;stdWorkingDays[Month],0),MATCH("China",stdWorkingDays[#Headers],0))</f>
        <v>23</v>
      </c>
      <c r="I213" s="30" cm="1">
        <f t="array" ref="I213">INDEX(stdWorkingDays[],MATCH(capacityTbl[[#This Row],[Year]]&amp;capacityTbl[[#This Row],[Month]],stdWorkingDays[Year]&amp;stdWorkingDays[Month],0),MATCH("Philippine",stdWorkingDays[#Headers],0))</f>
        <v>22</v>
      </c>
      <c r="J213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13" s="35">
        <f>IFERROR(capacityTbl[[#This Row],[Production Days]]/capacityTbl[[#This Row],[Weighted Working day]],0)</f>
        <v>0</v>
      </c>
      <c r="L213" s="31" cm="1">
        <f t="array" ref="L213">INDEX(ProductivityBaseline[ProductivityBaseline],MATCH(capacityTbl[[#This Row],[Process]]&amp;capacityTbl[[#This Row],[Year]],ProductivityBaseline[Title]&amp;ProductivityBaseline[Year to use],0))</f>
        <v>59</v>
      </c>
      <c r="M213" s="32">
        <f>IFERROR(capacityTbl[[#This Row],[No. of Transaction]]/(capacityTbl[[#This Row],[Productivity Baseline (Transation/FTE/Day)]]*capacityTbl[[#This Row],[Weighted Working day]]),0)</f>
        <v>0</v>
      </c>
      <c r="N213" s="33">
        <f>IFERROR(capacityTbl[[#This Row],[No. of Transaction]]/capacityTbl[[#This Row],[Production Days]],0)</f>
        <v>0</v>
      </c>
    </row>
    <row r="214" spans="1:14" x14ac:dyDescent="0.25">
      <c r="A214" s="24">
        <v>2025</v>
      </c>
      <c r="B214" s="110" t="s">
        <v>25</v>
      </c>
      <c r="C214" s="113" t="s">
        <v>67</v>
      </c>
      <c r="D214" s="87"/>
      <c r="E214" s="88"/>
      <c r="F214" s="29" cm="1">
        <f t="array" ref="F2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4" s="30" cm="1">
        <f t="array" ref="G214">IFERROR(INDEX(FTE_stdWD[FTE],MATCH(capacityTbl[[#This Row],[Process]]&amp;capacityTbl[[#This Row],[Month]]&amp;capacityTbl[[#This Row],[Year]]&amp;"MNL",FTE_stdWD[Service Description]&amp;FTE_stdWD[Month]&amp;FTE_stdWD[Year]&amp;FTE_stdWD[Country],0)),0)</f>
        <v>4</v>
      </c>
      <c r="H214" s="30" cm="1">
        <f t="array" ref="H214">INDEX(stdWorkingDays[],MATCH(capacityTbl[[#This Row],[Year]]&amp;capacityTbl[[#This Row],[Month]],stdWorkingDays[Year]&amp;stdWorkingDays[Month],0),MATCH("China",stdWorkingDays[#Headers],0))</f>
        <v>18</v>
      </c>
      <c r="I214" s="30" cm="1">
        <f t="array" ref="I214">INDEX(stdWorkingDays[],MATCH(capacityTbl[[#This Row],[Year]]&amp;capacityTbl[[#This Row],[Month]],stdWorkingDays[Year]&amp;stdWorkingDays[Month],0),MATCH("Philippine",stdWorkingDays[#Headers],0))</f>
        <v>22</v>
      </c>
      <c r="J214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14" s="35">
        <f>IFERROR(capacityTbl[[#This Row],[Production Days]]/capacityTbl[[#This Row],[Weighted Working day]],0)</f>
        <v>0</v>
      </c>
      <c r="L214" s="31" cm="1">
        <f t="array" ref="L214">INDEX(ProductivityBaseline[ProductivityBaseline],MATCH(capacityTbl[[#This Row],[Process]]&amp;capacityTbl[[#This Row],[Year]],ProductivityBaseline[Title]&amp;ProductivityBaseline[Year to use],0))</f>
        <v>59</v>
      </c>
      <c r="M214" s="32">
        <f>IFERROR(capacityTbl[[#This Row],[No. of Transaction]]/(capacityTbl[[#This Row],[Productivity Baseline (Transation/FTE/Day)]]*capacityTbl[[#This Row],[Weighted Working day]]),0)</f>
        <v>0</v>
      </c>
      <c r="N214" s="33">
        <f>IFERROR(capacityTbl[[#This Row],[No. of Transaction]]/capacityTbl[[#This Row],[Production Days]],0)</f>
        <v>0</v>
      </c>
    </row>
    <row r="215" spans="1:14" x14ac:dyDescent="0.25">
      <c r="A215" s="24">
        <v>2025</v>
      </c>
      <c r="B215" s="110" t="s">
        <v>26</v>
      </c>
      <c r="C215" s="113" t="s">
        <v>67</v>
      </c>
      <c r="D215" s="87"/>
      <c r="E215" s="88"/>
      <c r="F215" s="29" cm="1">
        <f t="array" ref="F2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5" s="30" cm="1">
        <f t="array" ref="G2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15" s="30" cm="1">
        <f t="array" ref="H215">INDEX(stdWorkingDays[],MATCH(capacityTbl[[#This Row],[Year]]&amp;capacityTbl[[#This Row],[Month]],stdWorkingDays[Year]&amp;stdWorkingDays[Month],0),MATCH("China",stdWorkingDays[#Headers],0))</f>
        <v>20</v>
      </c>
      <c r="I215" s="30" cm="1">
        <f t="array" ref="I215">INDEX(stdWorkingDays[],MATCH(capacityTbl[[#This Row],[Year]]&amp;capacityTbl[[#This Row],[Month]],stdWorkingDays[Year]&amp;stdWorkingDays[Month],0),MATCH("Philippine",stdWorkingDays[#Headers],0))</f>
        <v>20</v>
      </c>
      <c r="J2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15" s="35">
        <f>IFERROR(capacityTbl[[#This Row],[Production Days]]/capacityTbl[[#This Row],[Weighted Working day]],0)</f>
        <v>0</v>
      </c>
      <c r="L215" s="31" cm="1">
        <f t="array" ref="L215">INDEX(ProductivityBaseline[ProductivityBaseline],MATCH(capacityTbl[[#This Row],[Process]]&amp;capacityTbl[[#This Row],[Year]],ProductivityBaseline[Title]&amp;ProductivityBaseline[Year to use],0))</f>
        <v>59</v>
      </c>
      <c r="M215" s="32">
        <f>IFERROR(capacityTbl[[#This Row],[No. of Transaction]]/(capacityTbl[[#This Row],[Productivity Baseline (Transation/FTE/Day)]]*capacityTbl[[#This Row],[Weighted Working day]]),0)</f>
        <v>0</v>
      </c>
      <c r="N215" s="33">
        <f>IFERROR(capacityTbl[[#This Row],[No. of Transaction]]/capacityTbl[[#This Row],[Production Days]],0)</f>
        <v>0</v>
      </c>
    </row>
    <row r="216" spans="1:14" x14ac:dyDescent="0.25">
      <c r="A216" s="24">
        <v>2025</v>
      </c>
      <c r="B216" s="110" t="s">
        <v>27</v>
      </c>
      <c r="C216" s="113" t="s">
        <v>67</v>
      </c>
      <c r="D216" s="87"/>
      <c r="E216" s="88"/>
      <c r="F216" s="29" cm="1">
        <f t="array" ref="F2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6" s="30" cm="1">
        <f t="array" ref="G2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16" s="30" cm="1">
        <f t="array" ref="H216">INDEX(stdWorkingDays[],MATCH(capacityTbl[[#This Row],[Year]]&amp;capacityTbl[[#This Row],[Month]],stdWorkingDays[Year]&amp;stdWorkingDays[Month],0),MATCH("China",stdWorkingDays[#Headers],0))</f>
        <v>23</v>
      </c>
      <c r="I216" s="30" cm="1">
        <f t="array" ref="I216">INDEX(stdWorkingDays[],MATCH(capacityTbl[[#This Row],[Year]]&amp;capacityTbl[[#This Row],[Month]],stdWorkingDays[Year]&amp;stdWorkingDays[Month],0),MATCH("Philippine",stdWorkingDays[#Headers],0))</f>
        <v>18</v>
      </c>
      <c r="J2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16" s="35">
        <f>IFERROR(capacityTbl[[#This Row],[Production Days]]/capacityTbl[[#This Row],[Weighted Working day]],0)</f>
        <v>0</v>
      </c>
      <c r="L216" s="31" cm="1">
        <f t="array" ref="L216">INDEX(ProductivityBaseline[ProductivityBaseline],MATCH(capacityTbl[[#This Row],[Process]]&amp;capacityTbl[[#This Row],[Year]],ProductivityBaseline[Title]&amp;ProductivityBaseline[Year to use],0))</f>
        <v>59</v>
      </c>
      <c r="M216" s="32">
        <f>IFERROR(capacityTbl[[#This Row],[No. of Transaction]]/(capacityTbl[[#This Row],[Productivity Baseline (Transation/FTE/Day)]]*capacityTbl[[#This Row],[Weighted Working day]]),0)</f>
        <v>0</v>
      </c>
      <c r="N216" s="33">
        <f>IFERROR(capacityTbl[[#This Row],[No. of Transaction]]/capacityTbl[[#This Row],[Production Days]],0)</f>
        <v>0</v>
      </c>
    </row>
    <row r="217" spans="1:14" x14ac:dyDescent="0.25">
      <c r="A217" s="24">
        <v>2025</v>
      </c>
      <c r="B217" s="25" t="s">
        <v>14</v>
      </c>
      <c r="C217" s="26" t="s">
        <v>39</v>
      </c>
      <c r="D217" s="87">
        <f>37+N("leny+analyn")+
113+N("lolita")</f>
        <v>150</v>
      </c>
      <c r="E217" s="88">
        <v>22</v>
      </c>
      <c r="F217" s="29" cm="1">
        <f t="array" ref="F2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7" s="30" cm="1">
        <f t="array" ref="G21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17" s="30" cm="1">
        <f t="array" ref="H217">INDEX(stdWorkingDays[],MATCH(capacityTbl[[#This Row],[Year]]&amp;capacityTbl[[#This Row],[Month]],stdWorkingDays[Year]&amp;stdWorkingDays[Month],0),MATCH("China",stdWorkingDays[#Headers],0))</f>
        <v>19</v>
      </c>
      <c r="I217" s="30" cm="1">
        <f t="array" ref="I217">INDEX(stdWorkingDays[],MATCH(capacityTbl[[#This Row],[Year]]&amp;capacityTbl[[#This Row],[Month]],stdWorkingDays[Year]&amp;stdWorkingDays[Month],0),MATCH("Philippine",stdWorkingDays[#Headers],0))</f>
        <v>21</v>
      </c>
      <c r="J21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17" s="35">
        <f>IFERROR(capacityTbl[[#This Row],[Production Days]]/capacityTbl[[#This Row],[Weighted Working day]],0)</f>
        <v>1.0476190476190477</v>
      </c>
      <c r="L217" s="31" cm="1">
        <f t="array" ref="L217">INDEX(ProductivityBaseline[ProductivityBaseline],MATCH(capacityTbl[[#This Row],[Process]]&amp;capacityTbl[[#This Row],[Year]],ProductivityBaseline[Title]&amp;ProductivityBaseline[Year to use],0))</f>
        <v>3</v>
      </c>
      <c r="M217" s="32">
        <f>IFERROR(capacityTbl[[#This Row],[No. of Transaction]]/(capacityTbl[[#This Row],[Productivity Baseline (Transation/FTE/Day)]]*capacityTbl[[#This Row],[Weighted Working day]]),0)</f>
        <v>2.3809523809523809</v>
      </c>
      <c r="N217" s="33">
        <f>IFERROR(capacityTbl[[#This Row],[No. of Transaction]]/capacityTbl[[#This Row],[Production Days]],0)</f>
        <v>6.8181818181818183</v>
      </c>
    </row>
    <row r="218" spans="1:14" x14ac:dyDescent="0.25">
      <c r="A218" s="24">
        <v>2025</v>
      </c>
      <c r="B218" s="25" t="s">
        <v>17</v>
      </c>
      <c r="C218" s="26" t="s">
        <v>39</v>
      </c>
      <c r="D218" s="87">
        <f>77+109</f>
        <v>186</v>
      </c>
      <c r="E218" s="88">
        <v>22</v>
      </c>
      <c r="F218" s="29" cm="1">
        <f t="array" ref="F2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8" s="30" cm="1">
        <f t="array" ref="G21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18" s="30" cm="1">
        <f t="array" ref="H218">INDEX(stdWorkingDays[],MATCH(capacityTbl[[#This Row],[Year]]&amp;capacityTbl[[#This Row],[Month]],stdWorkingDays[Year]&amp;stdWorkingDays[Month],0),MATCH("China",stdWorkingDays[#Headers],0))</f>
        <v>19</v>
      </c>
      <c r="I218" s="30" cm="1">
        <f t="array" ref="I218">INDEX(stdWorkingDays[],MATCH(capacityTbl[[#This Row],[Year]]&amp;capacityTbl[[#This Row],[Month]],stdWorkingDays[Year]&amp;stdWorkingDays[Month],0),MATCH("Philippine",stdWorkingDays[#Headers],0))</f>
        <v>20</v>
      </c>
      <c r="J21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18" s="35">
        <f>IFERROR(capacityTbl[[#This Row],[Production Days]]/capacityTbl[[#This Row],[Weighted Working day]],0)</f>
        <v>1.1000000000000001</v>
      </c>
      <c r="L218" s="31" cm="1">
        <f t="array" ref="L218">INDEX(ProductivityBaseline[ProductivityBaseline],MATCH(capacityTbl[[#This Row],[Process]]&amp;capacityTbl[[#This Row],[Year]],ProductivityBaseline[Title]&amp;ProductivityBaseline[Year to use],0))</f>
        <v>3</v>
      </c>
      <c r="M218" s="32">
        <f>IFERROR(capacityTbl[[#This Row],[No. of Transaction]]/(capacityTbl[[#This Row],[Productivity Baseline (Transation/FTE/Day)]]*capacityTbl[[#This Row],[Weighted Working day]]),0)</f>
        <v>3.1</v>
      </c>
      <c r="N218" s="33">
        <f>IFERROR(capacityTbl[[#This Row],[No. of Transaction]]/capacityTbl[[#This Row],[Production Days]],0)</f>
        <v>8.454545454545455</v>
      </c>
    </row>
    <row r="219" spans="1:14" x14ac:dyDescent="0.25">
      <c r="A219" s="24">
        <v>2025</v>
      </c>
      <c r="B219" s="25" t="s">
        <v>18</v>
      </c>
      <c r="C219" s="26" t="s">
        <v>39</v>
      </c>
      <c r="D219" s="87">
        <f>88+79</f>
        <v>167</v>
      </c>
      <c r="E219" s="88">
        <v>22</v>
      </c>
      <c r="F219" s="29" cm="1">
        <f t="array" ref="F2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19" s="30" cm="1">
        <f t="array" ref="G21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19" s="30" cm="1">
        <f t="array" ref="H219">INDEX(stdWorkingDays[],MATCH(capacityTbl[[#This Row],[Year]]&amp;capacityTbl[[#This Row],[Month]],stdWorkingDays[Year]&amp;stdWorkingDays[Month],0),MATCH("China",stdWorkingDays[#Headers],0))</f>
        <v>21</v>
      </c>
      <c r="I219" s="30" cm="1">
        <f t="array" ref="I219">INDEX(stdWorkingDays[],MATCH(capacityTbl[[#This Row],[Year]]&amp;capacityTbl[[#This Row],[Month]],stdWorkingDays[Year]&amp;stdWorkingDays[Month],0),MATCH("Philippine",stdWorkingDays[#Headers],0))</f>
        <v>21</v>
      </c>
      <c r="J219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19" s="35">
        <f>IFERROR(capacityTbl[[#This Row],[Production Days]]/capacityTbl[[#This Row],[Weighted Working day]],0)</f>
        <v>1.0476190476190477</v>
      </c>
      <c r="L219" s="31" cm="1">
        <f t="array" ref="L219">INDEX(ProductivityBaseline[ProductivityBaseline],MATCH(capacityTbl[[#This Row],[Process]]&amp;capacityTbl[[#This Row],[Year]],ProductivityBaseline[Title]&amp;ProductivityBaseline[Year to use],0))</f>
        <v>3</v>
      </c>
      <c r="M219" s="32">
        <f>IFERROR(capacityTbl[[#This Row],[No. of Transaction]]/(capacityTbl[[#This Row],[Productivity Baseline (Transation/FTE/Day)]]*capacityTbl[[#This Row],[Weighted Working day]]),0)</f>
        <v>2.6507936507936507</v>
      </c>
      <c r="N219" s="33">
        <f>IFERROR(capacityTbl[[#This Row],[No. of Transaction]]/capacityTbl[[#This Row],[Production Days]],0)</f>
        <v>7.5909090909090908</v>
      </c>
    </row>
    <row r="220" spans="1:14" x14ac:dyDescent="0.25">
      <c r="A220" s="24">
        <v>2025</v>
      </c>
      <c r="B220" s="25" t="s">
        <v>19</v>
      </c>
      <c r="C220" s="26" t="s">
        <v>39</v>
      </c>
      <c r="D220" s="87">
        <f>94+98</f>
        <v>192</v>
      </c>
      <c r="E220" s="88">
        <v>25.1</v>
      </c>
      <c r="F220" s="29" cm="1">
        <f t="array" ref="F2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0" s="30" cm="1">
        <f t="array" ref="G22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20" s="30" cm="1">
        <f t="array" ref="H220">INDEX(stdWorkingDays[],MATCH(capacityTbl[[#This Row],[Year]]&amp;capacityTbl[[#This Row],[Month]],stdWorkingDays[Year]&amp;stdWorkingDays[Month],0),MATCH("China",stdWorkingDays[#Headers],0))</f>
        <v>22</v>
      </c>
      <c r="I220" s="30" cm="1">
        <f t="array" ref="I220">INDEX(stdWorkingDays[],MATCH(capacityTbl[[#This Row],[Year]]&amp;capacityTbl[[#This Row],[Month]],stdWorkingDays[Year]&amp;stdWorkingDays[Month],0),MATCH("Philippine",stdWorkingDays[#Headers],0))</f>
        <v>19</v>
      </c>
      <c r="J22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20" s="35">
        <f>IFERROR(capacityTbl[[#This Row],[Production Days]]/capacityTbl[[#This Row],[Weighted Working day]],0)</f>
        <v>1.3210526315789475</v>
      </c>
      <c r="L220" s="31" cm="1">
        <f t="array" ref="L220">INDEX(ProductivityBaseline[ProductivityBaseline],MATCH(capacityTbl[[#This Row],[Process]]&amp;capacityTbl[[#This Row],[Year]],ProductivityBaseline[Title]&amp;ProductivityBaseline[Year to use],0))</f>
        <v>3</v>
      </c>
      <c r="M220" s="32">
        <f>IFERROR(capacityTbl[[#This Row],[No. of Transaction]]/(capacityTbl[[#This Row],[Productivity Baseline (Transation/FTE/Day)]]*capacityTbl[[#This Row],[Weighted Working day]]),0)</f>
        <v>3.3684210526315788</v>
      </c>
      <c r="N220" s="33">
        <f>IFERROR(capacityTbl[[#This Row],[No. of Transaction]]/capacityTbl[[#This Row],[Production Days]],0)</f>
        <v>7.6494023904382464</v>
      </c>
    </row>
    <row r="221" spans="1:14" x14ac:dyDescent="0.25">
      <c r="A221" s="24">
        <v>2025</v>
      </c>
      <c r="B221" s="25" t="s">
        <v>20</v>
      </c>
      <c r="C221" s="26" t="s">
        <v>39</v>
      </c>
      <c r="D221" s="87">
        <f>107+69</f>
        <v>176</v>
      </c>
      <c r="E221" s="88">
        <v>25.29</v>
      </c>
      <c r="F221" s="29" cm="1">
        <f t="array" ref="F2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1" s="30" cm="1">
        <f t="array" ref="G22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21" s="30" cm="1">
        <f t="array" ref="H221">INDEX(stdWorkingDays[],MATCH(capacityTbl[[#This Row],[Year]]&amp;capacityTbl[[#This Row],[Month]],stdWorkingDays[Year]&amp;stdWorkingDays[Month],0),MATCH("China",stdWorkingDays[#Headers],0))</f>
        <v>19</v>
      </c>
      <c r="I221" s="30" cm="1">
        <f t="array" ref="I221">INDEX(stdWorkingDays[],MATCH(capacityTbl[[#This Row],[Year]]&amp;capacityTbl[[#This Row],[Month]],stdWorkingDays[Year]&amp;stdWorkingDays[Month],0),MATCH("Philippine",stdWorkingDays[#Headers],0))</f>
        <v>21</v>
      </c>
      <c r="J22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21" s="35">
        <f>IFERROR(capacityTbl[[#This Row],[Production Days]]/capacityTbl[[#This Row],[Weighted Working day]],0)</f>
        <v>1.2042857142857142</v>
      </c>
      <c r="L221" s="31" cm="1">
        <f t="array" ref="L221">INDEX(ProductivityBaseline[ProductivityBaseline],MATCH(capacityTbl[[#This Row],[Process]]&amp;capacityTbl[[#This Row],[Year]],ProductivityBaseline[Title]&amp;ProductivityBaseline[Year to use],0))</f>
        <v>3</v>
      </c>
      <c r="M221" s="32">
        <f>IFERROR(capacityTbl[[#This Row],[No. of Transaction]]/(capacityTbl[[#This Row],[Productivity Baseline (Transation/FTE/Day)]]*capacityTbl[[#This Row],[Weighted Working day]]),0)</f>
        <v>2.7936507936507935</v>
      </c>
      <c r="N221" s="33">
        <f>IFERROR(capacityTbl[[#This Row],[No. of Transaction]]/capacityTbl[[#This Row],[Production Days]],0)</f>
        <v>6.9592724396994861</v>
      </c>
    </row>
    <row r="222" spans="1:14" x14ac:dyDescent="0.25">
      <c r="A222" s="24">
        <v>2025</v>
      </c>
      <c r="B222" s="25" t="s">
        <v>21</v>
      </c>
      <c r="C222" s="26" t="s">
        <v>39</v>
      </c>
      <c r="D222" s="87">
        <f>119+85</f>
        <v>204</v>
      </c>
      <c r="E222" s="88">
        <v>26.43</v>
      </c>
      <c r="F222" s="29" cm="1">
        <f t="array" ref="F2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2" s="30" cm="1">
        <f t="array" ref="G22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22" s="30" cm="1">
        <f t="array" ref="H222">INDEX(stdWorkingDays[],MATCH(capacityTbl[[#This Row],[Year]]&amp;capacityTbl[[#This Row],[Month]],stdWorkingDays[Year]&amp;stdWorkingDays[Month],0),MATCH("China",stdWorkingDays[#Headers],0))</f>
        <v>20</v>
      </c>
      <c r="I222" s="30" cm="1">
        <f t="array" ref="I222">INDEX(stdWorkingDays[],MATCH(capacityTbl[[#This Row],[Year]]&amp;capacityTbl[[#This Row],[Month]],stdWorkingDays[Year]&amp;stdWorkingDays[Month],0),MATCH("Philippine",stdWorkingDays[#Headers],0))</f>
        <v>19</v>
      </c>
      <c r="J22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22" s="35">
        <f>IFERROR(capacityTbl[[#This Row],[Production Days]]/capacityTbl[[#This Row],[Weighted Working day]],0)</f>
        <v>1.3910526315789473</v>
      </c>
      <c r="L222" s="31" cm="1">
        <f t="array" ref="L222">INDEX(ProductivityBaseline[ProductivityBaseline],MATCH(capacityTbl[[#This Row],[Process]]&amp;capacityTbl[[#This Row],[Year]],ProductivityBaseline[Title]&amp;ProductivityBaseline[Year to use],0))</f>
        <v>3</v>
      </c>
      <c r="M222" s="32">
        <f>IFERROR(capacityTbl[[#This Row],[No. of Transaction]]/(capacityTbl[[#This Row],[Productivity Baseline (Transation/FTE/Day)]]*capacityTbl[[#This Row],[Weighted Working day]]),0)</f>
        <v>3.5789473684210527</v>
      </c>
      <c r="N222" s="33">
        <f>IFERROR(capacityTbl[[#This Row],[No. of Transaction]]/capacityTbl[[#This Row],[Production Days]],0)</f>
        <v>7.7185017026106699</v>
      </c>
    </row>
    <row r="223" spans="1:14" x14ac:dyDescent="0.25">
      <c r="A223" s="24">
        <v>2025</v>
      </c>
      <c r="B223" s="25" t="s">
        <v>22</v>
      </c>
      <c r="C223" s="26" t="s">
        <v>39</v>
      </c>
      <c r="D223" s="87">
        <f>82+96</f>
        <v>178</v>
      </c>
      <c r="E223" s="88">
        <v>25.71</v>
      </c>
      <c r="F223" s="29" cm="1">
        <f t="array" ref="F2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3" s="30" cm="1">
        <f t="array" ref="G223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3" s="30" cm="1">
        <f t="array" ref="H223">INDEX(stdWorkingDays[],MATCH(capacityTbl[[#This Row],[Year]]&amp;capacityTbl[[#This Row],[Month]],stdWorkingDays[Year]&amp;stdWorkingDays[Month],0),MATCH("China",stdWorkingDays[#Headers],0))</f>
        <v>23</v>
      </c>
      <c r="I223" s="30" cm="1">
        <f t="array" ref="I223">INDEX(stdWorkingDays[],MATCH(capacityTbl[[#This Row],[Year]]&amp;capacityTbl[[#This Row],[Month]],stdWorkingDays[Year]&amp;stdWorkingDays[Month],0),MATCH("Philippine",stdWorkingDays[#Headers],0))</f>
        <v>23</v>
      </c>
      <c r="J223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23" s="35">
        <f>IFERROR(capacityTbl[[#This Row],[Production Days]]/capacityTbl[[#This Row],[Weighted Working day]],0)</f>
        <v>1.1178260869565217</v>
      </c>
      <c r="L223" s="31" cm="1">
        <f t="array" ref="L223">INDEX(ProductivityBaseline[ProductivityBaseline],MATCH(capacityTbl[[#This Row],[Process]]&amp;capacityTbl[[#This Row],[Year]],ProductivityBaseline[Title]&amp;ProductivityBaseline[Year to use],0))</f>
        <v>3</v>
      </c>
      <c r="M223" s="32">
        <f>IFERROR(capacityTbl[[#This Row],[No. of Transaction]]/(capacityTbl[[#This Row],[Productivity Baseline (Transation/FTE/Day)]]*capacityTbl[[#This Row],[Weighted Working day]]),0)</f>
        <v>2.5797101449275361</v>
      </c>
      <c r="N223" s="33">
        <f>IFERROR(capacityTbl[[#This Row],[No. of Transaction]]/capacityTbl[[#This Row],[Production Days]],0)</f>
        <v>6.9233761182419293</v>
      </c>
    </row>
    <row r="224" spans="1:14" x14ac:dyDescent="0.25">
      <c r="A224" s="24">
        <v>2025</v>
      </c>
      <c r="B224" s="25" t="s">
        <v>23</v>
      </c>
      <c r="C224" s="26" t="s">
        <v>39</v>
      </c>
      <c r="D224" s="87">
        <f>48+94</f>
        <v>142</v>
      </c>
      <c r="E224" s="88">
        <v>23.48</v>
      </c>
      <c r="F224" s="29" cm="1">
        <f t="array" ref="F2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4" s="30" cm="1">
        <f t="array" ref="G224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4" s="30" cm="1">
        <f t="array" ref="H224">INDEX(stdWorkingDays[],MATCH(capacityTbl[[#This Row],[Year]]&amp;capacityTbl[[#This Row],[Month]],stdWorkingDays[Year]&amp;stdWorkingDays[Month],0),MATCH("China",stdWorkingDays[#Headers],0))</f>
        <v>21</v>
      </c>
      <c r="I224" s="30" cm="1">
        <f t="array" ref="I224">INDEX(stdWorkingDays[],MATCH(capacityTbl[[#This Row],[Year]]&amp;capacityTbl[[#This Row],[Month]],stdWorkingDays[Year]&amp;stdWorkingDays[Month],0),MATCH("Philippine",stdWorkingDays[#Headers],0))</f>
        <v>19</v>
      </c>
      <c r="J22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24" s="35">
        <f>IFERROR(capacityTbl[[#This Row],[Production Days]]/capacityTbl[[#This Row],[Weighted Working day]],0)</f>
        <v>1.2357894736842105</v>
      </c>
      <c r="L224" s="31" cm="1">
        <f t="array" ref="L224">INDEX(ProductivityBaseline[ProductivityBaseline],MATCH(capacityTbl[[#This Row],[Process]]&amp;capacityTbl[[#This Row],[Year]],ProductivityBaseline[Title]&amp;ProductivityBaseline[Year to use],0))</f>
        <v>3</v>
      </c>
      <c r="M224" s="32">
        <f>IFERROR(capacityTbl[[#This Row],[No. of Transaction]]/(capacityTbl[[#This Row],[Productivity Baseline (Transation/FTE/Day)]]*capacityTbl[[#This Row],[Weighted Working day]]),0)</f>
        <v>2.4912280701754388</v>
      </c>
      <c r="N224" s="33">
        <f>IFERROR(capacityTbl[[#This Row],[No. of Transaction]]/capacityTbl[[#This Row],[Production Days]],0)</f>
        <v>6.0477001703577509</v>
      </c>
    </row>
    <row r="225" spans="1:14" x14ac:dyDescent="0.25">
      <c r="A225" s="24">
        <v>2025</v>
      </c>
      <c r="B225" s="25" t="s">
        <v>33</v>
      </c>
      <c r="C225" s="26" t="s">
        <v>39</v>
      </c>
      <c r="D225" s="87"/>
      <c r="E225" s="88"/>
      <c r="F225" s="29" cm="1">
        <f t="array" ref="F2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5" s="30" cm="1">
        <f t="array" ref="G225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5" s="30" cm="1">
        <f t="array" ref="H225">INDEX(stdWorkingDays[],MATCH(capacityTbl[[#This Row],[Year]]&amp;capacityTbl[[#This Row],[Month]],stdWorkingDays[Year]&amp;stdWorkingDays[Month],0),MATCH("China",stdWorkingDays[#Headers],0))</f>
        <v>23</v>
      </c>
      <c r="I225" s="30" cm="1">
        <f t="array" ref="I225">INDEX(stdWorkingDays[],MATCH(capacityTbl[[#This Row],[Year]]&amp;capacityTbl[[#This Row],[Month]],stdWorkingDays[Year]&amp;stdWorkingDays[Month],0),MATCH("Philippine",stdWorkingDays[#Headers],0))</f>
        <v>22</v>
      </c>
      <c r="J225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25" s="35">
        <f>IFERROR(capacityTbl[[#This Row],[Production Days]]/capacityTbl[[#This Row],[Weighted Working day]],0)</f>
        <v>0</v>
      </c>
      <c r="L225" s="31" cm="1">
        <f t="array" ref="L225">INDEX(ProductivityBaseline[ProductivityBaseline],MATCH(capacityTbl[[#This Row],[Process]]&amp;capacityTbl[[#This Row],[Year]],ProductivityBaseline[Title]&amp;ProductivityBaseline[Year to use],0))</f>
        <v>3</v>
      </c>
      <c r="M225" s="32">
        <f>IFERROR(capacityTbl[[#This Row],[No. of Transaction]]/(capacityTbl[[#This Row],[Productivity Baseline (Transation/FTE/Day)]]*capacityTbl[[#This Row],[Weighted Working day]]),0)</f>
        <v>0</v>
      </c>
      <c r="N225" s="33">
        <f>IFERROR(capacityTbl[[#This Row],[No. of Transaction]]/capacityTbl[[#This Row],[Production Days]],0)</f>
        <v>0</v>
      </c>
    </row>
    <row r="226" spans="1:14" x14ac:dyDescent="0.25">
      <c r="A226" s="24">
        <v>2025</v>
      </c>
      <c r="B226" s="25" t="s">
        <v>25</v>
      </c>
      <c r="C226" s="26" t="s">
        <v>39</v>
      </c>
      <c r="D226" s="87"/>
      <c r="E226" s="88"/>
      <c r="F226" s="29" cm="1">
        <f t="array" ref="F2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6" s="30" cm="1">
        <f t="array" ref="G226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6" s="30" cm="1">
        <f t="array" ref="H226">INDEX(stdWorkingDays[],MATCH(capacityTbl[[#This Row],[Year]]&amp;capacityTbl[[#This Row],[Month]],stdWorkingDays[Year]&amp;stdWorkingDays[Month],0),MATCH("China",stdWorkingDays[#Headers],0))</f>
        <v>18</v>
      </c>
      <c r="I226" s="30" cm="1">
        <f t="array" ref="I226">INDEX(stdWorkingDays[],MATCH(capacityTbl[[#This Row],[Year]]&amp;capacityTbl[[#This Row],[Month]],stdWorkingDays[Year]&amp;stdWorkingDays[Month],0),MATCH("Philippine",stdWorkingDays[#Headers],0))</f>
        <v>22</v>
      </c>
      <c r="J226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26" s="35">
        <f>IFERROR(capacityTbl[[#This Row],[Production Days]]/capacityTbl[[#This Row],[Weighted Working day]],0)</f>
        <v>0</v>
      </c>
      <c r="L226" s="31" cm="1">
        <f t="array" ref="L226">INDEX(ProductivityBaseline[ProductivityBaseline],MATCH(capacityTbl[[#This Row],[Process]]&amp;capacityTbl[[#This Row],[Year]],ProductivityBaseline[Title]&amp;ProductivityBaseline[Year to use],0))</f>
        <v>3</v>
      </c>
      <c r="M226" s="32">
        <f>IFERROR(capacityTbl[[#This Row],[No. of Transaction]]/(capacityTbl[[#This Row],[Productivity Baseline (Transation/FTE/Day)]]*capacityTbl[[#This Row],[Weighted Working day]]),0)</f>
        <v>0</v>
      </c>
      <c r="N226" s="33">
        <f>IFERROR(capacityTbl[[#This Row],[No. of Transaction]]/capacityTbl[[#This Row],[Production Days]],0)</f>
        <v>0</v>
      </c>
    </row>
    <row r="227" spans="1:14" x14ac:dyDescent="0.25">
      <c r="A227" s="24">
        <v>2025</v>
      </c>
      <c r="B227" s="25" t="s">
        <v>26</v>
      </c>
      <c r="C227" s="26" t="s">
        <v>39</v>
      </c>
      <c r="D227" s="87"/>
      <c r="E227" s="88"/>
      <c r="F227" s="29" cm="1">
        <f t="array" ref="F2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7" s="30" cm="1">
        <f t="array" ref="G227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7" s="30" cm="1">
        <f t="array" ref="H227">INDEX(stdWorkingDays[],MATCH(capacityTbl[[#This Row],[Year]]&amp;capacityTbl[[#This Row],[Month]],stdWorkingDays[Year]&amp;stdWorkingDays[Month],0),MATCH("China",stdWorkingDays[#Headers],0))</f>
        <v>20</v>
      </c>
      <c r="I227" s="30" cm="1">
        <f t="array" ref="I227">INDEX(stdWorkingDays[],MATCH(capacityTbl[[#This Row],[Year]]&amp;capacityTbl[[#This Row],[Month]],stdWorkingDays[Year]&amp;stdWorkingDays[Month],0),MATCH("Philippine",stdWorkingDays[#Headers],0))</f>
        <v>20</v>
      </c>
      <c r="J22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27" s="35">
        <f>IFERROR(capacityTbl[[#This Row],[Production Days]]/capacityTbl[[#This Row],[Weighted Working day]],0)</f>
        <v>0</v>
      </c>
      <c r="L227" s="31" cm="1">
        <f t="array" ref="L227">INDEX(ProductivityBaseline[ProductivityBaseline],MATCH(capacityTbl[[#This Row],[Process]]&amp;capacityTbl[[#This Row],[Year]],ProductivityBaseline[Title]&amp;ProductivityBaseline[Year to use],0))</f>
        <v>3</v>
      </c>
      <c r="M227" s="32">
        <f>IFERROR(capacityTbl[[#This Row],[No. of Transaction]]/(capacityTbl[[#This Row],[Productivity Baseline (Transation/FTE/Day)]]*capacityTbl[[#This Row],[Weighted Working day]]),0)</f>
        <v>0</v>
      </c>
      <c r="N227" s="33">
        <f>IFERROR(capacityTbl[[#This Row],[No. of Transaction]]/capacityTbl[[#This Row],[Production Days]],0)</f>
        <v>0</v>
      </c>
    </row>
    <row r="228" spans="1:14" x14ac:dyDescent="0.25">
      <c r="A228" s="37">
        <v>2025</v>
      </c>
      <c r="B228" s="38" t="s">
        <v>27</v>
      </c>
      <c r="C228" s="26" t="s">
        <v>39</v>
      </c>
      <c r="D228" s="89"/>
      <c r="E228" s="90"/>
      <c r="F228" s="42" cm="1">
        <f t="array" ref="F2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8" s="43" cm="1">
        <f t="array" ref="G228">IFERROR(INDEX(FTE_stdWD[FTE],MATCH(capacityTbl[[#This Row],[Process]]&amp;capacityTbl[[#This Row],[Month]]&amp;capacityTbl[[#This Row],[Year]]&amp;"MNL",FTE_stdWD[Service Description]&amp;FTE_stdWD[Month]&amp;FTE_stdWD[Year]&amp;FTE_stdWD[Country],0)),0)</f>
        <v>3</v>
      </c>
      <c r="H228" s="43" cm="1">
        <f t="array" ref="H228">INDEX(stdWorkingDays[],MATCH(capacityTbl[[#This Row],[Year]]&amp;capacityTbl[[#This Row],[Month]],stdWorkingDays[Year]&amp;stdWorkingDays[Month],0),MATCH("China",stdWorkingDays[#Headers],0))</f>
        <v>23</v>
      </c>
      <c r="I228" s="43" cm="1">
        <f t="array" ref="I228">INDEX(stdWorkingDays[],MATCH(capacityTbl[[#This Row],[Year]]&amp;capacityTbl[[#This Row],[Month]],stdWorkingDays[Year]&amp;stdWorkingDays[Month],0),MATCH("Philippine",stdWorkingDays[#Headers],0))</f>
        <v>18</v>
      </c>
      <c r="J228" s="44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228" s="45">
        <f>IFERROR(capacityTbl[[#This Row],[Production Days]]/capacityTbl[[#This Row],[Weighted Working day]],0)</f>
        <v>0</v>
      </c>
      <c r="L228" s="44" cm="1">
        <f t="array" ref="L228">INDEX(ProductivityBaseline[ProductivityBaseline],MATCH(capacityTbl[[#This Row],[Process]]&amp;capacityTbl[[#This Row],[Year]],ProductivityBaseline[Title]&amp;ProductivityBaseline[Year to use],0))</f>
        <v>3</v>
      </c>
      <c r="M228" s="46">
        <f>IFERROR(capacityTbl[[#This Row],[No. of Transaction]]/(capacityTbl[[#This Row],[Productivity Baseline (Transation/FTE/Day)]]*capacityTbl[[#This Row],[Weighted Working day]]),0)</f>
        <v>0</v>
      </c>
      <c r="N228" s="47">
        <f>IFERROR(capacityTbl[[#This Row],[No. of Transaction]]/capacityTbl[[#This Row],[Production Days]],0)</f>
        <v>0</v>
      </c>
    </row>
    <row r="229" spans="1:14" x14ac:dyDescent="0.25">
      <c r="A229" s="24">
        <v>2025</v>
      </c>
      <c r="B229" s="110" t="s">
        <v>14</v>
      </c>
      <c r="C229" s="111" t="s">
        <v>155</v>
      </c>
      <c r="D229" s="87"/>
      <c r="E229" s="88"/>
      <c r="F229" s="29" cm="1">
        <f t="array" ref="F2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29" s="30" cm="1">
        <f t="array" ref="G2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29" s="30" cm="1">
        <f t="array" ref="H229">INDEX(stdWorkingDays[],MATCH(capacityTbl[[#This Row],[Year]]&amp;capacityTbl[[#This Row],[Month]],stdWorkingDays[Year]&amp;stdWorkingDays[Month],0),MATCH("China",stdWorkingDays[#Headers],0))</f>
        <v>19</v>
      </c>
      <c r="I229" s="30" cm="1">
        <f t="array" ref="I229">INDEX(stdWorkingDays[],MATCH(capacityTbl[[#This Row],[Year]]&amp;capacityTbl[[#This Row],[Month]],stdWorkingDays[Year]&amp;stdWorkingDays[Month],0),MATCH("Philippine",stdWorkingDays[#Headers],0))</f>
        <v>21</v>
      </c>
      <c r="J2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29" s="35">
        <f>IFERROR(capacityTbl[[#This Row],[Production Days]]/capacityTbl[[#This Row],[Weighted Working day]],0)</f>
        <v>0</v>
      </c>
      <c r="L229" s="31" cm="1">
        <f t="array" ref="L229">INDEX(ProductivityBaseline[ProductivityBaseline],MATCH(capacityTbl[[#This Row],[Process]]&amp;capacityTbl[[#This Row],[Year]],ProductivityBaseline[Title]&amp;ProductivityBaseline[Year to use],0))</f>
        <v>0</v>
      </c>
      <c r="M229" s="32">
        <f>IFERROR(capacityTbl[[#This Row],[No. of Transaction]]/(capacityTbl[[#This Row],[Productivity Baseline (Transation/FTE/Day)]]*capacityTbl[[#This Row],[Weighted Working day]]),0)</f>
        <v>0</v>
      </c>
      <c r="N229" s="33">
        <f>IFERROR(capacityTbl[[#This Row],[No. of Transaction]]/capacityTbl[[#This Row],[Production Days]],0)</f>
        <v>0</v>
      </c>
    </row>
    <row r="230" spans="1:14" x14ac:dyDescent="0.25">
      <c r="A230" s="24">
        <v>2025</v>
      </c>
      <c r="B230" s="110" t="s">
        <v>17</v>
      </c>
      <c r="C230" s="111" t="s">
        <v>155</v>
      </c>
      <c r="D230" s="87"/>
      <c r="E230" s="88"/>
      <c r="F230" s="29" cm="1">
        <f t="array" ref="F2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0" s="30" cm="1">
        <f t="array" ref="G2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0" s="30" cm="1">
        <f t="array" ref="H230">INDEX(stdWorkingDays[],MATCH(capacityTbl[[#This Row],[Year]]&amp;capacityTbl[[#This Row],[Month]],stdWorkingDays[Year]&amp;stdWorkingDays[Month],0),MATCH("China",stdWorkingDays[#Headers],0))</f>
        <v>19</v>
      </c>
      <c r="I230" s="30" cm="1">
        <f t="array" ref="I230">INDEX(stdWorkingDays[],MATCH(capacityTbl[[#This Row],[Year]]&amp;capacityTbl[[#This Row],[Month]],stdWorkingDays[Year]&amp;stdWorkingDays[Month],0),MATCH("Philippine",stdWorkingDays[#Headers],0))</f>
        <v>20</v>
      </c>
      <c r="J2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0" s="35">
        <f>IFERROR(capacityTbl[[#This Row],[Production Days]]/capacityTbl[[#This Row],[Weighted Working day]],0)</f>
        <v>0</v>
      </c>
      <c r="L230" s="31" cm="1">
        <f t="array" ref="L230">INDEX(ProductivityBaseline[ProductivityBaseline],MATCH(capacityTbl[[#This Row],[Process]]&amp;capacityTbl[[#This Row],[Year]],ProductivityBaseline[Title]&amp;ProductivityBaseline[Year to use],0))</f>
        <v>0</v>
      </c>
      <c r="M230" s="32">
        <f>IFERROR(capacityTbl[[#This Row],[No. of Transaction]]/(capacityTbl[[#This Row],[Productivity Baseline (Transation/FTE/Day)]]*capacityTbl[[#This Row],[Weighted Working day]]),0)</f>
        <v>0</v>
      </c>
      <c r="N230" s="33">
        <f>IFERROR(capacityTbl[[#This Row],[No. of Transaction]]/capacityTbl[[#This Row],[Production Days]],0)</f>
        <v>0</v>
      </c>
    </row>
    <row r="231" spans="1:14" x14ac:dyDescent="0.25">
      <c r="A231" s="24">
        <v>2025</v>
      </c>
      <c r="B231" s="110" t="s">
        <v>18</v>
      </c>
      <c r="C231" s="111" t="s">
        <v>155</v>
      </c>
      <c r="D231" s="87"/>
      <c r="E231" s="88"/>
      <c r="F231" s="29" cm="1">
        <f t="array" ref="F2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1" s="30" cm="1">
        <f t="array" ref="G2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1" s="30" cm="1">
        <f t="array" ref="H231">INDEX(stdWorkingDays[],MATCH(capacityTbl[[#This Row],[Year]]&amp;capacityTbl[[#This Row],[Month]],stdWorkingDays[Year]&amp;stdWorkingDays[Month],0),MATCH("China",stdWorkingDays[#Headers],0))</f>
        <v>21</v>
      </c>
      <c r="I231" s="30" cm="1">
        <f t="array" ref="I231">INDEX(stdWorkingDays[],MATCH(capacityTbl[[#This Row],[Year]]&amp;capacityTbl[[#This Row],[Month]],stdWorkingDays[Year]&amp;stdWorkingDays[Month],0),MATCH("Philippine",stdWorkingDays[#Headers],0))</f>
        <v>21</v>
      </c>
      <c r="J2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1" s="35">
        <f>IFERROR(capacityTbl[[#This Row],[Production Days]]/capacityTbl[[#This Row],[Weighted Working day]],0)</f>
        <v>0</v>
      </c>
      <c r="L231" s="31" cm="1">
        <f t="array" ref="L231">INDEX(ProductivityBaseline[ProductivityBaseline],MATCH(capacityTbl[[#This Row],[Process]]&amp;capacityTbl[[#This Row],[Year]],ProductivityBaseline[Title]&amp;ProductivityBaseline[Year to use],0))</f>
        <v>0</v>
      </c>
      <c r="M231" s="32">
        <f>IFERROR(capacityTbl[[#This Row],[No. of Transaction]]/(capacityTbl[[#This Row],[Productivity Baseline (Transation/FTE/Day)]]*capacityTbl[[#This Row],[Weighted Working day]]),0)</f>
        <v>0</v>
      </c>
      <c r="N231" s="33">
        <f>IFERROR(capacityTbl[[#This Row],[No. of Transaction]]/capacityTbl[[#This Row],[Production Days]],0)</f>
        <v>0</v>
      </c>
    </row>
    <row r="232" spans="1:14" x14ac:dyDescent="0.25">
      <c r="A232" s="24">
        <v>2025</v>
      </c>
      <c r="B232" s="110" t="s">
        <v>19</v>
      </c>
      <c r="C232" s="111" t="s">
        <v>155</v>
      </c>
      <c r="D232" s="87"/>
      <c r="E232" s="88"/>
      <c r="F232" s="29" cm="1">
        <f t="array" ref="F2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2" s="30" cm="1">
        <f t="array" ref="G2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2" s="30" cm="1">
        <f t="array" ref="H232">INDEX(stdWorkingDays[],MATCH(capacityTbl[[#This Row],[Year]]&amp;capacityTbl[[#This Row],[Month]],stdWorkingDays[Year]&amp;stdWorkingDays[Month],0),MATCH("China",stdWorkingDays[#Headers],0))</f>
        <v>22</v>
      </c>
      <c r="I232" s="30" cm="1">
        <f t="array" ref="I232">INDEX(stdWorkingDays[],MATCH(capacityTbl[[#This Row],[Year]]&amp;capacityTbl[[#This Row],[Month]],stdWorkingDays[Year]&amp;stdWorkingDays[Month],0),MATCH("Philippine",stdWorkingDays[#Headers],0))</f>
        <v>19</v>
      </c>
      <c r="J2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2" s="35">
        <f>IFERROR(capacityTbl[[#This Row],[Production Days]]/capacityTbl[[#This Row],[Weighted Working day]],0)</f>
        <v>0</v>
      </c>
      <c r="L232" s="31" cm="1">
        <f t="array" ref="L232">INDEX(ProductivityBaseline[ProductivityBaseline],MATCH(capacityTbl[[#This Row],[Process]]&amp;capacityTbl[[#This Row],[Year]],ProductivityBaseline[Title]&amp;ProductivityBaseline[Year to use],0))</f>
        <v>0</v>
      </c>
      <c r="M232" s="32">
        <f>IFERROR(capacityTbl[[#This Row],[No. of Transaction]]/(capacityTbl[[#This Row],[Productivity Baseline (Transation/FTE/Day)]]*capacityTbl[[#This Row],[Weighted Working day]]),0)</f>
        <v>0</v>
      </c>
      <c r="N232" s="33">
        <f>IFERROR(capacityTbl[[#This Row],[No. of Transaction]]/capacityTbl[[#This Row],[Production Days]],0)</f>
        <v>0</v>
      </c>
    </row>
    <row r="233" spans="1:14" x14ac:dyDescent="0.25">
      <c r="A233" s="24">
        <v>2025</v>
      </c>
      <c r="B233" s="110" t="s">
        <v>20</v>
      </c>
      <c r="C233" s="111" t="s">
        <v>155</v>
      </c>
      <c r="D233" s="87"/>
      <c r="E233" s="88"/>
      <c r="F233" s="29" cm="1">
        <f t="array" ref="F2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3" s="30" cm="1">
        <f t="array" ref="G2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3" s="30" cm="1">
        <f t="array" ref="H233">INDEX(stdWorkingDays[],MATCH(capacityTbl[[#This Row],[Year]]&amp;capacityTbl[[#This Row],[Month]],stdWorkingDays[Year]&amp;stdWorkingDays[Month],0),MATCH("China",stdWorkingDays[#Headers],0))</f>
        <v>19</v>
      </c>
      <c r="I233" s="30" cm="1">
        <f t="array" ref="I233">INDEX(stdWorkingDays[],MATCH(capacityTbl[[#This Row],[Year]]&amp;capacityTbl[[#This Row],[Month]],stdWorkingDays[Year]&amp;stdWorkingDays[Month],0),MATCH("Philippine",stdWorkingDays[#Headers],0))</f>
        <v>21</v>
      </c>
      <c r="J2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3" s="35">
        <f>IFERROR(capacityTbl[[#This Row],[Production Days]]/capacityTbl[[#This Row],[Weighted Working day]],0)</f>
        <v>0</v>
      </c>
      <c r="L233" s="31" cm="1">
        <f t="array" ref="L233">INDEX(ProductivityBaseline[ProductivityBaseline],MATCH(capacityTbl[[#This Row],[Process]]&amp;capacityTbl[[#This Row],[Year]],ProductivityBaseline[Title]&amp;ProductivityBaseline[Year to use],0))</f>
        <v>0</v>
      </c>
      <c r="M233" s="32">
        <f>IFERROR(capacityTbl[[#This Row],[No. of Transaction]]/(capacityTbl[[#This Row],[Productivity Baseline (Transation/FTE/Day)]]*capacityTbl[[#This Row],[Weighted Working day]]),0)</f>
        <v>0</v>
      </c>
      <c r="N233" s="33">
        <f>IFERROR(capacityTbl[[#This Row],[No. of Transaction]]/capacityTbl[[#This Row],[Production Days]],0)</f>
        <v>0</v>
      </c>
    </row>
    <row r="234" spans="1:14" x14ac:dyDescent="0.25">
      <c r="A234" s="24">
        <v>2025</v>
      </c>
      <c r="B234" s="110" t="s">
        <v>21</v>
      </c>
      <c r="C234" s="111" t="s">
        <v>155</v>
      </c>
      <c r="D234" s="87"/>
      <c r="E234" s="88"/>
      <c r="F234" s="29" cm="1">
        <f t="array" ref="F2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4" s="30" cm="1">
        <f t="array" ref="G2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4" s="30" cm="1">
        <f t="array" ref="H234">INDEX(stdWorkingDays[],MATCH(capacityTbl[[#This Row],[Year]]&amp;capacityTbl[[#This Row],[Month]],stdWorkingDays[Year]&amp;stdWorkingDays[Month],0),MATCH("China",stdWorkingDays[#Headers],0))</f>
        <v>20</v>
      </c>
      <c r="I234" s="30" cm="1">
        <f t="array" ref="I234">INDEX(stdWorkingDays[],MATCH(capacityTbl[[#This Row],[Year]]&amp;capacityTbl[[#This Row],[Month]],stdWorkingDays[Year]&amp;stdWorkingDays[Month],0),MATCH("Philippine",stdWorkingDays[#Headers],0))</f>
        <v>19</v>
      </c>
      <c r="J2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4" s="35">
        <f>IFERROR(capacityTbl[[#This Row],[Production Days]]/capacityTbl[[#This Row],[Weighted Working day]],0)</f>
        <v>0</v>
      </c>
      <c r="L234" s="31" cm="1">
        <f t="array" ref="L234">INDEX(ProductivityBaseline[ProductivityBaseline],MATCH(capacityTbl[[#This Row],[Process]]&amp;capacityTbl[[#This Row],[Year]],ProductivityBaseline[Title]&amp;ProductivityBaseline[Year to use],0))</f>
        <v>0</v>
      </c>
      <c r="M234" s="32">
        <f>IFERROR(capacityTbl[[#This Row],[No. of Transaction]]/(capacityTbl[[#This Row],[Productivity Baseline (Transation/FTE/Day)]]*capacityTbl[[#This Row],[Weighted Working day]]),0)</f>
        <v>0</v>
      </c>
      <c r="N234" s="33">
        <f>IFERROR(capacityTbl[[#This Row],[No. of Transaction]]/capacityTbl[[#This Row],[Production Days]],0)</f>
        <v>0</v>
      </c>
    </row>
    <row r="235" spans="1:14" x14ac:dyDescent="0.25">
      <c r="A235" s="24">
        <v>2025</v>
      </c>
      <c r="B235" s="110" t="s">
        <v>22</v>
      </c>
      <c r="C235" s="111" t="s">
        <v>155</v>
      </c>
      <c r="D235" s="87"/>
      <c r="E235" s="88"/>
      <c r="F235" s="29" cm="1">
        <f t="array" ref="F2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5" s="30" cm="1">
        <f t="array" ref="G2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5" s="30" cm="1">
        <f t="array" ref="H235">INDEX(stdWorkingDays[],MATCH(capacityTbl[[#This Row],[Year]]&amp;capacityTbl[[#This Row],[Month]],stdWorkingDays[Year]&amp;stdWorkingDays[Month],0),MATCH("China",stdWorkingDays[#Headers],0))</f>
        <v>23</v>
      </c>
      <c r="I235" s="30" cm="1">
        <f t="array" ref="I235">INDEX(stdWorkingDays[],MATCH(capacityTbl[[#This Row],[Year]]&amp;capacityTbl[[#This Row],[Month]],stdWorkingDays[Year]&amp;stdWorkingDays[Month],0),MATCH("Philippine",stdWorkingDays[#Headers],0))</f>
        <v>23</v>
      </c>
      <c r="J2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5" s="35">
        <f>IFERROR(capacityTbl[[#This Row],[Production Days]]/capacityTbl[[#This Row],[Weighted Working day]],0)</f>
        <v>0</v>
      </c>
      <c r="L235" s="31" cm="1">
        <f t="array" ref="L235">INDEX(ProductivityBaseline[ProductivityBaseline],MATCH(capacityTbl[[#This Row],[Process]]&amp;capacityTbl[[#This Row],[Year]],ProductivityBaseline[Title]&amp;ProductivityBaseline[Year to use],0))</f>
        <v>0</v>
      </c>
      <c r="M235" s="32">
        <f>IFERROR(capacityTbl[[#This Row],[No. of Transaction]]/(capacityTbl[[#This Row],[Productivity Baseline (Transation/FTE/Day)]]*capacityTbl[[#This Row],[Weighted Working day]]),0)</f>
        <v>0</v>
      </c>
      <c r="N235" s="33">
        <f>IFERROR(capacityTbl[[#This Row],[No. of Transaction]]/capacityTbl[[#This Row],[Production Days]],0)</f>
        <v>0</v>
      </c>
    </row>
    <row r="236" spans="1:14" x14ac:dyDescent="0.25">
      <c r="A236" s="24">
        <v>2025</v>
      </c>
      <c r="B236" s="110" t="s">
        <v>46</v>
      </c>
      <c r="C236" s="111" t="s">
        <v>155</v>
      </c>
      <c r="D236" s="87"/>
      <c r="E236" s="88"/>
      <c r="F236" s="29" cm="1">
        <f t="array" ref="F2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6" s="30" cm="1">
        <f t="array" ref="G2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6" s="30" cm="1">
        <f t="array" ref="H236">INDEX(stdWorkingDays[],MATCH(capacityTbl[[#This Row],[Year]]&amp;capacityTbl[[#This Row],[Month]],stdWorkingDays[Year]&amp;stdWorkingDays[Month],0),MATCH("China",stdWorkingDays[#Headers],0))</f>
        <v>21</v>
      </c>
      <c r="I236" s="30" cm="1">
        <f t="array" ref="I236">INDEX(stdWorkingDays[],MATCH(capacityTbl[[#This Row],[Year]]&amp;capacityTbl[[#This Row],[Month]],stdWorkingDays[Year]&amp;stdWorkingDays[Month],0),MATCH("Philippine",stdWorkingDays[#Headers],0))</f>
        <v>19</v>
      </c>
      <c r="J23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6" s="35">
        <f>IFERROR(capacityTbl[[#This Row],[Production Days]]/capacityTbl[[#This Row],[Weighted Working day]],0)</f>
        <v>0</v>
      </c>
      <c r="L236" s="31" cm="1">
        <f t="array" ref="L236">INDEX(ProductivityBaseline[ProductivityBaseline],MATCH(capacityTbl[[#This Row],[Process]]&amp;capacityTbl[[#This Row],[Year]],ProductivityBaseline[Title]&amp;ProductivityBaseline[Year to use],0))</f>
        <v>0</v>
      </c>
      <c r="M236" s="32">
        <f>IFERROR(capacityTbl[[#This Row],[No. of Transaction]]/(capacityTbl[[#This Row],[Productivity Baseline (Transation/FTE/Day)]]*capacityTbl[[#This Row],[Weighted Working day]]),0)</f>
        <v>0</v>
      </c>
      <c r="N236" s="33">
        <f>IFERROR(capacityTbl[[#This Row],[No. of Transaction]]/capacityTbl[[#This Row],[Production Days]],0)</f>
        <v>0</v>
      </c>
    </row>
    <row r="237" spans="1:14" x14ac:dyDescent="0.25">
      <c r="A237" s="24">
        <v>2025</v>
      </c>
      <c r="B237" s="110" t="s">
        <v>33</v>
      </c>
      <c r="C237" s="111" t="s">
        <v>155</v>
      </c>
      <c r="D237" s="87"/>
      <c r="E237" s="88"/>
      <c r="F237" s="29" cm="1">
        <f t="array" ref="F23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7" s="30" cm="1">
        <f t="array" ref="G2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7" s="30" cm="1">
        <f t="array" ref="H237">INDEX(stdWorkingDays[],MATCH(capacityTbl[[#This Row],[Year]]&amp;capacityTbl[[#This Row],[Month]],stdWorkingDays[Year]&amp;stdWorkingDays[Month],0),MATCH("China",stdWorkingDays[#Headers],0))</f>
        <v>23</v>
      </c>
      <c r="I237" s="30" cm="1">
        <f t="array" ref="I237">INDEX(stdWorkingDays[],MATCH(capacityTbl[[#This Row],[Year]]&amp;capacityTbl[[#This Row],[Month]],stdWorkingDays[Year]&amp;stdWorkingDays[Month],0),MATCH("Philippine",stdWorkingDays[#Headers],0))</f>
        <v>22</v>
      </c>
      <c r="J23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7" s="35">
        <f>IFERROR(capacityTbl[[#This Row],[Production Days]]/capacityTbl[[#This Row],[Weighted Working day]],0)</f>
        <v>0</v>
      </c>
      <c r="L237" s="31" cm="1">
        <f t="array" ref="L237">INDEX(ProductivityBaseline[ProductivityBaseline],MATCH(capacityTbl[[#This Row],[Process]]&amp;capacityTbl[[#This Row],[Year]],ProductivityBaseline[Title]&amp;ProductivityBaseline[Year to use],0))</f>
        <v>0</v>
      </c>
      <c r="M237" s="32">
        <f>IFERROR(capacityTbl[[#This Row],[No. of Transaction]]/(capacityTbl[[#This Row],[Productivity Baseline (Transation/FTE/Day)]]*capacityTbl[[#This Row],[Weighted Working day]]),0)</f>
        <v>0</v>
      </c>
      <c r="N237" s="33">
        <f>IFERROR(capacityTbl[[#This Row],[No. of Transaction]]/capacityTbl[[#This Row],[Production Days]],0)</f>
        <v>0</v>
      </c>
    </row>
    <row r="238" spans="1:14" x14ac:dyDescent="0.25">
      <c r="A238" s="24">
        <v>2025</v>
      </c>
      <c r="B238" s="110" t="s">
        <v>25</v>
      </c>
      <c r="C238" s="111" t="s">
        <v>155</v>
      </c>
      <c r="D238" s="87"/>
      <c r="E238" s="88"/>
      <c r="F238" s="29" cm="1">
        <f t="array" ref="F23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8" s="30" cm="1">
        <f t="array" ref="G23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8" s="30" cm="1">
        <f t="array" ref="H238">INDEX(stdWorkingDays[],MATCH(capacityTbl[[#This Row],[Year]]&amp;capacityTbl[[#This Row],[Month]],stdWorkingDays[Year]&amp;stdWorkingDays[Month],0),MATCH("China",stdWorkingDays[#Headers],0))</f>
        <v>18</v>
      </c>
      <c r="I238" s="30" cm="1">
        <f t="array" ref="I238">INDEX(stdWorkingDays[],MATCH(capacityTbl[[#This Row],[Year]]&amp;capacityTbl[[#This Row],[Month]],stdWorkingDays[Year]&amp;stdWorkingDays[Month],0),MATCH("Philippine",stdWorkingDays[#Headers],0))</f>
        <v>22</v>
      </c>
      <c r="J23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8" s="35">
        <f>IFERROR(capacityTbl[[#This Row],[Production Days]]/capacityTbl[[#This Row],[Weighted Working day]],0)</f>
        <v>0</v>
      </c>
      <c r="L238" s="31" cm="1">
        <f t="array" ref="L238">INDEX(ProductivityBaseline[ProductivityBaseline],MATCH(capacityTbl[[#This Row],[Process]]&amp;capacityTbl[[#This Row],[Year]],ProductivityBaseline[Title]&amp;ProductivityBaseline[Year to use],0))</f>
        <v>0</v>
      </c>
      <c r="M238" s="32">
        <f>IFERROR(capacityTbl[[#This Row],[No. of Transaction]]/(capacityTbl[[#This Row],[Productivity Baseline (Transation/FTE/Day)]]*capacityTbl[[#This Row],[Weighted Working day]]),0)</f>
        <v>0</v>
      </c>
      <c r="N238" s="33">
        <f>IFERROR(capacityTbl[[#This Row],[No. of Transaction]]/capacityTbl[[#This Row],[Production Days]],0)</f>
        <v>0</v>
      </c>
    </row>
    <row r="239" spans="1:14" x14ac:dyDescent="0.25">
      <c r="A239" s="24">
        <v>2025</v>
      </c>
      <c r="B239" s="110" t="s">
        <v>26</v>
      </c>
      <c r="C239" s="111" t="s">
        <v>155</v>
      </c>
      <c r="D239" s="87"/>
      <c r="E239" s="88"/>
      <c r="F239" s="29" cm="1">
        <f t="array" ref="F23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39" s="30" cm="1">
        <f t="array" ref="G23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39" s="30" cm="1">
        <f t="array" ref="H239">INDEX(stdWorkingDays[],MATCH(capacityTbl[[#This Row],[Year]]&amp;capacityTbl[[#This Row],[Month]],stdWorkingDays[Year]&amp;stdWorkingDays[Month],0),MATCH("China",stdWorkingDays[#Headers],0))</f>
        <v>20</v>
      </c>
      <c r="I239" s="30" cm="1">
        <f t="array" ref="I239">INDEX(stdWorkingDays[],MATCH(capacityTbl[[#This Row],[Year]]&amp;capacityTbl[[#This Row],[Month]],stdWorkingDays[Year]&amp;stdWorkingDays[Month],0),MATCH("Philippine",stdWorkingDays[#Headers],0))</f>
        <v>20</v>
      </c>
      <c r="J23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39" s="35">
        <f>IFERROR(capacityTbl[[#This Row],[Production Days]]/capacityTbl[[#This Row],[Weighted Working day]],0)</f>
        <v>0</v>
      </c>
      <c r="L239" s="31" cm="1">
        <f t="array" ref="L239">INDEX(ProductivityBaseline[ProductivityBaseline],MATCH(capacityTbl[[#This Row],[Process]]&amp;capacityTbl[[#This Row],[Year]],ProductivityBaseline[Title]&amp;ProductivityBaseline[Year to use],0))</f>
        <v>0</v>
      </c>
      <c r="M239" s="32">
        <f>IFERROR(capacityTbl[[#This Row],[No. of Transaction]]/(capacityTbl[[#This Row],[Productivity Baseline (Transation/FTE/Day)]]*capacityTbl[[#This Row],[Weighted Working day]]),0)</f>
        <v>0</v>
      </c>
      <c r="N239" s="33">
        <f>IFERROR(capacityTbl[[#This Row],[No. of Transaction]]/capacityTbl[[#This Row],[Production Days]],0)</f>
        <v>0</v>
      </c>
    </row>
    <row r="240" spans="1:14" x14ac:dyDescent="0.25">
      <c r="A240" s="37">
        <v>2025</v>
      </c>
      <c r="B240" s="112" t="s">
        <v>27</v>
      </c>
      <c r="C240" s="113" t="s">
        <v>155</v>
      </c>
      <c r="D240" s="89"/>
      <c r="E240" s="90"/>
      <c r="F240" s="42" cm="1">
        <f t="array" ref="F24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40" s="43" cm="1">
        <f t="array" ref="G24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40" s="43" cm="1">
        <f t="array" ref="H240">INDEX(stdWorkingDays[],MATCH(capacityTbl[[#This Row],[Year]]&amp;capacityTbl[[#This Row],[Month]],stdWorkingDays[Year]&amp;stdWorkingDays[Month],0),MATCH("China",stdWorkingDays[#Headers],0))</f>
        <v>23</v>
      </c>
      <c r="I240" s="43" cm="1">
        <f t="array" ref="I240">INDEX(stdWorkingDays[],MATCH(capacityTbl[[#This Row],[Year]]&amp;capacityTbl[[#This Row],[Month]],stdWorkingDays[Year]&amp;stdWorkingDays[Month],0),MATCH("Philippine",stdWorkingDays[#Headers],0))</f>
        <v>18</v>
      </c>
      <c r="J240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40" s="45">
        <f>IFERROR(capacityTbl[[#This Row],[Production Days]]/capacityTbl[[#This Row],[Weighted Working day]],0)</f>
        <v>0</v>
      </c>
      <c r="L240" s="44" cm="1">
        <f t="array" ref="L240">INDEX(ProductivityBaseline[ProductivityBaseline],MATCH(capacityTbl[[#This Row],[Process]]&amp;capacityTbl[[#This Row],[Year]],ProductivityBaseline[Title]&amp;ProductivityBaseline[Year to use],0))</f>
        <v>0</v>
      </c>
      <c r="M240" s="46">
        <f>IFERROR(capacityTbl[[#This Row],[No. of Transaction]]/(capacityTbl[[#This Row],[Productivity Baseline (Transation/FTE/Day)]]*capacityTbl[[#This Row],[Weighted Working day]]),0)</f>
        <v>0</v>
      </c>
      <c r="N240" s="47">
        <f>IFERROR(capacityTbl[[#This Row],[No. of Transaction]]/capacityTbl[[#This Row],[Production Days]],0)</f>
        <v>0</v>
      </c>
    </row>
    <row r="241" spans="1:14" x14ac:dyDescent="0.25">
      <c r="A241" s="49">
        <v>2025</v>
      </c>
      <c r="B241" s="25" t="s">
        <v>14</v>
      </c>
      <c r="C241" s="34" t="s">
        <v>34</v>
      </c>
      <c r="D241" s="87">
        <f>1955+2248</f>
        <v>4203</v>
      </c>
      <c r="E241" s="88">
        <v>80</v>
      </c>
      <c r="F241" s="29" cm="1">
        <f t="array" ref="F241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1" s="30" cm="1">
        <f t="array" ref="G24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1" s="30" cm="1">
        <f t="array" ref="H241">INDEX(stdWorkingDays[],MATCH(capacityTbl[[#This Row],[Year]]&amp;capacityTbl[[#This Row],[Month]],stdWorkingDays[Year]&amp;stdWorkingDays[Month],0),MATCH("China",stdWorkingDays[#Headers],0))</f>
        <v>19</v>
      </c>
      <c r="I241" s="30" cm="1">
        <f t="array" ref="I241">INDEX(stdWorkingDays[],MATCH(capacityTbl[[#This Row],[Year]]&amp;capacityTbl[[#This Row],[Month]],stdWorkingDays[Year]&amp;stdWorkingDays[Month],0),MATCH("Philippine",stdWorkingDays[#Headers],0))</f>
        <v>21</v>
      </c>
      <c r="J241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41" s="31">
        <f>IFERROR(capacityTbl[[#This Row],[Production Days]]/capacityTbl[[#This Row],[Weighted Working day]],0)</f>
        <v>4</v>
      </c>
      <c r="L241" s="31" cm="1">
        <f t="array" ref="L241">INDEX(ProductivityBaseline[ProductivityBaseline],MATCH(capacityTbl[[#This Row],[Process]]&amp;capacityTbl[[#This Row],[Year]],ProductivityBaseline[Title]&amp;ProductivityBaseline[Year to use],0))</f>
        <v>45.725000000000001</v>
      </c>
      <c r="M241" s="32">
        <f>IFERROR(capacityTbl[[#This Row],[No. of Transaction]]/(capacityTbl[[#This Row],[Productivity Baseline (Transation/FTE/Day)]]*capacityTbl[[#This Row],[Weighted Working day]]),0)</f>
        <v>4.5959540732640791</v>
      </c>
      <c r="N241" s="33">
        <f>IFERROR(capacityTbl[[#This Row],[No. of Transaction]]/capacityTbl[[#This Row],[Production Days]],0)</f>
        <v>52.537500000000001</v>
      </c>
    </row>
    <row r="242" spans="1:14" x14ac:dyDescent="0.25">
      <c r="A242" s="49">
        <v>2025</v>
      </c>
      <c r="B242" s="25" t="s">
        <v>17</v>
      </c>
      <c r="C242" s="26" t="s">
        <v>34</v>
      </c>
      <c r="D242" s="87">
        <f>2049+1698</f>
        <v>3747</v>
      </c>
      <c r="E242" s="88">
        <v>83.5</v>
      </c>
      <c r="F242" s="29" cm="1">
        <f t="array" ref="F242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2" s="30" cm="1">
        <f t="array" ref="G24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2" s="30" cm="1">
        <f t="array" ref="H242">INDEX(stdWorkingDays[],MATCH(capacityTbl[[#This Row],[Year]]&amp;capacityTbl[[#This Row],[Month]],stdWorkingDays[Year]&amp;stdWorkingDays[Month],0),MATCH("China",stdWorkingDays[#Headers],0))</f>
        <v>19</v>
      </c>
      <c r="I242" s="30" cm="1">
        <f t="array" ref="I242">INDEX(stdWorkingDays[],MATCH(capacityTbl[[#This Row],[Year]]&amp;capacityTbl[[#This Row],[Month]],stdWorkingDays[Year]&amp;stdWorkingDays[Month],0),MATCH("Philippine",stdWorkingDays[#Headers],0))</f>
        <v>20</v>
      </c>
      <c r="J24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19.5</v>
      </c>
      <c r="K242" s="31">
        <f>IFERROR(capacityTbl[[#This Row],[Production Days]]/capacityTbl[[#This Row],[Weighted Working day]],0)</f>
        <v>4.2820512820512819</v>
      </c>
      <c r="L242" s="31" cm="1">
        <f t="array" ref="L242">INDEX(ProductivityBaseline[ProductivityBaseline],MATCH(capacityTbl[[#This Row],[Process]]&amp;capacityTbl[[#This Row],[Year]],ProductivityBaseline[Title]&amp;ProductivityBaseline[Year to use],0))</f>
        <v>45.725000000000001</v>
      </c>
      <c r="M242" s="32">
        <f>IFERROR(capacityTbl[[#This Row],[No. of Transaction]]/(capacityTbl[[#This Row],[Productivity Baseline (Transation/FTE/Day)]]*capacityTbl[[#This Row],[Weighted Working day]]),0)</f>
        <v>4.2023804516970182</v>
      </c>
      <c r="N242" s="33">
        <f>IFERROR(capacityTbl[[#This Row],[No. of Transaction]]/capacityTbl[[#This Row],[Production Days]],0)</f>
        <v>44.874251497005986</v>
      </c>
    </row>
    <row r="243" spans="1:14" x14ac:dyDescent="0.25">
      <c r="A243" s="49">
        <v>2025</v>
      </c>
      <c r="B243" s="25" t="s">
        <v>18</v>
      </c>
      <c r="C243" s="26" t="s">
        <v>34</v>
      </c>
      <c r="D243" s="87">
        <f>2816+2339</f>
        <v>5155</v>
      </c>
      <c r="E243" s="88">
        <v>92.2</v>
      </c>
      <c r="F243" s="29" cm="1">
        <f t="array" ref="F243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3" s="30" cm="1">
        <f t="array" ref="G243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3" s="30" cm="1">
        <f t="array" ref="H243">INDEX(stdWorkingDays[],MATCH(capacityTbl[[#This Row],[Year]]&amp;capacityTbl[[#This Row],[Month]],stdWorkingDays[Year]&amp;stdWorkingDays[Month],0),MATCH("China",stdWorkingDays[#Headers],0))</f>
        <v>21</v>
      </c>
      <c r="I243" s="30" cm="1">
        <f t="array" ref="I243">INDEX(stdWorkingDays[],MATCH(capacityTbl[[#This Row],[Year]]&amp;capacityTbl[[#This Row],[Month]],stdWorkingDays[Year]&amp;stdWorkingDays[Month],0),MATCH("Philippine",stdWorkingDays[#Headers],0))</f>
        <v>21</v>
      </c>
      <c r="J243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43" s="31">
        <f>IFERROR(capacityTbl[[#This Row],[Production Days]]/capacityTbl[[#This Row],[Weighted Working day]],0)</f>
        <v>4.3904761904761909</v>
      </c>
      <c r="L243" s="31" cm="1">
        <f t="array" ref="L243">INDEX(ProductivityBaseline[ProductivityBaseline],MATCH(capacityTbl[[#This Row],[Process]]&amp;capacityTbl[[#This Row],[Year]],ProductivityBaseline[Title]&amp;ProductivityBaseline[Year to use],0))</f>
        <v>45.725000000000001</v>
      </c>
      <c r="M243" s="32">
        <f>IFERROR(capacityTbl[[#This Row],[No. of Transaction]]/(capacityTbl[[#This Row],[Productivity Baseline (Transation/FTE/Day)]]*capacityTbl[[#This Row],[Weighted Working day]]),0)</f>
        <v>5.3685334166471401</v>
      </c>
      <c r="N243" s="33">
        <f>IFERROR(capacityTbl[[#This Row],[No. of Transaction]]/capacityTbl[[#This Row],[Production Days]],0)</f>
        <v>55.91106290672451</v>
      </c>
    </row>
    <row r="244" spans="1:14" x14ac:dyDescent="0.25">
      <c r="A244" s="49">
        <v>2025</v>
      </c>
      <c r="B244" s="25" t="s">
        <v>19</v>
      </c>
      <c r="C244" s="26" t="s">
        <v>34</v>
      </c>
      <c r="D244" s="87">
        <f>2609+2419</f>
        <v>5028</v>
      </c>
      <c r="E244" s="88">
        <v>82.2</v>
      </c>
      <c r="F244" s="29" cm="1">
        <f t="array" ref="F244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4" s="30" cm="1">
        <f t="array" ref="G244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4" s="30" cm="1">
        <f t="array" ref="H244">INDEX(stdWorkingDays[],MATCH(capacityTbl[[#This Row],[Year]]&amp;capacityTbl[[#This Row],[Month]],stdWorkingDays[Year]&amp;stdWorkingDays[Month],0),MATCH("China",stdWorkingDays[#Headers],0))</f>
        <v>22</v>
      </c>
      <c r="I244" s="30" cm="1">
        <f t="array" ref="I244">INDEX(stdWorkingDays[],MATCH(capacityTbl[[#This Row],[Year]]&amp;capacityTbl[[#This Row],[Month]],stdWorkingDays[Year]&amp;stdWorkingDays[Month],0),MATCH("Philippine",stdWorkingDays[#Headers],0))</f>
        <v>19</v>
      </c>
      <c r="J244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20.5</v>
      </c>
      <c r="K244" s="31">
        <f>IFERROR(capacityTbl[[#This Row],[Production Days]]/capacityTbl[[#This Row],[Weighted Working day]],0)</f>
        <v>4.0097560975609756</v>
      </c>
      <c r="L244" s="31" cm="1">
        <f t="array" ref="L244">INDEX(ProductivityBaseline[ProductivityBaseline],MATCH(capacityTbl[[#This Row],[Process]]&amp;capacityTbl[[#This Row],[Year]],ProductivityBaseline[Title]&amp;ProductivityBaseline[Year to use],0))</f>
        <v>45.725000000000001</v>
      </c>
      <c r="M244" s="32">
        <f>IFERROR(capacityTbl[[#This Row],[No. of Transaction]]/(capacityTbl[[#This Row],[Productivity Baseline (Transation/FTE/Day)]]*capacityTbl[[#This Row],[Weighted Working day]]),0)</f>
        <v>5.3639867180519802</v>
      </c>
      <c r="N244" s="33">
        <f>IFERROR(capacityTbl[[#This Row],[No. of Transaction]]/capacityTbl[[#This Row],[Production Days]],0)</f>
        <v>61.167883211678827</v>
      </c>
    </row>
    <row r="245" spans="1:14" x14ac:dyDescent="0.25">
      <c r="A245" s="49">
        <v>2025</v>
      </c>
      <c r="B245" s="25" t="s">
        <v>20</v>
      </c>
      <c r="C245" s="26" t="s">
        <v>34</v>
      </c>
      <c r="D245" s="87">
        <f>2796 + 2520</f>
        <v>5316</v>
      </c>
      <c r="E245" s="88">
        <v>78.5</v>
      </c>
      <c r="F245" s="29" cm="1">
        <f t="array" ref="F245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5" s="30" cm="1">
        <f t="array" ref="G24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5" s="30" cm="1">
        <f t="array" ref="H245">INDEX(stdWorkingDays[],MATCH(capacityTbl[[#This Row],[Year]]&amp;capacityTbl[[#This Row],[Month]],stdWorkingDays[Year]&amp;stdWorkingDays[Month],0),MATCH("China",stdWorkingDays[#Headers],0))</f>
        <v>19</v>
      </c>
      <c r="I245" s="30" cm="1">
        <f t="array" ref="I245">INDEX(stdWorkingDays[],MATCH(capacityTbl[[#This Row],[Year]]&amp;capacityTbl[[#This Row],[Month]],stdWorkingDays[Year]&amp;stdWorkingDays[Month],0),MATCH("Philippine",stdWorkingDays[#Headers],0))</f>
        <v>21</v>
      </c>
      <c r="J2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45" s="31">
        <f>IFERROR(capacityTbl[[#This Row],[Production Days]]/capacityTbl[[#This Row],[Weighted Working day]],0)</f>
        <v>3.9249999999999998</v>
      </c>
      <c r="L245" s="31" cm="1">
        <f t="array" ref="L245">INDEX(ProductivityBaseline[ProductivityBaseline],MATCH(capacityTbl[[#This Row],[Process]]&amp;capacityTbl[[#This Row],[Year]],ProductivityBaseline[Title]&amp;ProductivityBaseline[Year to use],0))</f>
        <v>45.725000000000001</v>
      </c>
      <c r="M245" s="32">
        <f>IFERROR(capacityTbl[[#This Row],[No. of Transaction]]/(capacityTbl[[#This Row],[Productivity Baseline (Transation/FTE/Day)]]*capacityTbl[[#This Row],[Weighted Working day]]),0)</f>
        <v>5.8130125751776927</v>
      </c>
      <c r="N245" s="33">
        <f>IFERROR(capacityTbl[[#This Row],[No. of Transaction]]/capacityTbl[[#This Row],[Production Days]],0)</f>
        <v>67.71974522292993</v>
      </c>
    </row>
    <row r="246" spans="1:14" x14ac:dyDescent="0.25">
      <c r="A246" s="49">
        <v>2025</v>
      </c>
      <c r="B246" s="25" t="s">
        <v>21</v>
      </c>
      <c r="C246" s="26" t="s">
        <v>34</v>
      </c>
      <c r="D246" s="87">
        <f>2806+2383</f>
        <v>5189</v>
      </c>
      <c r="E246" s="88">
        <v>77</v>
      </c>
      <c r="F246" s="29" cm="1">
        <f t="array" ref="F246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6" s="30" cm="1">
        <f t="array" ref="G24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6" s="30" cm="1">
        <f t="array" ref="H246">INDEX(stdWorkingDays[],MATCH(capacityTbl[[#This Row],[Year]]&amp;capacityTbl[[#This Row],[Month]],stdWorkingDays[Year]&amp;stdWorkingDays[Month],0),MATCH("China",stdWorkingDays[#Headers],0))</f>
        <v>20</v>
      </c>
      <c r="I246" s="30" cm="1">
        <f t="array" ref="I246">INDEX(stdWorkingDays[],MATCH(capacityTbl[[#This Row],[Year]]&amp;capacityTbl[[#This Row],[Month]],stdWorkingDays[Year]&amp;stdWorkingDays[Month],0),MATCH("Philippine",stdWorkingDays[#Headers],0))</f>
        <v>19</v>
      </c>
      <c r="J246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19.5</v>
      </c>
      <c r="K246" s="31">
        <f>IFERROR(capacityTbl[[#This Row],[Production Days]]/capacityTbl[[#This Row],[Weighted Working day]],0)</f>
        <v>3.9487179487179489</v>
      </c>
      <c r="L246" s="31" cm="1">
        <f t="array" ref="L246">INDEX(ProductivityBaseline[ProductivityBaseline],MATCH(capacityTbl[[#This Row],[Process]]&amp;capacityTbl[[#This Row],[Year]],ProductivityBaseline[Title]&amp;ProductivityBaseline[Year to use],0))</f>
        <v>45.725000000000001</v>
      </c>
      <c r="M246" s="32">
        <f>IFERROR(capacityTbl[[#This Row],[No. of Transaction]]/(capacityTbl[[#This Row],[Productivity Baseline (Transation/FTE/Day)]]*capacityTbl[[#This Row],[Weighted Working day]]),0)</f>
        <v>5.8196296140527961</v>
      </c>
      <c r="N246" s="33">
        <f>IFERROR(capacityTbl[[#This Row],[No. of Transaction]]/capacityTbl[[#This Row],[Production Days]],0)</f>
        <v>67.389610389610397</v>
      </c>
    </row>
    <row r="247" spans="1:14" x14ac:dyDescent="0.25">
      <c r="A247" s="49">
        <v>2025</v>
      </c>
      <c r="B247" s="25" t="s">
        <v>22</v>
      </c>
      <c r="C247" s="26" t="s">
        <v>34</v>
      </c>
      <c r="D247" s="87">
        <f>3633+3197</f>
        <v>6830</v>
      </c>
      <c r="E247" s="88">
        <v>80.5</v>
      </c>
      <c r="F247" s="29" cm="1">
        <f t="array" ref="F247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7" s="30" cm="1">
        <f t="array" ref="G24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7" s="30" cm="1">
        <f t="array" ref="H247">INDEX(stdWorkingDays[],MATCH(capacityTbl[[#This Row],[Year]]&amp;capacityTbl[[#This Row],[Month]],stdWorkingDays[Year]&amp;stdWorkingDays[Month],0),MATCH("China",stdWorkingDays[#Headers],0))</f>
        <v>23</v>
      </c>
      <c r="I247" s="30" cm="1">
        <f t="array" ref="I247">INDEX(stdWorkingDays[],MATCH(capacityTbl[[#This Row],[Year]]&amp;capacityTbl[[#This Row],[Month]],stdWorkingDays[Year]&amp;stdWorkingDays[Month],0),MATCH("Philippine",stdWorkingDays[#Headers],0))</f>
        <v>23</v>
      </c>
      <c r="J2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47" s="31">
        <f>IFERROR(capacityTbl[[#This Row],[Production Days]]/capacityTbl[[#This Row],[Weighted Working day]],0)</f>
        <v>3.5</v>
      </c>
      <c r="L247" s="31" cm="1">
        <f t="array" ref="L247">INDEX(ProductivityBaseline[ProductivityBaseline],MATCH(capacityTbl[[#This Row],[Process]]&amp;capacityTbl[[#This Row],[Year]],ProductivityBaseline[Title]&amp;ProductivityBaseline[Year to use],0))</f>
        <v>45.725000000000001</v>
      </c>
      <c r="M247" s="32">
        <f>IFERROR(capacityTbl[[#This Row],[No. of Transaction]]/(capacityTbl[[#This Row],[Productivity Baseline (Transation/FTE/Day)]]*capacityTbl[[#This Row],[Weighted Working day]]),0)</f>
        <v>6.4944017876245042</v>
      </c>
      <c r="N247" s="33">
        <f>IFERROR(capacityTbl[[#This Row],[No. of Transaction]]/capacityTbl[[#This Row],[Production Days]],0)</f>
        <v>84.844720496894411</v>
      </c>
    </row>
    <row r="248" spans="1:14" x14ac:dyDescent="0.25">
      <c r="A248" s="49">
        <v>2025</v>
      </c>
      <c r="B248" s="25" t="s">
        <v>23</v>
      </c>
      <c r="C248" s="26" t="s">
        <v>34</v>
      </c>
      <c r="D248" s="87">
        <v>4804</v>
      </c>
      <c r="E248" s="88">
        <v>74</v>
      </c>
      <c r="F248" s="29" cm="1">
        <f t="array" ref="F248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8" s="30" cm="1">
        <f t="array" ref="G24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8" s="30" cm="1">
        <f t="array" ref="H248">INDEX(stdWorkingDays[],MATCH(capacityTbl[[#This Row],[Year]]&amp;capacityTbl[[#This Row],[Month]],stdWorkingDays[Year]&amp;stdWorkingDays[Month],0),MATCH("China",stdWorkingDays[#Headers],0))</f>
        <v>21</v>
      </c>
      <c r="I248" s="30" cm="1">
        <f t="array" ref="I248">INDEX(stdWorkingDays[],MATCH(capacityTbl[[#This Row],[Year]]&amp;capacityTbl[[#This Row],[Month]],stdWorkingDays[Year]&amp;stdWorkingDays[Month],0),MATCH("Philippine",stdWorkingDays[#Headers],0))</f>
        <v>19</v>
      </c>
      <c r="J248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48" s="31">
        <f>IFERROR(capacityTbl[[#This Row],[Production Days]]/capacityTbl[[#This Row],[Weighted Working day]],0)</f>
        <v>3.7</v>
      </c>
      <c r="L248" s="31" cm="1">
        <f t="array" ref="L248">INDEX(ProductivityBaseline[ProductivityBaseline],MATCH(capacityTbl[[#This Row],[Process]]&amp;capacityTbl[[#This Row],[Year]],ProductivityBaseline[Title]&amp;ProductivityBaseline[Year to use],0))</f>
        <v>45.725000000000001</v>
      </c>
      <c r="M248" s="32">
        <f>IFERROR(capacityTbl[[#This Row],[No. of Transaction]]/(capacityTbl[[#This Row],[Productivity Baseline (Transation/FTE/Day)]]*capacityTbl[[#This Row],[Weighted Working day]]),0)</f>
        <v>5.253143794423182</v>
      </c>
      <c r="N248" s="33">
        <f>IFERROR(capacityTbl[[#This Row],[No. of Transaction]]/capacityTbl[[#This Row],[Production Days]],0)</f>
        <v>64.918918918918919</v>
      </c>
    </row>
    <row r="249" spans="1:14" x14ac:dyDescent="0.25">
      <c r="A249" s="49">
        <v>2025</v>
      </c>
      <c r="B249" s="25" t="s">
        <v>33</v>
      </c>
      <c r="C249" s="26" t="s">
        <v>34</v>
      </c>
      <c r="D249" s="87"/>
      <c r="E249" s="88"/>
      <c r="F249" s="29" cm="1">
        <f t="array" ref="F249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49" s="30" cm="1">
        <f t="array" ref="G24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49" s="30" cm="1">
        <f t="array" ref="H249">INDEX(stdWorkingDays[],MATCH(capacityTbl[[#This Row],[Year]]&amp;capacityTbl[[#This Row],[Month]],stdWorkingDays[Year]&amp;stdWorkingDays[Month],0),MATCH("China",stdWorkingDays[#Headers],0))</f>
        <v>23</v>
      </c>
      <c r="I249" s="30" cm="1">
        <f t="array" ref="I249">INDEX(stdWorkingDays[],MATCH(capacityTbl[[#This Row],[Year]]&amp;capacityTbl[[#This Row],[Month]],stdWorkingDays[Year]&amp;stdWorkingDays[Month],0),MATCH("Philippine",stdWorkingDays[#Headers],0))</f>
        <v>22</v>
      </c>
      <c r="J249" s="31">
        <f>IFERROR((capacityTbl[[#This Row],[FTE-WUHAN]]*capacityTbl[[#This Row],[CH-Standard Working Days]]+capacityTbl[[#This Row],[FTE-MNL]]*capacityTbl[[#This Row],[PH-Standard Working Days]])/SUM(capacityTbl[[#This Row],[FTE-WUHAN]:[FTE-MNL]]),0)</f>
        <v>22.5</v>
      </c>
      <c r="K249" s="31">
        <f>IFERROR(capacityTbl[[#This Row],[Production Days]]/capacityTbl[[#This Row],[Weighted Working day]],0)</f>
        <v>0</v>
      </c>
      <c r="L249" s="31" cm="1">
        <f t="array" ref="L249">INDEX(ProductivityBaseline[ProductivityBaseline],MATCH(capacityTbl[[#This Row],[Process]]&amp;capacityTbl[[#This Row],[Year]],ProductivityBaseline[Title]&amp;ProductivityBaseline[Year to use],0))</f>
        <v>45.725000000000001</v>
      </c>
      <c r="M249" s="32">
        <f>IFERROR(capacityTbl[[#This Row],[No. of Transaction]]/(capacityTbl[[#This Row],[Productivity Baseline (Transation/FTE/Day)]]*capacityTbl[[#This Row],[Weighted Working day]]),0)</f>
        <v>0</v>
      </c>
      <c r="N249" s="33">
        <f>IFERROR(capacityTbl[[#This Row],[No. of Transaction]]/capacityTbl[[#This Row],[Production Days]],0)</f>
        <v>0</v>
      </c>
    </row>
    <row r="250" spans="1:14" x14ac:dyDescent="0.25">
      <c r="A250" s="49">
        <v>2025</v>
      </c>
      <c r="B250" s="25" t="s">
        <v>25</v>
      </c>
      <c r="C250" s="26" t="s">
        <v>34</v>
      </c>
      <c r="D250" s="87"/>
      <c r="E250" s="88"/>
      <c r="F250" s="29" cm="1">
        <f t="array" ref="F250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50" s="30" cm="1">
        <f t="array" ref="G25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50" s="30" cm="1">
        <f t="array" ref="H250">INDEX(stdWorkingDays[],MATCH(capacityTbl[[#This Row],[Year]]&amp;capacityTbl[[#This Row],[Month]],stdWorkingDays[Year]&amp;stdWorkingDays[Month],0),MATCH("China",stdWorkingDays[#Headers],0))</f>
        <v>18</v>
      </c>
      <c r="I250" s="30" cm="1">
        <f t="array" ref="I250">INDEX(stdWorkingDays[],MATCH(capacityTbl[[#This Row],[Year]]&amp;capacityTbl[[#This Row],[Month]],stdWorkingDays[Year]&amp;stdWorkingDays[Month],0),MATCH("Philippine",stdWorkingDays[#Headers],0))</f>
        <v>22</v>
      </c>
      <c r="J250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50" s="31">
        <f>IFERROR(capacityTbl[[#This Row],[Production Days]]/capacityTbl[[#This Row],[Weighted Working day]],0)</f>
        <v>0</v>
      </c>
      <c r="L250" s="31" cm="1">
        <f t="array" ref="L250">INDEX(ProductivityBaseline[ProductivityBaseline],MATCH(capacityTbl[[#This Row],[Process]]&amp;capacityTbl[[#This Row],[Year]],ProductivityBaseline[Title]&amp;ProductivityBaseline[Year to use],0))</f>
        <v>45.725000000000001</v>
      </c>
      <c r="M250" s="32">
        <f>IFERROR(capacityTbl[[#This Row],[No. of Transaction]]/(capacityTbl[[#This Row],[Productivity Baseline (Transation/FTE/Day)]]*capacityTbl[[#This Row],[Weighted Working day]]),0)</f>
        <v>0</v>
      </c>
      <c r="N250" s="33">
        <f>IFERROR(capacityTbl[[#This Row],[No. of Transaction]]/capacityTbl[[#This Row],[Production Days]],0)</f>
        <v>0</v>
      </c>
    </row>
    <row r="251" spans="1:14" x14ac:dyDescent="0.25">
      <c r="A251" s="49">
        <v>2025</v>
      </c>
      <c r="B251" s="25" t="s">
        <v>26</v>
      </c>
      <c r="C251" s="26" t="s">
        <v>34</v>
      </c>
      <c r="D251" s="87"/>
      <c r="E251" s="88"/>
      <c r="F251" s="29" cm="1">
        <f t="array" ref="F251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51" s="30" cm="1">
        <f t="array" ref="G25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51" s="30" cm="1">
        <f t="array" ref="H251">INDEX(stdWorkingDays[],MATCH(capacityTbl[[#This Row],[Year]]&amp;capacityTbl[[#This Row],[Month]],stdWorkingDays[Year]&amp;stdWorkingDays[Month],0),MATCH("China",stdWorkingDays[#Headers],0))</f>
        <v>20</v>
      </c>
      <c r="I251" s="30" cm="1">
        <f t="array" ref="I251">INDEX(stdWorkingDays[],MATCH(capacityTbl[[#This Row],[Year]]&amp;capacityTbl[[#This Row],[Month]],stdWorkingDays[Year]&amp;stdWorkingDays[Month],0),MATCH("Philippine",stdWorkingDays[#Headers],0))</f>
        <v>20</v>
      </c>
      <c r="J251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51" s="31">
        <f>IFERROR(capacityTbl[[#This Row],[Production Days]]/capacityTbl[[#This Row],[Weighted Working day]],0)</f>
        <v>0</v>
      </c>
      <c r="L251" s="31" cm="1">
        <f t="array" ref="L251">INDEX(ProductivityBaseline[ProductivityBaseline],MATCH(capacityTbl[[#This Row],[Process]]&amp;capacityTbl[[#This Row],[Year]],ProductivityBaseline[Title]&amp;ProductivityBaseline[Year to use],0))</f>
        <v>45.725000000000001</v>
      </c>
      <c r="M251" s="32">
        <f>IFERROR(capacityTbl[[#This Row],[No. of Transaction]]/(capacityTbl[[#This Row],[Productivity Baseline (Transation/FTE/Day)]]*capacityTbl[[#This Row],[Weighted Working day]]),0)</f>
        <v>0</v>
      </c>
      <c r="N251" s="33">
        <f>IFERROR(capacityTbl[[#This Row],[No. of Transaction]]/capacityTbl[[#This Row],[Production Days]],0)</f>
        <v>0</v>
      </c>
    </row>
    <row r="252" spans="1:14" x14ac:dyDescent="0.25">
      <c r="A252" s="50">
        <v>2025</v>
      </c>
      <c r="B252" s="38" t="s">
        <v>27</v>
      </c>
      <c r="C252" s="39" t="s">
        <v>34</v>
      </c>
      <c r="D252" s="89"/>
      <c r="E252" s="90"/>
      <c r="F252" s="42" cm="1">
        <f t="array" ref="F252">IFERROR(INDEX(FTE_stdWD[FTE],MATCH(capacityTbl[[#This Row],[Process]]&amp;capacityTbl[[#This Row],[Month]]&amp;capacityTbl[[#This Row],[Year]]&amp;"WUH",FTE_stdWD[Service Description]&amp;FTE_stdWD[Month]&amp;FTE_stdWD[Year]&amp;FTE_stdWD[Country],0)),0)</f>
        <v>2</v>
      </c>
      <c r="G252" s="43" cm="1">
        <f t="array" ref="G25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52" s="43" cm="1">
        <f t="array" ref="H252">INDEX(stdWorkingDays[],MATCH(capacityTbl[[#This Row],[Year]]&amp;capacityTbl[[#This Row],[Month]],stdWorkingDays[Year]&amp;stdWorkingDays[Month],0),MATCH("China",stdWorkingDays[#Headers],0))</f>
        <v>23</v>
      </c>
      <c r="I252" s="43" cm="1">
        <f t="array" ref="I252">INDEX(stdWorkingDays[],MATCH(capacityTbl[[#This Row],[Year]]&amp;capacityTbl[[#This Row],[Month]],stdWorkingDays[Year]&amp;stdWorkingDays[Month],0),MATCH("Philippine",stdWorkingDays[#Headers],0))</f>
        <v>18</v>
      </c>
      <c r="J252" s="44">
        <f>IFERROR((capacityTbl[[#This Row],[FTE-WUHAN]]*capacityTbl[[#This Row],[CH-Standard Working Days]]+capacityTbl[[#This Row],[FTE-MNL]]*capacityTbl[[#This Row],[PH-Standard Working Days]])/SUM(capacityTbl[[#This Row],[FTE-WUHAN]:[FTE-MNL]]),0)</f>
        <v>20.5</v>
      </c>
      <c r="K252" s="44">
        <f>IFERROR(capacityTbl[[#This Row],[Production Days]]/capacityTbl[[#This Row],[Weighted Working day]],0)</f>
        <v>0</v>
      </c>
      <c r="L252" s="44" cm="1">
        <f t="array" ref="L252">INDEX(ProductivityBaseline[ProductivityBaseline],MATCH(capacityTbl[[#This Row],[Process]]&amp;capacityTbl[[#This Row],[Year]],ProductivityBaseline[Title]&amp;ProductivityBaseline[Year to use],0))</f>
        <v>45.725000000000001</v>
      </c>
      <c r="M252" s="46">
        <f>IFERROR(capacityTbl[[#This Row],[No. of Transaction]]/(capacityTbl[[#This Row],[Productivity Baseline (Transation/FTE/Day)]]*capacityTbl[[#This Row],[Weighted Working day]]),0)</f>
        <v>0</v>
      </c>
      <c r="N252" s="47">
        <f>IFERROR(capacityTbl[[#This Row],[No. of Transaction]]/capacityTbl[[#This Row],[Production Days]],0)</f>
        <v>0</v>
      </c>
    </row>
    <row r="253" spans="1:14" x14ac:dyDescent="0.25">
      <c r="A253" s="49">
        <v>2025</v>
      </c>
      <c r="B253" s="25" t="s">
        <v>14</v>
      </c>
      <c r="C253" s="34" t="s">
        <v>28</v>
      </c>
      <c r="D253" s="87">
        <v>2138</v>
      </c>
      <c r="E253" s="88">
        <v>305</v>
      </c>
      <c r="F253" s="29" cm="1">
        <f t="array" ref="F253">IFERROR(INDEX(FTE_stdWD[FTE],MATCH(capacityTbl[[#This Row],[Process]]&amp;capacityTbl[[#This Row],[Month]]&amp;capacityTbl[[#This Row],[Year]]&amp;"WUH",FTE_stdWD[Service Description]&amp;FTE_stdWD[Month]&amp;FTE_stdWD[Year]&amp;FTE_stdWD[Country],0)),0)</f>
        <v>8</v>
      </c>
      <c r="G253" s="30" cm="1">
        <f t="array" ref="G253">IFERROR(INDEX(FTE_stdWD[FTE],MATCH(capacityTbl[[#This Row],[Process]]&amp;capacityTbl[[#This Row],[Month]]&amp;capacityTbl[[#This Row],[Year]]&amp;"MNL",FTE_stdWD[Service Description]&amp;FTE_stdWD[Month]&amp;FTE_stdWD[Year]&amp;FTE_stdWD[Country],0)),0)</f>
        <v>8</v>
      </c>
      <c r="H253" s="30" cm="1">
        <f t="array" ref="H253">INDEX(stdWorkingDays[],MATCH(capacityTbl[[#This Row],[Year]]&amp;capacityTbl[[#This Row],[Month]],stdWorkingDays[Year]&amp;stdWorkingDays[Month],0),MATCH("China",stdWorkingDays[#Headers],0))</f>
        <v>19</v>
      </c>
      <c r="I253" s="30" cm="1">
        <f t="array" ref="I253">INDEX(stdWorkingDays[],MATCH(capacityTbl[[#This Row],[Year]]&amp;capacityTbl[[#This Row],[Month]],stdWorkingDays[Year]&amp;stdWorkingDays[Month],0),MATCH("Philippine",stdWorkingDays[#Headers],0))</f>
        <v>21</v>
      </c>
      <c r="J253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53" s="31">
        <f>IFERROR(capacityTbl[[#This Row],[Production Days]]/capacityTbl[[#This Row],[Weighted Working day]],0)</f>
        <v>15.25</v>
      </c>
      <c r="L253" s="31" cm="1">
        <f t="array" ref="L253">INDEX(ProductivityBaseline[ProductivityBaseline],MATCH(capacityTbl[[#This Row],[Process]]&amp;capacityTbl[[#This Row],[Year]],ProductivityBaseline[Title]&amp;ProductivityBaseline[Year to use],0))</f>
        <v>7.8085451595457007</v>
      </c>
      <c r="M253" s="32">
        <f>IFERROR(capacityTbl[[#This Row],[No. of Transaction]]/(capacityTbl[[#This Row],[Productivity Baseline (Transation/FTE/Day)]]*capacityTbl[[#This Row],[Weighted Working day]]),0)</f>
        <v>13.690130211940712</v>
      </c>
      <c r="N253" s="33">
        <f>IFERROR(capacityTbl[[#This Row],[No. of Transaction]]/capacityTbl[[#This Row],[Production Days]],0)</f>
        <v>7.0098360655737704</v>
      </c>
    </row>
    <row r="254" spans="1:14" x14ac:dyDescent="0.25">
      <c r="A254" s="49">
        <v>2025</v>
      </c>
      <c r="B254" s="25" t="s">
        <v>17</v>
      </c>
      <c r="C254" s="26" t="s">
        <v>28</v>
      </c>
      <c r="D254" s="87">
        <v>2218</v>
      </c>
      <c r="E254" s="88">
        <v>272.5</v>
      </c>
      <c r="F254" s="29" cm="1">
        <f t="array" ref="F254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4" s="30" cm="1">
        <f t="array" ref="G254">IFERROR(INDEX(FTE_stdWD[FTE],MATCH(capacityTbl[[#This Row],[Process]]&amp;capacityTbl[[#This Row],[Month]]&amp;capacityTbl[[#This Row],[Year]]&amp;"MNL",FTE_stdWD[Service Description]&amp;FTE_stdWD[Month]&amp;FTE_stdWD[Year]&amp;FTE_stdWD[Country],0)),0)</f>
        <v>8</v>
      </c>
      <c r="H254" s="30" cm="1">
        <f t="array" ref="H254">INDEX(stdWorkingDays[],MATCH(capacityTbl[[#This Row],[Year]]&amp;capacityTbl[[#This Row],[Month]],stdWorkingDays[Year]&amp;stdWorkingDays[Month],0),MATCH("China",stdWorkingDays[#Headers],0))</f>
        <v>19</v>
      </c>
      <c r="I254" s="30" cm="1">
        <f t="array" ref="I254">INDEX(stdWorkingDays[],MATCH(capacityTbl[[#This Row],[Year]]&amp;capacityTbl[[#This Row],[Month]],stdWorkingDays[Year]&amp;stdWorkingDays[Month],0),MATCH("Philippine",stdWorkingDays[#Headers],0))</f>
        <v>20</v>
      </c>
      <c r="J254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19.533333333333335</v>
      </c>
      <c r="K254" s="31">
        <f>IFERROR(capacityTbl[[#This Row],[Production Days]]/capacityTbl[[#This Row],[Weighted Working day]],0)</f>
        <v>13.95051194539249</v>
      </c>
      <c r="L254" s="31" cm="1">
        <f t="array" ref="L254">INDEX(ProductivityBaseline[ProductivityBaseline],MATCH(capacityTbl[[#This Row],[Process]]&amp;capacityTbl[[#This Row],[Year]],ProductivityBaseline[Title]&amp;ProductivityBaseline[Year to use],0))</f>
        <v>7.8085451595457007</v>
      </c>
      <c r="M254" s="32">
        <f>IFERROR(capacityTbl[[#This Row],[No. of Transaction]]/(capacityTbl[[#This Row],[Productivity Baseline (Transation/FTE/Day)]]*capacityTbl[[#This Row],[Weighted Working day]]),0)</f>
        <v>14.54169576208403</v>
      </c>
      <c r="N254" s="33">
        <f>IFERROR(capacityTbl[[#This Row],[No. of Transaction]]/capacityTbl[[#This Row],[Production Days]],0)</f>
        <v>8.139449541284403</v>
      </c>
    </row>
    <row r="255" spans="1:14" x14ac:dyDescent="0.25">
      <c r="A255" s="49">
        <v>2025</v>
      </c>
      <c r="B255" s="25" t="s">
        <v>18</v>
      </c>
      <c r="C255" s="26" t="s">
        <v>28</v>
      </c>
      <c r="D255" s="87">
        <v>2297</v>
      </c>
      <c r="E255" s="88">
        <v>293</v>
      </c>
      <c r="F255" s="29" cm="1">
        <f t="array" ref="F255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5" s="30" cm="1">
        <f t="array" ref="G255">IFERROR(INDEX(FTE_stdWD[FTE],MATCH(capacityTbl[[#This Row],[Process]]&amp;capacityTbl[[#This Row],[Month]]&amp;capacityTbl[[#This Row],[Year]]&amp;"MNL",FTE_stdWD[Service Description]&amp;FTE_stdWD[Month]&amp;FTE_stdWD[Year]&amp;FTE_stdWD[Country],0)),0)</f>
        <v>8</v>
      </c>
      <c r="H255" s="30" cm="1">
        <f t="array" ref="H255">INDEX(stdWorkingDays[],MATCH(capacityTbl[[#This Row],[Year]]&amp;capacityTbl[[#This Row],[Month]],stdWorkingDays[Year]&amp;stdWorkingDays[Month],0),MATCH("China",stdWorkingDays[#Headers],0))</f>
        <v>21</v>
      </c>
      <c r="I255" s="30" cm="1">
        <f t="array" ref="I255">INDEX(stdWorkingDays[],MATCH(capacityTbl[[#This Row],[Year]]&amp;capacityTbl[[#This Row],[Month]],stdWorkingDays[Year]&amp;stdWorkingDays[Month],0),MATCH("Philippine",stdWorkingDays[#Headers],0))</f>
        <v>21</v>
      </c>
      <c r="J255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55" s="31">
        <f>IFERROR(capacityTbl[[#This Row],[Production Days]]/capacityTbl[[#This Row],[Weighted Working day]],0)</f>
        <v>13.952380952380953</v>
      </c>
      <c r="L255" s="31" cm="1">
        <f t="array" ref="L255">INDEX(ProductivityBaseline[ProductivityBaseline],MATCH(capacityTbl[[#This Row],[Process]]&amp;capacityTbl[[#This Row],[Year]],ProductivityBaseline[Title]&amp;ProductivityBaseline[Year to use],0))</f>
        <v>7.8085451595457007</v>
      </c>
      <c r="M255" s="32">
        <f>IFERROR(capacityTbl[[#This Row],[No. of Transaction]]/(capacityTbl[[#This Row],[Productivity Baseline (Transation/FTE/Day)]]*capacityTbl[[#This Row],[Weighted Working day]]),0)</f>
        <v>14.00785295417516</v>
      </c>
      <c r="N255" s="33">
        <f>IFERROR(capacityTbl[[#This Row],[No. of Transaction]]/capacityTbl[[#This Row],[Production Days]],0)</f>
        <v>7.8395904436860064</v>
      </c>
    </row>
    <row r="256" spans="1:14" x14ac:dyDescent="0.25">
      <c r="A256" s="49">
        <v>2025</v>
      </c>
      <c r="B256" s="25" t="s">
        <v>19</v>
      </c>
      <c r="C256" s="26" t="s">
        <v>28</v>
      </c>
      <c r="D256" s="87">
        <v>2155</v>
      </c>
      <c r="E256" s="88">
        <v>290.5</v>
      </c>
      <c r="F256" s="29" cm="1">
        <f t="array" ref="F256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6" s="30" cm="1">
        <f t="array" ref="G256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256" s="30" cm="1">
        <f t="array" ref="H256">INDEX(stdWorkingDays[],MATCH(capacityTbl[[#This Row],[Year]]&amp;capacityTbl[[#This Row],[Month]],stdWorkingDays[Year]&amp;stdWorkingDays[Month],0),MATCH("China",stdWorkingDays[#Headers],0))</f>
        <v>22</v>
      </c>
      <c r="I256" s="30" cm="1">
        <f t="array" ref="I256">INDEX(stdWorkingDays[],MATCH(capacityTbl[[#This Row],[Year]]&amp;capacityTbl[[#This Row],[Month]],stdWorkingDays[Year]&amp;stdWorkingDays[Month],0),MATCH("Philippine",stdWorkingDays[#Headers],0))</f>
        <v>19</v>
      </c>
      <c r="J256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20.3125</v>
      </c>
      <c r="K256" s="31">
        <f>IFERROR(capacityTbl[[#This Row],[Production Days]]/capacityTbl[[#This Row],[Weighted Working day]],0)</f>
        <v>14.301538461538462</v>
      </c>
      <c r="L256" s="31" cm="1">
        <f t="array" ref="L256">INDEX(ProductivityBaseline[ProductivityBaseline],MATCH(capacityTbl[[#This Row],[Process]]&amp;capacityTbl[[#This Row],[Year]],ProductivityBaseline[Title]&amp;ProductivityBaseline[Year to use],0))</f>
        <v>7.8085451595457007</v>
      </c>
      <c r="M256" s="32">
        <f>IFERROR(capacityTbl[[#This Row],[No. of Transaction]]/(capacityTbl[[#This Row],[Productivity Baseline (Transation/FTE/Day)]]*capacityTbl[[#This Row],[Weighted Working day]]),0)</f>
        <v>13.586693234733129</v>
      </c>
      <c r="N256" s="33">
        <f>IFERROR(capacityTbl[[#This Row],[No. of Transaction]]/capacityTbl[[#This Row],[Production Days]],0)</f>
        <v>7.4182444061962132</v>
      </c>
    </row>
    <row r="257" spans="1:14" x14ac:dyDescent="0.25">
      <c r="A257" s="49">
        <v>2025</v>
      </c>
      <c r="B257" s="25" t="s">
        <v>20</v>
      </c>
      <c r="C257" s="26" t="s">
        <v>28</v>
      </c>
      <c r="D257" s="87">
        <v>2046</v>
      </c>
      <c r="E257" s="88">
        <v>275.5</v>
      </c>
      <c r="F257" s="29" cm="1">
        <f t="array" ref="F257">IFERROR(INDEX(FTE_stdWD[FTE],MATCH(capacityTbl[[#This Row],[Process]]&amp;capacityTbl[[#This Row],[Month]]&amp;capacityTbl[[#This Row],[Year]]&amp;"WUH",FTE_stdWD[Service Description]&amp;FTE_stdWD[Month]&amp;FTE_stdWD[Year]&amp;FTE_stdWD[Country],0)),0)</f>
        <v>7</v>
      </c>
      <c r="G257" s="30" cm="1">
        <f t="array" ref="G257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257" s="30" cm="1">
        <f t="array" ref="H257">INDEX(stdWorkingDays[],MATCH(capacityTbl[[#This Row],[Year]]&amp;capacityTbl[[#This Row],[Month]],stdWorkingDays[Year]&amp;stdWorkingDays[Month],0),MATCH("China",stdWorkingDays[#Headers],0))</f>
        <v>19</v>
      </c>
      <c r="I257" s="30" cm="1">
        <f t="array" ref="I257">INDEX(stdWorkingDays[],MATCH(capacityTbl[[#This Row],[Year]]&amp;capacityTbl[[#This Row],[Month]],stdWorkingDays[Year]&amp;stdWorkingDays[Month],0),MATCH("Philippine",stdWorkingDays[#Headers],0))</f>
        <v>21</v>
      </c>
      <c r="J25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20.125</v>
      </c>
      <c r="K257" s="31">
        <f>IFERROR(capacityTbl[[#This Row],[Production Days]]/capacityTbl[[#This Row],[Weighted Working day]],0)</f>
        <v>13.68944099378882</v>
      </c>
      <c r="L257" s="31" cm="1">
        <f t="array" ref="L257">INDEX(ProductivityBaseline[ProductivityBaseline],MATCH(capacityTbl[[#This Row],[Process]]&amp;capacityTbl[[#This Row],[Year]],ProductivityBaseline[Title]&amp;ProductivityBaseline[Year to use],0))</f>
        <v>7.8085451595457007</v>
      </c>
      <c r="M257" s="32">
        <f>IFERROR(capacityTbl[[#This Row],[No. of Transaction]]/(capacityTbl[[#This Row],[Productivity Baseline (Transation/FTE/Day)]]*capacityTbl[[#This Row],[Weighted Working day]]),0)</f>
        <v>13.01965912933348</v>
      </c>
      <c r="N257" s="33">
        <f>IFERROR(capacityTbl[[#This Row],[No. of Transaction]]/capacityTbl[[#This Row],[Production Days]],0)</f>
        <v>7.4264972776769511</v>
      </c>
    </row>
    <row r="258" spans="1:14" x14ac:dyDescent="0.25">
      <c r="A258" s="49">
        <v>2025</v>
      </c>
      <c r="B258" s="25" t="s">
        <v>21</v>
      </c>
      <c r="C258" s="26" t="s">
        <v>28</v>
      </c>
      <c r="D258" s="87">
        <v>2087</v>
      </c>
      <c r="E258" s="88">
        <v>281</v>
      </c>
      <c r="F258" s="29" cm="1">
        <f t="array" ref="F258">IFERROR(INDEX(FTE_stdWD[FTE],MATCH(capacityTbl[[#This Row],[Process]]&amp;capacityTbl[[#This Row],[Month]]&amp;capacityTbl[[#This Row],[Year]]&amp;"WUH",FTE_stdWD[Service Description]&amp;FTE_stdWD[Month]&amp;FTE_stdWD[Year]&amp;FTE_stdWD[Country],0)),0)</f>
        <v>6</v>
      </c>
      <c r="G258" s="30" cm="1">
        <f t="array" ref="G258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258" s="30" cm="1">
        <f t="array" ref="H258">INDEX(stdWorkingDays[],MATCH(capacityTbl[[#This Row],[Year]]&amp;capacityTbl[[#This Row],[Month]],stdWorkingDays[Year]&amp;stdWorkingDays[Month],0),MATCH("China",stdWorkingDays[#Headers],0))</f>
        <v>20</v>
      </c>
      <c r="I258" s="30" cm="1">
        <f t="array" ref="I258">INDEX(stdWorkingDays[],MATCH(capacityTbl[[#This Row],[Year]]&amp;capacityTbl[[#This Row],[Month]],stdWorkingDays[Year]&amp;stdWorkingDays[Month],0),MATCH("Philippine",stdWorkingDays[#Headers],0))</f>
        <v>19</v>
      </c>
      <c r="J25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19.375</v>
      </c>
      <c r="K258" s="31">
        <f>IFERROR(capacityTbl[[#This Row],[Production Days]]/capacityTbl[[#This Row],[Weighted Working day]],0)</f>
        <v>14.503225806451614</v>
      </c>
      <c r="L258" s="31" cm="1">
        <f t="array" ref="L258">INDEX(ProductivityBaseline[ProductivityBaseline],MATCH(capacityTbl[[#This Row],[Process]]&amp;capacityTbl[[#This Row],[Year]],ProductivityBaseline[Title]&amp;ProductivityBaseline[Year to use],0))</f>
        <v>7.8085451595457007</v>
      </c>
      <c r="M258" s="32">
        <f>IFERROR(capacityTbl[[#This Row],[No. of Transaction]]/(capacityTbl[[#This Row],[Productivity Baseline (Transation/FTE/Day)]]*capacityTbl[[#This Row],[Weighted Working day]]),0)</f>
        <v>13.794647636836485</v>
      </c>
      <c r="N258" s="33">
        <f>IFERROR(capacityTbl[[#This Row],[No. of Transaction]]/capacityTbl[[#This Row],[Production Days]],0)</f>
        <v>7.4270462633451961</v>
      </c>
    </row>
    <row r="259" spans="1:14" x14ac:dyDescent="0.25">
      <c r="A259" s="49">
        <v>2025</v>
      </c>
      <c r="B259" s="25" t="s">
        <v>22</v>
      </c>
      <c r="C259" s="26" t="s">
        <v>28</v>
      </c>
      <c r="D259" s="87">
        <v>2547</v>
      </c>
      <c r="E259" s="88">
        <v>335.5</v>
      </c>
      <c r="F259" s="29" cm="1">
        <f t="array" ref="F259">IFERROR(INDEX(FTE_stdWD[FTE],MATCH(capacityTbl[[#This Row],[Process]]&amp;capacityTbl[[#This Row],[Month]]&amp;capacityTbl[[#This Row],[Year]]&amp;"WUH",FTE_stdWD[Service Description]&amp;FTE_stdWD[Month]&amp;FTE_stdWD[Year]&amp;FTE_stdWD[Country],0)),0)</f>
        <v>6</v>
      </c>
      <c r="G259" s="30" cm="1">
        <f t="array" ref="G259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259" s="30" cm="1">
        <f t="array" ref="H259">INDEX(stdWorkingDays[],MATCH(capacityTbl[[#This Row],[Year]]&amp;capacityTbl[[#This Row],[Month]],stdWorkingDays[Year]&amp;stdWorkingDays[Month],0),MATCH("China",stdWorkingDays[#Headers],0))</f>
        <v>23</v>
      </c>
      <c r="I259" s="30" cm="1">
        <f t="array" ref="I259">INDEX(stdWorkingDays[],MATCH(capacityTbl[[#This Row],[Year]]&amp;capacityTbl[[#This Row],[Month]],stdWorkingDays[Year]&amp;stdWorkingDays[Month],0),MATCH("Philippine",stdWorkingDays[#Headers],0))</f>
        <v>23</v>
      </c>
      <c r="J259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59" s="31">
        <f>IFERROR(capacityTbl[[#This Row],[Production Days]]/capacityTbl[[#This Row],[Weighted Working day]],0)</f>
        <v>14.586956521739131</v>
      </c>
      <c r="L259" s="31" cm="1">
        <f t="array" ref="L259">INDEX(ProductivityBaseline[ProductivityBaseline],MATCH(capacityTbl[[#This Row],[Process]]&amp;capacityTbl[[#This Row],[Year]],ProductivityBaseline[Title]&amp;ProductivityBaseline[Year to use],0))</f>
        <v>7.8085451595457007</v>
      </c>
      <c r="M259" s="32">
        <f>IFERROR(capacityTbl[[#This Row],[No. of Transaction]]/(capacityTbl[[#This Row],[Productivity Baseline (Transation/FTE/Day)]]*capacityTbl[[#This Row],[Weighted Working day]]),0)</f>
        <v>14.181787794286816</v>
      </c>
      <c r="N259" s="33">
        <f>IFERROR(capacityTbl[[#This Row],[No. of Transaction]]/capacityTbl[[#This Row],[Production Days]],0)</f>
        <v>7.5916542473919524</v>
      </c>
    </row>
    <row r="260" spans="1:14" x14ac:dyDescent="0.25">
      <c r="A260" s="49">
        <v>2025</v>
      </c>
      <c r="B260" s="25" t="s">
        <v>23</v>
      </c>
      <c r="C260" s="26" t="s">
        <v>28</v>
      </c>
      <c r="D260" s="87">
        <v>2224</v>
      </c>
      <c r="E260" s="88">
        <v>296</v>
      </c>
      <c r="F260" s="29" cm="1">
        <f t="array" ref="F260">IFERROR(INDEX(FTE_stdWD[FTE],MATCH(capacityTbl[[#This Row],[Process]]&amp;capacityTbl[[#This Row],[Month]]&amp;capacityTbl[[#This Row],[Year]]&amp;"WUH",FTE_stdWD[Service Description]&amp;FTE_stdWD[Month]&amp;FTE_stdWD[Year]&amp;FTE_stdWD[Country],0)),0)</f>
        <v>6</v>
      </c>
      <c r="G260" s="30" cm="1">
        <f t="array" ref="G260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260" s="30" cm="1">
        <f t="array" ref="H260">INDEX(stdWorkingDays[],MATCH(capacityTbl[[#This Row],[Year]]&amp;capacityTbl[[#This Row],[Month]],stdWorkingDays[Year]&amp;stdWorkingDays[Month],0),MATCH("China",stdWorkingDays[#Headers],0))</f>
        <v>21</v>
      </c>
      <c r="I260" s="30" cm="1">
        <f t="array" ref="I260">INDEX(stdWorkingDays[],MATCH(capacityTbl[[#This Row],[Year]]&amp;capacityTbl[[#This Row],[Month]],stdWorkingDays[Year]&amp;stdWorkingDays[Month],0),MATCH("Philippine",stdWorkingDays[#Headers],0))</f>
        <v>19</v>
      </c>
      <c r="J26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19.75</v>
      </c>
      <c r="K260" s="31">
        <f>IFERROR(capacityTbl[[#This Row],[Production Days]]/capacityTbl[[#This Row],[Weighted Working day]],0)</f>
        <v>14.987341772151899</v>
      </c>
      <c r="L260" s="31" cm="1">
        <f t="array" ref="L260">INDEX(ProductivityBaseline[ProductivityBaseline],MATCH(capacityTbl[[#This Row],[Process]]&amp;capacityTbl[[#This Row],[Year]],ProductivityBaseline[Title]&amp;ProductivityBaseline[Year to use],0))</f>
        <v>7.8085451595457007</v>
      </c>
      <c r="M260" s="32">
        <f>IFERROR(capacityTbl[[#This Row],[No. of Transaction]]/(capacityTbl[[#This Row],[Productivity Baseline (Transation/FTE/Day)]]*capacityTbl[[#This Row],[Weighted Working day]]),0)</f>
        <v>14.421072381075959</v>
      </c>
      <c r="N260" s="33">
        <f>IFERROR(capacityTbl[[#This Row],[No. of Transaction]]/capacityTbl[[#This Row],[Production Days]],0)</f>
        <v>7.5135135135135132</v>
      </c>
    </row>
    <row r="261" spans="1:14" x14ac:dyDescent="0.25">
      <c r="A261" s="49">
        <v>2025</v>
      </c>
      <c r="B261" s="25" t="s">
        <v>24</v>
      </c>
      <c r="C261" s="26" t="s">
        <v>28</v>
      </c>
      <c r="D261" s="87"/>
      <c r="E261" s="88"/>
      <c r="F261" s="29" cm="1">
        <f t="array" ref="F2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1" s="30" cm="1">
        <f t="array" ref="G2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1" s="30" cm="1">
        <f t="array" ref="H261">INDEX(stdWorkingDays[],MATCH(capacityTbl[[#This Row],[Year]]&amp;capacityTbl[[#This Row],[Month]],stdWorkingDays[Year]&amp;stdWorkingDays[Month],0),MATCH("China",stdWorkingDays[#Headers],0))</f>
        <v>23</v>
      </c>
      <c r="I261" s="30" cm="1">
        <f t="array" ref="I261">INDEX(stdWorkingDays[],MATCH(capacityTbl[[#This Row],[Year]]&amp;capacityTbl[[#This Row],[Month]],stdWorkingDays[Year]&amp;stdWorkingDays[Month],0),MATCH("Philippine",stdWorkingDays[#Headers],0))</f>
        <v>22</v>
      </c>
      <c r="J26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1" s="31">
        <f>IFERROR(capacityTbl[[#This Row],[Production Days]]/capacityTbl[[#This Row],[Weighted Working day]],0)</f>
        <v>0</v>
      </c>
      <c r="L261" s="31" cm="1">
        <f t="array" ref="L261">INDEX(ProductivityBaseline[ProductivityBaseline],MATCH(capacityTbl[[#This Row],[Process]]&amp;capacityTbl[[#This Row],[Year]],ProductivityBaseline[Title]&amp;ProductivityBaseline[Year to use],0))</f>
        <v>7.8085451595457007</v>
      </c>
      <c r="M261" s="32">
        <f>IFERROR(capacityTbl[[#This Row],[No. of Transaction]]/(capacityTbl[[#This Row],[Productivity Baseline (Transation/FTE/Day)]]*capacityTbl[[#This Row],[Weighted Working day]]),0)</f>
        <v>0</v>
      </c>
      <c r="N261" s="33">
        <f>IFERROR(capacityTbl[[#This Row],[No. of Transaction]]/capacityTbl[[#This Row],[Production Days]],0)</f>
        <v>0</v>
      </c>
    </row>
    <row r="262" spans="1:14" x14ac:dyDescent="0.25">
      <c r="A262" s="49">
        <v>2025</v>
      </c>
      <c r="B262" s="25" t="s">
        <v>25</v>
      </c>
      <c r="C262" s="26" t="s">
        <v>28</v>
      </c>
      <c r="D262" s="87"/>
      <c r="E262" s="88"/>
      <c r="F262" s="29" cm="1">
        <f t="array" ref="F2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2" s="30" cm="1">
        <f t="array" ref="G2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2" s="30" cm="1">
        <f t="array" ref="H262">INDEX(stdWorkingDays[],MATCH(capacityTbl[[#This Row],[Year]]&amp;capacityTbl[[#This Row],[Month]],stdWorkingDays[Year]&amp;stdWorkingDays[Month],0),MATCH("China",stdWorkingDays[#Headers],0))</f>
        <v>18</v>
      </c>
      <c r="I262" s="30" cm="1">
        <f t="array" ref="I262">INDEX(stdWorkingDays[],MATCH(capacityTbl[[#This Row],[Year]]&amp;capacityTbl[[#This Row],[Month]],stdWorkingDays[Year]&amp;stdWorkingDays[Month],0),MATCH("Philippine",stdWorkingDays[#Headers],0))</f>
        <v>22</v>
      </c>
      <c r="J26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2" s="31">
        <f>IFERROR(capacityTbl[[#This Row],[Production Days]]/capacityTbl[[#This Row],[Weighted Working day]],0)</f>
        <v>0</v>
      </c>
      <c r="L262" s="31" cm="1">
        <f t="array" ref="L262">INDEX(ProductivityBaseline[ProductivityBaseline],MATCH(capacityTbl[[#This Row],[Process]]&amp;capacityTbl[[#This Row],[Year]],ProductivityBaseline[Title]&amp;ProductivityBaseline[Year to use],0))</f>
        <v>7.8085451595457007</v>
      </c>
      <c r="M262" s="32">
        <f>IFERROR(capacityTbl[[#This Row],[No. of Transaction]]/(capacityTbl[[#This Row],[Productivity Baseline (Transation/FTE/Day)]]*capacityTbl[[#This Row],[Weighted Working day]]),0)</f>
        <v>0</v>
      </c>
      <c r="N262" s="33">
        <f>IFERROR(capacityTbl[[#This Row],[No. of Transaction]]/capacityTbl[[#This Row],[Production Days]],0)</f>
        <v>0</v>
      </c>
    </row>
    <row r="263" spans="1:14" x14ac:dyDescent="0.25">
      <c r="A263" s="49">
        <v>2025</v>
      </c>
      <c r="B263" s="25" t="s">
        <v>26</v>
      </c>
      <c r="C263" s="26" t="s">
        <v>28</v>
      </c>
      <c r="D263" s="87"/>
      <c r="E263" s="88"/>
      <c r="F263" s="29" cm="1">
        <f t="array" ref="F2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3" s="30" cm="1">
        <f t="array" ref="G2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3" s="30" cm="1">
        <f t="array" ref="H263">INDEX(stdWorkingDays[],MATCH(capacityTbl[[#This Row],[Year]]&amp;capacityTbl[[#This Row],[Month]],stdWorkingDays[Year]&amp;stdWorkingDays[Month],0),MATCH("China",stdWorkingDays[#Headers],0))</f>
        <v>20</v>
      </c>
      <c r="I263" s="30" cm="1">
        <f t="array" ref="I263">INDEX(stdWorkingDays[],MATCH(capacityTbl[[#This Row],[Year]]&amp;capacityTbl[[#This Row],[Month]],stdWorkingDays[Year]&amp;stdWorkingDays[Month],0),MATCH("Philippine",stdWorkingDays[#Headers],0))</f>
        <v>20</v>
      </c>
      <c r="J26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3" s="31">
        <f>IFERROR(capacityTbl[[#This Row],[Production Days]]/capacityTbl[[#This Row],[Weighted Working day]],0)</f>
        <v>0</v>
      </c>
      <c r="L263" s="31" cm="1">
        <f t="array" ref="L263">INDEX(ProductivityBaseline[ProductivityBaseline],MATCH(capacityTbl[[#This Row],[Process]]&amp;capacityTbl[[#This Row],[Year]],ProductivityBaseline[Title]&amp;ProductivityBaseline[Year to use],0))</f>
        <v>7.8085451595457007</v>
      </c>
      <c r="M263" s="32">
        <f>IFERROR(capacityTbl[[#This Row],[No. of Transaction]]/(capacityTbl[[#This Row],[Productivity Baseline (Transation/FTE/Day)]]*capacityTbl[[#This Row],[Weighted Working day]]),0)</f>
        <v>0</v>
      </c>
      <c r="N263" s="33">
        <f>IFERROR(capacityTbl[[#This Row],[No. of Transaction]]/capacityTbl[[#This Row],[Production Days]],0)</f>
        <v>0</v>
      </c>
    </row>
    <row r="264" spans="1:14" x14ac:dyDescent="0.25">
      <c r="A264" s="50">
        <v>2025</v>
      </c>
      <c r="B264" s="38" t="s">
        <v>27</v>
      </c>
      <c r="C264" s="39" t="s">
        <v>28</v>
      </c>
      <c r="D264" s="89"/>
      <c r="E264" s="90"/>
      <c r="F264" s="42" cm="1">
        <f t="array" ref="F2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4" s="43" cm="1">
        <f t="array" ref="G2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64" s="43" cm="1">
        <f t="array" ref="H264">INDEX(stdWorkingDays[],MATCH(capacityTbl[[#This Row],[Year]]&amp;capacityTbl[[#This Row],[Month]],stdWorkingDays[Year]&amp;stdWorkingDays[Month],0),MATCH("China",stdWorkingDays[#Headers],0))</f>
        <v>23</v>
      </c>
      <c r="I264" s="43" cm="1">
        <f t="array" ref="I264">INDEX(stdWorkingDays[],MATCH(capacityTbl[[#This Row],[Year]]&amp;capacityTbl[[#This Row],[Month]],stdWorkingDays[Year]&amp;stdWorkingDays[Month],0),MATCH("Philippine",stdWorkingDays[#Headers],0))</f>
        <v>18</v>
      </c>
      <c r="J264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64" s="44">
        <f>IFERROR(capacityTbl[[#This Row],[Production Days]]/capacityTbl[[#This Row],[Weighted Working day]],0)</f>
        <v>0</v>
      </c>
      <c r="L264" s="44" cm="1">
        <f t="array" ref="L264">INDEX(ProductivityBaseline[ProductivityBaseline],MATCH(capacityTbl[[#This Row],[Process]]&amp;capacityTbl[[#This Row],[Year]],ProductivityBaseline[Title]&amp;ProductivityBaseline[Year to use],0))</f>
        <v>7.8085451595457007</v>
      </c>
      <c r="M264" s="46">
        <f>IFERROR(capacityTbl[[#This Row],[No. of Transaction]]/(capacityTbl[[#This Row],[Productivity Baseline (Transation/FTE/Day)]]*capacityTbl[[#This Row],[Weighted Working day]]),0)</f>
        <v>0</v>
      </c>
      <c r="N264" s="47">
        <f>IFERROR(capacityTbl[[#This Row],[No. of Transaction]]/capacityTbl[[#This Row],[Production Days]],0)</f>
        <v>0</v>
      </c>
    </row>
    <row r="265" spans="1:14" x14ac:dyDescent="0.25">
      <c r="A265" s="37">
        <v>2025</v>
      </c>
      <c r="B265" s="112" t="s">
        <v>14</v>
      </c>
      <c r="C265" s="113" t="s">
        <v>183</v>
      </c>
      <c r="D265" s="89">
        <v>167</v>
      </c>
      <c r="E265" s="90">
        <f>15+16</f>
        <v>31</v>
      </c>
      <c r="F265" s="42" cm="1">
        <f t="array" ref="F2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5" s="43" cm="1">
        <f t="array" ref="G26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5" s="43" cm="1">
        <f t="array" ref="H265">INDEX(stdWorkingDays[],MATCH(capacityTbl[[#This Row],[Year]]&amp;capacityTbl[[#This Row],[Month]],stdWorkingDays[Year]&amp;stdWorkingDays[Month],0),MATCH("China",stdWorkingDays[#Headers],0))</f>
        <v>19</v>
      </c>
      <c r="I265" s="43" cm="1">
        <f t="array" ref="I265">INDEX(stdWorkingDays[],MATCH(capacityTbl[[#This Row],[Year]]&amp;capacityTbl[[#This Row],[Month]],stdWorkingDays[Year]&amp;stdWorkingDays[Month],0),MATCH("Philippine",stdWorkingDays[#Headers],0))</f>
        <v>21</v>
      </c>
      <c r="J265" s="44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65" s="45">
        <f>IFERROR(capacityTbl[[#This Row],[Production Days]]/capacityTbl[[#This Row],[Weighted Working day]],0)</f>
        <v>1.4761904761904763</v>
      </c>
      <c r="L265" s="44" cm="1">
        <f t="array" ref="L265">INDEX(ProductivityBaseline[ProductivityBaseline],MATCH(capacityTbl[[#This Row],[Process]]&amp;capacityTbl[[#This Row],[Year]],ProductivityBaseline[Title]&amp;ProductivityBaseline[Year to use],0))</f>
        <v>4.2</v>
      </c>
      <c r="M265" s="46">
        <f>IFERROR(capacityTbl[[#This Row],[No. of Transaction]]/(capacityTbl[[#This Row],[Productivity Baseline (Transation/FTE/Day)]]*capacityTbl[[#This Row],[Weighted Working day]]),0)</f>
        <v>1.8934240362811792</v>
      </c>
      <c r="N265" s="47">
        <f>IFERROR(capacityTbl[[#This Row],[No. of Transaction]]/capacityTbl[[#This Row],[Production Days]],0)</f>
        <v>5.387096774193548</v>
      </c>
    </row>
    <row r="266" spans="1:14" x14ac:dyDescent="0.25">
      <c r="A266" s="24">
        <v>2025</v>
      </c>
      <c r="B266" s="110" t="s">
        <v>17</v>
      </c>
      <c r="C266" s="113" t="s">
        <v>183</v>
      </c>
      <c r="D266" s="87">
        <v>167</v>
      </c>
      <c r="E266" s="88">
        <f>15+17</f>
        <v>32</v>
      </c>
      <c r="F266" s="29" cm="1">
        <f t="array" ref="F2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6" s="30" cm="1">
        <f t="array" ref="G26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6" s="30" cm="1">
        <f t="array" ref="H266">INDEX(stdWorkingDays[],MATCH(capacityTbl[[#This Row],[Year]]&amp;capacityTbl[[#This Row],[Month]],stdWorkingDays[Year]&amp;stdWorkingDays[Month],0),MATCH("China",stdWorkingDays[#Headers],0))</f>
        <v>19</v>
      </c>
      <c r="I266" s="30" cm="1">
        <f t="array" ref="I266">INDEX(stdWorkingDays[],MATCH(capacityTbl[[#This Row],[Year]]&amp;capacityTbl[[#This Row],[Month]],stdWorkingDays[Year]&amp;stdWorkingDays[Month],0),MATCH("Philippine",stdWorkingDays[#Headers],0))</f>
        <v>20</v>
      </c>
      <c r="J266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66" s="35">
        <f>IFERROR(capacityTbl[[#This Row],[Production Days]]/capacityTbl[[#This Row],[Weighted Working day]],0)</f>
        <v>1.6</v>
      </c>
      <c r="L266" s="31" cm="1">
        <f t="array" ref="L266">INDEX(ProductivityBaseline[ProductivityBaseline],MATCH(capacityTbl[[#This Row],[Process]]&amp;capacityTbl[[#This Row],[Year]],ProductivityBaseline[Title]&amp;ProductivityBaseline[Year to use],0))</f>
        <v>4.2</v>
      </c>
      <c r="M266" s="32">
        <f>IFERROR(capacityTbl[[#This Row],[No. of Transaction]]/(capacityTbl[[#This Row],[Productivity Baseline (Transation/FTE/Day)]]*capacityTbl[[#This Row],[Weighted Working day]]),0)</f>
        <v>1.9880952380952381</v>
      </c>
      <c r="N266" s="33">
        <f>IFERROR(capacityTbl[[#This Row],[No. of Transaction]]/capacityTbl[[#This Row],[Production Days]],0)</f>
        <v>5.21875</v>
      </c>
    </row>
    <row r="267" spans="1:14" x14ac:dyDescent="0.25">
      <c r="A267" s="24">
        <v>2025</v>
      </c>
      <c r="B267" s="110" t="s">
        <v>18</v>
      </c>
      <c r="C267" s="113" t="s">
        <v>183</v>
      </c>
      <c r="D267" s="87">
        <v>167</v>
      </c>
      <c r="E267" s="88">
        <f>21+21</f>
        <v>42</v>
      </c>
      <c r="F267" s="29" cm="1">
        <f t="array" ref="F2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7" s="30" cm="1">
        <f t="array" ref="G267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7" s="30" cm="1">
        <f t="array" ref="H267">INDEX(stdWorkingDays[],MATCH(capacityTbl[[#This Row],[Year]]&amp;capacityTbl[[#This Row],[Month]],stdWorkingDays[Year]&amp;stdWorkingDays[Month],0),MATCH("China",stdWorkingDays[#Headers],0))</f>
        <v>21</v>
      </c>
      <c r="I267" s="30" cm="1">
        <f t="array" ref="I267">INDEX(stdWorkingDays[],MATCH(capacityTbl[[#This Row],[Year]]&amp;capacityTbl[[#This Row],[Month]],stdWorkingDays[Year]&amp;stdWorkingDays[Month],0),MATCH("Philippine",stdWorkingDays[#Headers],0))</f>
        <v>21</v>
      </c>
      <c r="J267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67" s="35">
        <f>IFERROR(capacityTbl[[#This Row],[Production Days]]/capacityTbl[[#This Row],[Weighted Working day]],0)</f>
        <v>2</v>
      </c>
      <c r="L267" s="31" cm="1">
        <f t="array" ref="L267">INDEX(ProductivityBaseline[ProductivityBaseline],MATCH(capacityTbl[[#This Row],[Process]]&amp;capacityTbl[[#This Row],[Year]],ProductivityBaseline[Title]&amp;ProductivityBaseline[Year to use],0))</f>
        <v>4.2</v>
      </c>
      <c r="M267" s="32">
        <f>IFERROR(capacityTbl[[#This Row],[No. of Transaction]]/(capacityTbl[[#This Row],[Productivity Baseline (Transation/FTE/Day)]]*capacityTbl[[#This Row],[Weighted Working day]]),0)</f>
        <v>1.8934240362811792</v>
      </c>
      <c r="N267" s="33">
        <f>IFERROR(capacityTbl[[#This Row],[No. of Transaction]]/capacityTbl[[#This Row],[Production Days]],0)</f>
        <v>3.9761904761904763</v>
      </c>
    </row>
    <row r="268" spans="1:14" x14ac:dyDescent="0.25">
      <c r="A268" s="24">
        <v>2025</v>
      </c>
      <c r="B268" s="110" t="s">
        <v>19</v>
      </c>
      <c r="C268" s="113" t="s">
        <v>183</v>
      </c>
      <c r="D268" s="87">
        <v>167</v>
      </c>
      <c r="E268" s="88">
        <f>21+22</f>
        <v>43</v>
      </c>
      <c r="F268" s="29" cm="1">
        <f t="array" ref="F2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8" s="30" cm="1">
        <f t="array" ref="G268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8" s="30" cm="1">
        <f t="array" ref="H268">INDEX(stdWorkingDays[],MATCH(capacityTbl[[#This Row],[Year]]&amp;capacityTbl[[#This Row],[Month]],stdWorkingDays[Year]&amp;stdWorkingDays[Month],0),MATCH("China",stdWorkingDays[#Headers],0))</f>
        <v>22</v>
      </c>
      <c r="I268" s="30" cm="1">
        <f t="array" ref="I268">INDEX(stdWorkingDays[],MATCH(capacityTbl[[#This Row],[Year]]&amp;capacityTbl[[#This Row],[Month]],stdWorkingDays[Year]&amp;stdWorkingDays[Month],0),MATCH("Philippine",stdWorkingDays[#Headers],0))</f>
        <v>19</v>
      </c>
      <c r="J26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68" s="35">
        <f>IFERROR(capacityTbl[[#This Row],[Production Days]]/capacityTbl[[#This Row],[Weighted Working day]],0)</f>
        <v>2.263157894736842</v>
      </c>
      <c r="L268" s="31" cm="1">
        <f t="array" ref="L268">INDEX(ProductivityBaseline[ProductivityBaseline],MATCH(capacityTbl[[#This Row],[Process]]&amp;capacityTbl[[#This Row],[Year]],ProductivityBaseline[Title]&amp;ProductivityBaseline[Year to use],0))</f>
        <v>4.2</v>
      </c>
      <c r="M268" s="32">
        <f>IFERROR(capacityTbl[[#This Row],[No. of Transaction]]/(capacityTbl[[#This Row],[Productivity Baseline (Transation/FTE/Day)]]*capacityTbl[[#This Row],[Weighted Working day]]),0)</f>
        <v>2.092731829573935</v>
      </c>
      <c r="N268" s="33">
        <f>IFERROR(capacityTbl[[#This Row],[No. of Transaction]]/capacityTbl[[#This Row],[Production Days]],0)</f>
        <v>3.8837209302325579</v>
      </c>
    </row>
    <row r="269" spans="1:14" x14ac:dyDescent="0.25">
      <c r="A269" s="24">
        <v>2025</v>
      </c>
      <c r="B269" s="110" t="s">
        <v>20</v>
      </c>
      <c r="C269" s="113" t="s">
        <v>183</v>
      </c>
      <c r="D269" s="87">
        <v>167</v>
      </c>
      <c r="E269" s="88">
        <f>22+22</f>
        <v>44</v>
      </c>
      <c r="F269" s="29" cm="1">
        <f t="array" ref="F2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69" s="30" cm="1">
        <f t="array" ref="G269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69" s="30" cm="1">
        <f t="array" ref="H269">INDEX(stdWorkingDays[],MATCH(capacityTbl[[#This Row],[Year]]&amp;capacityTbl[[#This Row],[Month]],stdWorkingDays[Year]&amp;stdWorkingDays[Month],0),MATCH("China",stdWorkingDays[#Headers],0))</f>
        <v>19</v>
      </c>
      <c r="I269" s="30" cm="1">
        <f t="array" ref="I269">INDEX(stdWorkingDays[],MATCH(capacityTbl[[#This Row],[Year]]&amp;capacityTbl[[#This Row],[Month]],stdWorkingDays[Year]&amp;stdWorkingDays[Month],0),MATCH("Philippine",stdWorkingDays[#Headers],0))</f>
        <v>21</v>
      </c>
      <c r="J269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69" s="35">
        <f>IFERROR(capacityTbl[[#This Row],[Production Days]]/capacityTbl[[#This Row],[Weighted Working day]],0)</f>
        <v>2.0952380952380953</v>
      </c>
      <c r="L269" s="31" cm="1">
        <f t="array" ref="L269">INDEX(ProductivityBaseline[ProductivityBaseline],MATCH(capacityTbl[[#This Row],[Process]]&amp;capacityTbl[[#This Row],[Year]],ProductivityBaseline[Title]&amp;ProductivityBaseline[Year to use],0))</f>
        <v>4.2</v>
      </c>
      <c r="M269" s="32">
        <f>IFERROR(capacityTbl[[#This Row],[No. of Transaction]]/(capacityTbl[[#This Row],[Productivity Baseline (Transation/FTE/Day)]]*capacityTbl[[#This Row],[Weighted Working day]]),0)</f>
        <v>1.8934240362811792</v>
      </c>
      <c r="N269" s="33">
        <f>IFERROR(capacityTbl[[#This Row],[No. of Transaction]]/capacityTbl[[#This Row],[Production Days]],0)</f>
        <v>3.7954545454545454</v>
      </c>
    </row>
    <row r="270" spans="1:14" x14ac:dyDescent="0.25">
      <c r="A270" s="24">
        <v>2025</v>
      </c>
      <c r="B270" s="110" t="s">
        <v>21</v>
      </c>
      <c r="C270" s="113" t="s">
        <v>183</v>
      </c>
      <c r="D270" s="87">
        <v>167</v>
      </c>
      <c r="E270" s="88">
        <f>21+21</f>
        <v>42</v>
      </c>
      <c r="F270" s="29" cm="1">
        <f t="array" ref="F2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0" s="30" cm="1">
        <f t="array" ref="G270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0" s="30" cm="1">
        <f t="array" ref="H270">INDEX(stdWorkingDays[],MATCH(capacityTbl[[#This Row],[Year]]&amp;capacityTbl[[#This Row],[Month]],stdWorkingDays[Year]&amp;stdWorkingDays[Month],0),MATCH("China",stdWorkingDays[#Headers],0))</f>
        <v>20</v>
      </c>
      <c r="I270" s="30" cm="1">
        <f t="array" ref="I270">INDEX(stdWorkingDays[],MATCH(capacityTbl[[#This Row],[Year]]&amp;capacityTbl[[#This Row],[Month]],stdWorkingDays[Year]&amp;stdWorkingDays[Month],0),MATCH("Philippine",stdWorkingDays[#Headers],0))</f>
        <v>19</v>
      </c>
      <c r="J27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70" s="35">
        <f>IFERROR(capacityTbl[[#This Row],[Production Days]]/capacityTbl[[#This Row],[Weighted Working day]],0)</f>
        <v>2.2105263157894739</v>
      </c>
      <c r="L270" s="31" cm="1">
        <f t="array" ref="L270">INDEX(ProductivityBaseline[ProductivityBaseline],MATCH(capacityTbl[[#This Row],[Process]]&amp;capacityTbl[[#This Row],[Year]],ProductivityBaseline[Title]&amp;ProductivityBaseline[Year to use],0))</f>
        <v>4.2</v>
      </c>
      <c r="M270" s="32">
        <f>IFERROR(capacityTbl[[#This Row],[No. of Transaction]]/(capacityTbl[[#This Row],[Productivity Baseline (Transation/FTE/Day)]]*capacityTbl[[#This Row],[Weighted Working day]]),0)</f>
        <v>2.092731829573935</v>
      </c>
      <c r="N270" s="33">
        <f>IFERROR(capacityTbl[[#This Row],[No. of Transaction]]/capacityTbl[[#This Row],[Production Days]],0)</f>
        <v>3.9761904761904763</v>
      </c>
    </row>
    <row r="271" spans="1:14" x14ac:dyDescent="0.25">
      <c r="A271" s="24">
        <v>2025</v>
      </c>
      <c r="B271" s="110" t="s">
        <v>22</v>
      </c>
      <c r="C271" s="113" t="s">
        <v>183</v>
      </c>
      <c r="D271" s="87">
        <v>167</v>
      </c>
      <c r="E271" s="88">
        <f>22+23</f>
        <v>45</v>
      </c>
      <c r="F271" s="29" cm="1">
        <f t="array" ref="F2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1" s="30" cm="1">
        <f t="array" ref="G271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1" s="30" cm="1">
        <f t="array" ref="H271">INDEX(stdWorkingDays[],MATCH(capacityTbl[[#This Row],[Year]]&amp;capacityTbl[[#This Row],[Month]],stdWorkingDays[Year]&amp;stdWorkingDays[Month],0),MATCH("China",stdWorkingDays[#Headers],0))</f>
        <v>23</v>
      </c>
      <c r="I271" s="30" cm="1">
        <f t="array" ref="I271">INDEX(stdWorkingDays[],MATCH(capacityTbl[[#This Row],[Year]]&amp;capacityTbl[[#This Row],[Month]],stdWorkingDays[Year]&amp;stdWorkingDays[Month],0),MATCH("Philippine",stdWorkingDays[#Headers],0))</f>
        <v>23</v>
      </c>
      <c r="J271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71" s="35">
        <f>IFERROR(capacityTbl[[#This Row],[Production Days]]/capacityTbl[[#This Row],[Weighted Working day]],0)</f>
        <v>1.9565217391304348</v>
      </c>
      <c r="L271" s="31" cm="1">
        <f t="array" ref="L271">INDEX(ProductivityBaseline[ProductivityBaseline],MATCH(capacityTbl[[#This Row],[Process]]&amp;capacityTbl[[#This Row],[Year]],ProductivityBaseline[Title]&amp;ProductivityBaseline[Year to use],0))</f>
        <v>4.2</v>
      </c>
      <c r="M271" s="32">
        <f>IFERROR(capacityTbl[[#This Row],[No. of Transaction]]/(capacityTbl[[#This Row],[Productivity Baseline (Transation/FTE/Day)]]*capacityTbl[[#This Row],[Weighted Working day]]),0)</f>
        <v>1.7287784679089024</v>
      </c>
      <c r="N271" s="33">
        <f>IFERROR(capacityTbl[[#This Row],[No. of Transaction]]/capacityTbl[[#This Row],[Production Days]],0)</f>
        <v>3.7111111111111112</v>
      </c>
    </row>
    <row r="272" spans="1:14" x14ac:dyDescent="0.25">
      <c r="A272" s="24">
        <v>2025</v>
      </c>
      <c r="B272" s="110" t="s">
        <v>46</v>
      </c>
      <c r="C272" s="113" t="s">
        <v>183</v>
      </c>
      <c r="D272" s="87">
        <v>167</v>
      </c>
      <c r="E272" s="88">
        <f>21+21</f>
        <v>42</v>
      </c>
      <c r="F272" s="29" cm="1">
        <f t="array" ref="F2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2" s="30" cm="1">
        <f t="array" ref="G272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2" s="30" cm="1">
        <f t="array" ref="H272">INDEX(stdWorkingDays[],MATCH(capacityTbl[[#This Row],[Year]]&amp;capacityTbl[[#This Row],[Month]],stdWorkingDays[Year]&amp;stdWorkingDays[Month],0),MATCH("China",stdWorkingDays[#Headers],0))</f>
        <v>21</v>
      </c>
      <c r="I272" s="30" cm="1">
        <f t="array" ref="I272">INDEX(stdWorkingDays[],MATCH(capacityTbl[[#This Row],[Year]]&amp;capacityTbl[[#This Row],[Month]],stdWorkingDays[Year]&amp;stdWorkingDays[Month],0),MATCH("Philippine",stdWorkingDays[#Headers],0))</f>
        <v>19</v>
      </c>
      <c r="J272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72" s="35">
        <f>IFERROR(capacityTbl[[#This Row],[Production Days]]/capacityTbl[[#This Row],[Weighted Working day]],0)</f>
        <v>2.2105263157894739</v>
      </c>
      <c r="L272" s="31" cm="1">
        <f t="array" ref="L272">INDEX(ProductivityBaseline[ProductivityBaseline],MATCH(capacityTbl[[#This Row],[Process]]&amp;capacityTbl[[#This Row],[Year]],ProductivityBaseline[Title]&amp;ProductivityBaseline[Year to use],0))</f>
        <v>4.2</v>
      </c>
      <c r="M272" s="32">
        <f>IFERROR(capacityTbl[[#This Row],[No. of Transaction]]/(capacityTbl[[#This Row],[Productivity Baseline (Transation/FTE/Day)]]*capacityTbl[[#This Row],[Weighted Working day]]),0)</f>
        <v>2.092731829573935</v>
      </c>
      <c r="N272" s="33">
        <f>IFERROR(capacityTbl[[#This Row],[No. of Transaction]]/capacityTbl[[#This Row],[Production Days]],0)</f>
        <v>3.9761904761904763</v>
      </c>
    </row>
    <row r="273" spans="1:14" x14ac:dyDescent="0.25">
      <c r="A273" s="24">
        <v>2025</v>
      </c>
      <c r="B273" s="110" t="s">
        <v>33</v>
      </c>
      <c r="C273" s="113" t="s">
        <v>183</v>
      </c>
      <c r="D273" s="87"/>
      <c r="E273" s="88"/>
      <c r="F273" s="29" cm="1">
        <f t="array" ref="F27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3" s="30" cm="1">
        <f t="array" ref="G273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3" s="30" cm="1">
        <f t="array" ref="H273">INDEX(stdWorkingDays[],MATCH(capacityTbl[[#This Row],[Year]]&amp;capacityTbl[[#This Row],[Month]],stdWorkingDays[Year]&amp;stdWorkingDays[Month],0),MATCH("China",stdWorkingDays[#Headers],0))</f>
        <v>23</v>
      </c>
      <c r="I273" s="30" cm="1">
        <f t="array" ref="I273">INDEX(stdWorkingDays[],MATCH(capacityTbl[[#This Row],[Year]]&amp;capacityTbl[[#This Row],[Month]],stdWorkingDays[Year]&amp;stdWorkingDays[Month],0),MATCH("Philippine",stdWorkingDays[#Headers],0))</f>
        <v>22</v>
      </c>
      <c r="J273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73" s="35">
        <f>IFERROR(capacityTbl[[#This Row],[Production Days]]/capacityTbl[[#This Row],[Weighted Working day]],0)</f>
        <v>0</v>
      </c>
      <c r="L273" s="31" cm="1">
        <f t="array" ref="L273">INDEX(ProductivityBaseline[ProductivityBaseline],MATCH(capacityTbl[[#This Row],[Process]]&amp;capacityTbl[[#This Row],[Year]],ProductivityBaseline[Title]&amp;ProductivityBaseline[Year to use],0))</f>
        <v>4.2</v>
      </c>
      <c r="M273" s="32">
        <f>IFERROR(capacityTbl[[#This Row],[No. of Transaction]]/(capacityTbl[[#This Row],[Productivity Baseline (Transation/FTE/Day)]]*capacityTbl[[#This Row],[Weighted Working day]]),0)</f>
        <v>0</v>
      </c>
      <c r="N273" s="33">
        <f>IFERROR(capacityTbl[[#This Row],[No. of Transaction]]/capacityTbl[[#This Row],[Production Days]],0)</f>
        <v>0</v>
      </c>
    </row>
    <row r="274" spans="1:14" x14ac:dyDescent="0.25">
      <c r="A274" s="24">
        <v>2025</v>
      </c>
      <c r="B274" s="110" t="s">
        <v>25</v>
      </c>
      <c r="C274" s="113" t="s">
        <v>183</v>
      </c>
      <c r="D274" s="87"/>
      <c r="E274" s="88"/>
      <c r="F274" s="29" cm="1">
        <f t="array" ref="F27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4" s="30" cm="1">
        <f t="array" ref="G274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4" s="30" cm="1">
        <f t="array" ref="H274">INDEX(stdWorkingDays[],MATCH(capacityTbl[[#This Row],[Year]]&amp;capacityTbl[[#This Row],[Month]],stdWorkingDays[Year]&amp;stdWorkingDays[Month],0),MATCH("China",stdWorkingDays[#Headers],0))</f>
        <v>18</v>
      </c>
      <c r="I274" s="30" cm="1">
        <f t="array" ref="I274">INDEX(stdWorkingDays[],MATCH(capacityTbl[[#This Row],[Year]]&amp;capacityTbl[[#This Row],[Month]],stdWorkingDays[Year]&amp;stdWorkingDays[Month],0),MATCH("Philippine",stdWorkingDays[#Headers],0))</f>
        <v>22</v>
      </c>
      <c r="J274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74" s="35">
        <f>IFERROR(capacityTbl[[#This Row],[Production Days]]/capacityTbl[[#This Row],[Weighted Working day]],0)</f>
        <v>0</v>
      </c>
      <c r="L274" s="31" cm="1">
        <f t="array" ref="L274">INDEX(ProductivityBaseline[ProductivityBaseline],MATCH(capacityTbl[[#This Row],[Process]]&amp;capacityTbl[[#This Row],[Year]],ProductivityBaseline[Title]&amp;ProductivityBaseline[Year to use],0))</f>
        <v>4.2</v>
      </c>
      <c r="M274" s="32">
        <f>IFERROR(capacityTbl[[#This Row],[No. of Transaction]]/(capacityTbl[[#This Row],[Productivity Baseline (Transation/FTE/Day)]]*capacityTbl[[#This Row],[Weighted Working day]]),0)</f>
        <v>0</v>
      </c>
      <c r="N274" s="33">
        <f>IFERROR(capacityTbl[[#This Row],[No. of Transaction]]/capacityTbl[[#This Row],[Production Days]],0)</f>
        <v>0</v>
      </c>
    </row>
    <row r="275" spans="1:14" x14ac:dyDescent="0.25">
      <c r="A275" s="24">
        <v>2025</v>
      </c>
      <c r="B275" s="110" t="s">
        <v>26</v>
      </c>
      <c r="C275" s="113" t="s">
        <v>183</v>
      </c>
      <c r="D275" s="87"/>
      <c r="E275" s="88"/>
      <c r="F275" s="29" cm="1">
        <f t="array" ref="F27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5" s="30" cm="1">
        <f t="array" ref="G275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5" s="30" cm="1">
        <f t="array" ref="H275">INDEX(stdWorkingDays[],MATCH(capacityTbl[[#This Row],[Year]]&amp;capacityTbl[[#This Row],[Month]],stdWorkingDays[Year]&amp;stdWorkingDays[Month],0),MATCH("China",stdWorkingDays[#Headers],0))</f>
        <v>20</v>
      </c>
      <c r="I275" s="30" cm="1">
        <f t="array" ref="I275">INDEX(stdWorkingDays[],MATCH(capacityTbl[[#This Row],[Year]]&amp;capacityTbl[[#This Row],[Month]],stdWorkingDays[Year]&amp;stdWorkingDays[Month],0),MATCH("Philippine",stdWorkingDays[#Headers],0))</f>
        <v>20</v>
      </c>
      <c r="J275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75" s="35">
        <f>IFERROR(capacityTbl[[#This Row],[Production Days]]/capacityTbl[[#This Row],[Weighted Working day]],0)</f>
        <v>0</v>
      </c>
      <c r="L275" s="31" cm="1">
        <f t="array" ref="L275">INDEX(ProductivityBaseline[ProductivityBaseline],MATCH(capacityTbl[[#This Row],[Process]]&amp;capacityTbl[[#This Row],[Year]],ProductivityBaseline[Title]&amp;ProductivityBaseline[Year to use],0))</f>
        <v>4.2</v>
      </c>
      <c r="M275" s="32">
        <f>IFERROR(capacityTbl[[#This Row],[No. of Transaction]]/(capacityTbl[[#This Row],[Productivity Baseline (Transation/FTE/Day)]]*capacityTbl[[#This Row],[Weighted Working day]]),0)</f>
        <v>0</v>
      </c>
      <c r="N275" s="33">
        <f>IFERROR(capacityTbl[[#This Row],[No. of Transaction]]/capacityTbl[[#This Row],[Production Days]],0)</f>
        <v>0</v>
      </c>
    </row>
    <row r="276" spans="1:14" x14ac:dyDescent="0.25">
      <c r="A276" s="24">
        <v>2025</v>
      </c>
      <c r="B276" s="110" t="s">
        <v>27</v>
      </c>
      <c r="C276" s="113" t="s">
        <v>183</v>
      </c>
      <c r="D276" s="87"/>
      <c r="E276" s="88"/>
      <c r="F276" s="29" cm="1">
        <f t="array" ref="F27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6" s="30" cm="1">
        <f t="array" ref="G276">IFERROR(INDEX(FTE_stdWD[FTE],MATCH(capacityTbl[[#This Row],[Process]]&amp;capacityTbl[[#This Row],[Month]]&amp;capacityTbl[[#This Row],[Year]]&amp;"MNL",FTE_stdWD[Service Description]&amp;FTE_stdWD[Month]&amp;FTE_stdWD[Year]&amp;FTE_stdWD[Country],0)),0)</f>
        <v>2</v>
      </c>
      <c r="H276" s="30" cm="1">
        <f t="array" ref="H276">INDEX(stdWorkingDays[],MATCH(capacityTbl[[#This Row],[Year]]&amp;capacityTbl[[#This Row],[Month]],stdWorkingDays[Year]&amp;stdWorkingDays[Month],0),MATCH("China",stdWorkingDays[#Headers],0))</f>
        <v>23</v>
      </c>
      <c r="I276" s="30" cm="1">
        <f t="array" ref="I276">INDEX(stdWorkingDays[],MATCH(capacityTbl[[#This Row],[Year]]&amp;capacityTbl[[#This Row],[Month]],stdWorkingDays[Year]&amp;stdWorkingDays[Month],0),MATCH("Philippine",stdWorkingDays[#Headers],0))</f>
        <v>18</v>
      </c>
      <c r="J276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276" s="35">
        <f>IFERROR(capacityTbl[[#This Row],[Production Days]]/capacityTbl[[#This Row],[Weighted Working day]],0)</f>
        <v>0</v>
      </c>
      <c r="L276" s="31" cm="1">
        <f t="array" ref="L276">INDEX(ProductivityBaseline[ProductivityBaseline],MATCH(capacityTbl[[#This Row],[Process]]&amp;capacityTbl[[#This Row],[Year]],ProductivityBaseline[Title]&amp;ProductivityBaseline[Year to use],0))</f>
        <v>4.2</v>
      </c>
      <c r="M276" s="32">
        <f>IFERROR(capacityTbl[[#This Row],[No. of Transaction]]/(capacityTbl[[#This Row],[Productivity Baseline (Transation/FTE/Day)]]*capacityTbl[[#This Row],[Weighted Working day]]),0)</f>
        <v>0</v>
      </c>
      <c r="N276" s="33">
        <f>IFERROR(capacityTbl[[#This Row],[No. of Transaction]]/capacityTbl[[#This Row],[Production Days]],0)</f>
        <v>0</v>
      </c>
    </row>
    <row r="277" spans="1:14" x14ac:dyDescent="0.25">
      <c r="A277" s="24">
        <v>2025</v>
      </c>
      <c r="B277" s="110" t="s">
        <v>14</v>
      </c>
      <c r="C277" s="111" t="s">
        <v>292</v>
      </c>
      <c r="D277" s="87">
        <v>843</v>
      </c>
      <c r="E277" s="88">
        <v>31.5</v>
      </c>
      <c r="F277" s="29" cm="1">
        <f t="array" ref="F27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7" s="30" cm="1">
        <f t="array" ref="G27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7" s="30" cm="1">
        <f t="array" ref="H277">INDEX(stdWorkingDays[],MATCH(capacityTbl[[#This Row],[Year]]&amp;capacityTbl[[#This Row],[Month]],stdWorkingDays[Year]&amp;stdWorkingDays[Month],0),MATCH("China",stdWorkingDays[#Headers],0))</f>
        <v>19</v>
      </c>
      <c r="I277" s="30" cm="1">
        <f t="array" ref="I277">INDEX(stdWorkingDays[],MATCH(capacityTbl[[#This Row],[Year]]&amp;capacityTbl[[#This Row],[Month]],stdWorkingDays[Year]&amp;stdWorkingDays[Month],0),MATCH("Philippine",stdWorkingDays[#Headers],0))</f>
        <v>21</v>
      </c>
      <c r="J27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7" s="35">
        <f>IFERROR(capacityTbl[[#This Row],[Production Days]]/capacityTbl[[#This Row],[Weighted Working day]],0)</f>
        <v>0</v>
      </c>
      <c r="L277" s="31" cm="1">
        <f t="array" ref="L277">INDEX(ProductivityBaseline[ProductivityBaseline],MATCH(capacityTbl[[#This Row],[Process]]&amp;capacityTbl[[#This Row],[Year]],ProductivityBaseline[Title]&amp;ProductivityBaseline[Year to use],0))</f>
        <v>0</v>
      </c>
      <c r="M277" s="32">
        <f>IFERROR(capacityTbl[[#This Row],[No. of Transaction]]/(capacityTbl[[#This Row],[Productivity Baseline (Transation/FTE/Day)]]*capacityTbl[[#This Row],[Weighted Working day]]),0)</f>
        <v>0</v>
      </c>
      <c r="N277" s="33">
        <f>IFERROR(capacityTbl[[#This Row],[No. of Transaction]]/capacityTbl[[#This Row],[Production Days]],0)</f>
        <v>26.761904761904763</v>
      </c>
    </row>
    <row r="278" spans="1:14" x14ac:dyDescent="0.25">
      <c r="A278" s="24">
        <v>2025</v>
      </c>
      <c r="B278" s="110" t="s">
        <v>17</v>
      </c>
      <c r="C278" s="111" t="s">
        <v>292</v>
      </c>
      <c r="D278" s="87">
        <v>798</v>
      </c>
      <c r="E278" s="88">
        <v>32</v>
      </c>
      <c r="F278" s="29" cm="1">
        <f t="array" ref="F27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8" s="30" cm="1">
        <f t="array" ref="G2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8" s="30" cm="1">
        <f t="array" ref="H278">INDEX(stdWorkingDays[],MATCH(capacityTbl[[#This Row],[Year]]&amp;capacityTbl[[#This Row],[Month]],stdWorkingDays[Year]&amp;stdWorkingDays[Month],0),MATCH("China",stdWorkingDays[#Headers],0))</f>
        <v>19</v>
      </c>
      <c r="I278" s="30" cm="1">
        <f t="array" ref="I278">INDEX(stdWorkingDays[],MATCH(capacityTbl[[#This Row],[Year]]&amp;capacityTbl[[#This Row],[Month]],stdWorkingDays[Year]&amp;stdWorkingDays[Month],0),MATCH("Philippine",stdWorkingDays[#Headers],0))</f>
        <v>20</v>
      </c>
      <c r="J27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8" s="35">
        <f>IFERROR(capacityTbl[[#This Row],[Production Days]]/capacityTbl[[#This Row],[Weighted Working day]],0)</f>
        <v>0</v>
      </c>
      <c r="L278" s="31" cm="1">
        <f t="array" ref="L278">INDEX(ProductivityBaseline[ProductivityBaseline],MATCH(capacityTbl[[#This Row],[Process]]&amp;capacityTbl[[#This Row],[Year]],ProductivityBaseline[Title]&amp;ProductivityBaseline[Year to use],0))</f>
        <v>0</v>
      </c>
      <c r="M278" s="32">
        <f>IFERROR(capacityTbl[[#This Row],[No. of Transaction]]/(capacityTbl[[#This Row],[Productivity Baseline (Transation/FTE/Day)]]*capacityTbl[[#This Row],[Weighted Working day]]),0)</f>
        <v>0</v>
      </c>
      <c r="N278" s="33">
        <f>IFERROR(capacityTbl[[#This Row],[No. of Transaction]]/capacityTbl[[#This Row],[Production Days]],0)</f>
        <v>24.9375</v>
      </c>
    </row>
    <row r="279" spans="1:14" x14ac:dyDescent="0.25">
      <c r="A279" s="24">
        <v>2025</v>
      </c>
      <c r="B279" s="110" t="s">
        <v>18</v>
      </c>
      <c r="C279" s="111" t="s">
        <v>292</v>
      </c>
      <c r="D279" s="87">
        <v>1143</v>
      </c>
      <c r="E279" s="88">
        <v>56.5</v>
      </c>
      <c r="F279" s="29" cm="1">
        <f t="array" ref="F27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79" s="30" cm="1">
        <f t="array" ref="G2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79" s="30" cm="1">
        <f t="array" ref="H279">INDEX(stdWorkingDays[],MATCH(capacityTbl[[#This Row],[Year]]&amp;capacityTbl[[#This Row],[Month]],stdWorkingDays[Year]&amp;stdWorkingDays[Month],0),MATCH("China",stdWorkingDays[#Headers],0))</f>
        <v>21</v>
      </c>
      <c r="I279" s="30" cm="1">
        <f t="array" ref="I279">INDEX(stdWorkingDays[],MATCH(capacityTbl[[#This Row],[Year]]&amp;capacityTbl[[#This Row],[Month]],stdWorkingDays[Year]&amp;stdWorkingDays[Month],0),MATCH("Philippine",stdWorkingDays[#Headers],0))</f>
        <v>21</v>
      </c>
      <c r="J27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79" s="35">
        <f>IFERROR(capacityTbl[[#This Row],[Production Days]]/capacityTbl[[#This Row],[Weighted Working day]],0)</f>
        <v>0</v>
      </c>
      <c r="L279" s="31" cm="1">
        <f t="array" ref="L279">INDEX(ProductivityBaseline[ProductivityBaseline],MATCH(capacityTbl[[#This Row],[Process]]&amp;capacityTbl[[#This Row],[Year]],ProductivityBaseline[Title]&amp;ProductivityBaseline[Year to use],0))</f>
        <v>0</v>
      </c>
      <c r="M279" s="32">
        <f>IFERROR(capacityTbl[[#This Row],[No. of Transaction]]/(capacityTbl[[#This Row],[Productivity Baseline (Transation/FTE/Day)]]*capacityTbl[[#This Row],[Weighted Working day]]),0)</f>
        <v>0</v>
      </c>
      <c r="N279" s="33">
        <f>IFERROR(capacityTbl[[#This Row],[No. of Transaction]]/capacityTbl[[#This Row],[Production Days]],0)</f>
        <v>20.23008849557522</v>
      </c>
    </row>
    <row r="280" spans="1:14" x14ac:dyDescent="0.25">
      <c r="A280" s="24">
        <v>2025</v>
      </c>
      <c r="B280" s="110" t="s">
        <v>19</v>
      </c>
      <c r="C280" s="111" t="s">
        <v>292</v>
      </c>
      <c r="D280" s="87">
        <v>1458</v>
      </c>
      <c r="E280" s="88">
        <v>37</v>
      </c>
      <c r="F280" s="29" cm="1">
        <f t="array" ref="F28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0" s="30" cm="1">
        <f t="array" ref="G2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0" s="30" cm="1">
        <f t="array" ref="H280">INDEX(stdWorkingDays[],MATCH(capacityTbl[[#This Row],[Year]]&amp;capacityTbl[[#This Row],[Month]],stdWorkingDays[Year]&amp;stdWorkingDays[Month],0),MATCH("China",stdWorkingDays[#Headers],0))</f>
        <v>22</v>
      </c>
      <c r="I280" s="30" cm="1">
        <f t="array" ref="I280">INDEX(stdWorkingDays[],MATCH(capacityTbl[[#This Row],[Year]]&amp;capacityTbl[[#This Row],[Month]],stdWorkingDays[Year]&amp;stdWorkingDays[Month],0),MATCH("Philippine",stdWorkingDays[#Headers],0))</f>
        <v>19</v>
      </c>
      <c r="J28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0" s="35">
        <f>IFERROR(capacityTbl[[#This Row],[Production Days]]/capacityTbl[[#This Row],[Weighted Working day]],0)</f>
        <v>0</v>
      </c>
      <c r="L280" s="31" cm="1">
        <f t="array" ref="L280">INDEX(ProductivityBaseline[ProductivityBaseline],MATCH(capacityTbl[[#This Row],[Process]]&amp;capacityTbl[[#This Row],[Year]],ProductivityBaseline[Title]&amp;ProductivityBaseline[Year to use],0))</f>
        <v>0</v>
      </c>
      <c r="M280" s="32">
        <f>IFERROR(capacityTbl[[#This Row],[No. of Transaction]]/(capacityTbl[[#This Row],[Productivity Baseline (Transation/FTE/Day)]]*capacityTbl[[#This Row],[Weighted Working day]]),0)</f>
        <v>0</v>
      </c>
      <c r="N280" s="33">
        <f>IFERROR(capacityTbl[[#This Row],[No. of Transaction]]/capacityTbl[[#This Row],[Production Days]],0)</f>
        <v>39.405405405405403</v>
      </c>
    </row>
    <row r="281" spans="1:14" x14ac:dyDescent="0.25">
      <c r="A281" s="24">
        <v>2025</v>
      </c>
      <c r="B281" s="110" t="s">
        <v>20</v>
      </c>
      <c r="C281" s="111" t="s">
        <v>292</v>
      </c>
      <c r="D281" s="87">
        <v>1705</v>
      </c>
      <c r="E281" s="88">
        <v>41</v>
      </c>
      <c r="F281" s="29" cm="1">
        <f t="array" ref="F28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1" s="30" cm="1">
        <f t="array" ref="G28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1" s="30" cm="1">
        <f t="array" ref="H281">INDEX(stdWorkingDays[],MATCH(capacityTbl[[#This Row],[Year]]&amp;capacityTbl[[#This Row],[Month]],stdWorkingDays[Year]&amp;stdWorkingDays[Month],0),MATCH("China",stdWorkingDays[#Headers],0))</f>
        <v>19</v>
      </c>
      <c r="I281" s="30" cm="1">
        <f t="array" ref="I281">INDEX(stdWorkingDays[],MATCH(capacityTbl[[#This Row],[Year]]&amp;capacityTbl[[#This Row],[Month]],stdWorkingDays[Year]&amp;stdWorkingDays[Month],0),MATCH("Philippine",stdWorkingDays[#Headers],0))</f>
        <v>21</v>
      </c>
      <c r="J28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1" s="35">
        <f>IFERROR(capacityTbl[[#This Row],[Production Days]]/capacityTbl[[#This Row],[Weighted Working day]],0)</f>
        <v>0</v>
      </c>
      <c r="L281" s="31" cm="1">
        <f t="array" ref="L281">INDEX(ProductivityBaseline[ProductivityBaseline],MATCH(capacityTbl[[#This Row],[Process]]&amp;capacityTbl[[#This Row],[Year]],ProductivityBaseline[Title]&amp;ProductivityBaseline[Year to use],0))</f>
        <v>0</v>
      </c>
      <c r="M281" s="32">
        <f>IFERROR(capacityTbl[[#This Row],[No. of Transaction]]/(capacityTbl[[#This Row],[Productivity Baseline (Transation/FTE/Day)]]*capacityTbl[[#This Row],[Weighted Working day]]),0)</f>
        <v>0</v>
      </c>
      <c r="N281" s="33">
        <f>IFERROR(capacityTbl[[#This Row],[No. of Transaction]]/capacityTbl[[#This Row],[Production Days]],0)</f>
        <v>41.585365853658537</v>
      </c>
    </row>
    <row r="282" spans="1:14" x14ac:dyDescent="0.25">
      <c r="A282" s="24">
        <v>2025</v>
      </c>
      <c r="B282" s="110" t="s">
        <v>21</v>
      </c>
      <c r="C282" s="111" t="s">
        <v>292</v>
      </c>
      <c r="D282" s="87">
        <v>1013</v>
      </c>
      <c r="E282" s="88">
        <v>22</v>
      </c>
      <c r="F282" s="29" cm="1">
        <f t="array" ref="F28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2" s="30" cm="1">
        <f t="array" ref="G28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2" s="30" cm="1">
        <f t="array" ref="H282">INDEX(stdWorkingDays[],MATCH(capacityTbl[[#This Row],[Year]]&amp;capacityTbl[[#This Row],[Month]],stdWorkingDays[Year]&amp;stdWorkingDays[Month],0),MATCH("China",stdWorkingDays[#Headers],0))</f>
        <v>20</v>
      </c>
      <c r="I282" s="30" cm="1">
        <f t="array" ref="I282">INDEX(stdWorkingDays[],MATCH(capacityTbl[[#This Row],[Year]]&amp;capacityTbl[[#This Row],[Month]],stdWorkingDays[Year]&amp;stdWorkingDays[Month],0),MATCH("Philippine",stdWorkingDays[#Headers],0))</f>
        <v>19</v>
      </c>
      <c r="J28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2" s="35">
        <f>IFERROR(capacityTbl[[#This Row],[Production Days]]/capacityTbl[[#This Row],[Weighted Working day]],0)</f>
        <v>0</v>
      </c>
      <c r="L282" s="31" cm="1">
        <f t="array" ref="L282">INDEX(ProductivityBaseline[ProductivityBaseline],MATCH(capacityTbl[[#This Row],[Process]]&amp;capacityTbl[[#This Row],[Year]],ProductivityBaseline[Title]&amp;ProductivityBaseline[Year to use],0))</f>
        <v>0</v>
      </c>
      <c r="M282" s="32">
        <f>IFERROR(capacityTbl[[#This Row],[No. of Transaction]]/(capacityTbl[[#This Row],[Productivity Baseline (Transation/FTE/Day)]]*capacityTbl[[#This Row],[Weighted Working day]]),0)</f>
        <v>0</v>
      </c>
      <c r="N282" s="33">
        <f>IFERROR(capacityTbl[[#This Row],[No. of Transaction]]/capacityTbl[[#This Row],[Production Days]],0)</f>
        <v>46.045454545454547</v>
      </c>
    </row>
    <row r="283" spans="1:14" x14ac:dyDescent="0.25">
      <c r="A283" s="24">
        <v>2025</v>
      </c>
      <c r="B283" s="110" t="s">
        <v>22</v>
      </c>
      <c r="C283" s="111" t="s">
        <v>292</v>
      </c>
      <c r="D283" s="87">
        <v>2475</v>
      </c>
      <c r="E283" s="88">
        <v>57</v>
      </c>
      <c r="F283" s="29" cm="1">
        <f t="array" ref="F28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3" s="30" cm="1">
        <f t="array" ref="G28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3" s="30" cm="1">
        <f t="array" ref="H283">INDEX(stdWorkingDays[],MATCH(capacityTbl[[#This Row],[Year]]&amp;capacityTbl[[#This Row],[Month]],stdWorkingDays[Year]&amp;stdWorkingDays[Month],0),MATCH("China",stdWorkingDays[#Headers],0))</f>
        <v>23</v>
      </c>
      <c r="I283" s="30" cm="1">
        <f t="array" ref="I283">INDEX(stdWorkingDays[],MATCH(capacityTbl[[#This Row],[Year]]&amp;capacityTbl[[#This Row],[Month]],stdWorkingDays[Year]&amp;stdWorkingDays[Month],0),MATCH("Philippine",stdWorkingDays[#Headers],0))</f>
        <v>23</v>
      </c>
      <c r="J28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3" s="35">
        <f>IFERROR(capacityTbl[[#This Row],[Production Days]]/capacityTbl[[#This Row],[Weighted Working day]],0)</f>
        <v>0</v>
      </c>
      <c r="L283" s="31" cm="1">
        <f t="array" ref="L283">INDEX(ProductivityBaseline[ProductivityBaseline],MATCH(capacityTbl[[#This Row],[Process]]&amp;capacityTbl[[#This Row],[Year]],ProductivityBaseline[Title]&amp;ProductivityBaseline[Year to use],0))</f>
        <v>0</v>
      </c>
      <c r="M283" s="32">
        <f>IFERROR(capacityTbl[[#This Row],[No. of Transaction]]/(capacityTbl[[#This Row],[Productivity Baseline (Transation/FTE/Day)]]*capacityTbl[[#This Row],[Weighted Working day]]),0)</f>
        <v>0</v>
      </c>
      <c r="N283" s="33">
        <f>IFERROR(capacityTbl[[#This Row],[No. of Transaction]]/capacityTbl[[#This Row],[Production Days]],0)</f>
        <v>43.421052631578945</v>
      </c>
    </row>
    <row r="284" spans="1:14" x14ac:dyDescent="0.25">
      <c r="A284" s="24">
        <v>2025</v>
      </c>
      <c r="B284" s="110" t="s">
        <v>46</v>
      </c>
      <c r="C284" s="111" t="s">
        <v>292</v>
      </c>
      <c r="D284" s="87">
        <v>3488</v>
      </c>
      <c r="E284" s="88">
        <v>54</v>
      </c>
      <c r="F284" s="29" cm="1">
        <f t="array" ref="F28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4" s="30" cm="1">
        <f t="array" ref="G28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4" s="30" cm="1">
        <f t="array" ref="H284">INDEX(stdWorkingDays[],MATCH(capacityTbl[[#This Row],[Year]]&amp;capacityTbl[[#This Row],[Month]],stdWorkingDays[Year]&amp;stdWorkingDays[Month],0),MATCH("China",stdWorkingDays[#Headers],0))</f>
        <v>21</v>
      </c>
      <c r="I284" s="30" cm="1">
        <f t="array" ref="I284">INDEX(stdWorkingDays[],MATCH(capacityTbl[[#This Row],[Year]]&amp;capacityTbl[[#This Row],[Month]],stdWorkingDays[Year]&amp;stdWorkingDays[Month],0),MATCH("Philippine",stdWorkingDays[#Headers],0))</f>
        <v>19</v>
      </c>
      <c r="J28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4" s="35">
        <f>IFERROR(capacityTbl[[#This Row],[Production Days]]/capacityTbl[[#This Row],[Weighted Working day]],0)</f>
        <v>0</v>
      </c>
      <c r="L284" s="31" cm="1">
        <f t="array" ref="L284">INDEX(ProductivityBaseline[ProductivityBaseline],MATCH(capacityTbl[[#This Row],[Process]]&amp;capacityTbl[[#This Row],[Year]],ProductivityBaseline[Title]&amp;ProductivityBaseline[Year to use],0))</f>
        <v>0</v>
      </c>
      <c r="M284" s="32">
        <f>IFERROR(capacityTbl[[#This Row],[No. of Transaction]]/(capacityTbl[[#This Row],[Productivity Baseline (Transation/FTE/Day)]]*capacityTbl[[#This Row],[Weighted Working day]]),0)</f>
        <v>0</v>
      </c>
      <c r="N284" s="33">
        <f>IFERROR(capacityTbl[[#This Row],[No. of Transaction]]/capacityTbl[[#This Row],[Production Days]],0)</f>
        <v>64.592592592592595</v>
      </c>
    </row>
    <row r="285" spans="1:14" x14ac:dyDescent="0.25">
      <c r="A285" s="24">
        <v>2025</v>
      </c>
      <c r="B285" s="110" t="s">
        <v>33</v>
      </c>
      <c r="C285" s="111" t="s">
        <v>292</v>
      </c>
      <c r="D285" s="87"/>
      <c r="E285" s="88"/>
      <c r="F285" s="29" cm="1">
        <f t="array" ref="F28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5" s="30" cm="1">
        <f t="array" ref="G28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5" s="30" cm="1">
        <f t="array" ref="H285">INDEX(stdWorkingDays[],MATCH(capacityTbl[[#This Row],[Year]]&amp;capacityTbl[[#This Row],[Month]],stdWorkingDays[Year]&amp;stdWorkingDays[Month],0),MATCH("China",stdWorkingDays[#Headers],0))</f>
        <v>23</v>
      </c>
      <c r="I285" s="30" cm="1">
        <f t="array" ref="I285">INDEX(stdWorkingDays[],MATCH(capacityTbl[[#This Row],[Year]]&amp;capacityTbl[[#This Row],[Month]],stdWorkingDays[Year]&amp;stdWorkingDays[Month],0),MATCH("Philippine",stdWorkingDays[#Headers],0))</f>
        <v>22</v>
      </c>
      <c r="J28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5" s="35">
        <f>IFERROR(capacityTbl[[#This Row],[Production Days]]/capacityTbl[[#This Row],[Weighted Working day]],0)</f>
        <v>0</v>
      </c>
      <c r="L285" s="31" cm="1">
        <f t="array" ref="L285">INDEX(ProductivityBaseline[ProductivityBaseline],MATCH(capacityTbl[[#This Row],[Process]]&amp;capacityTbl[[#This Row],[Year]],ProductivityBaseline[Title]&amp;ProductivityBaseline[Year to use],0))</f>
        <v>0</v>
      </c>
      <c r="M285" s="32">
        <f>IFERROR(capacityTbl[[#This Row],[No. of Transaction]]/(capacityTbl[[#This Row],[Productivity Baseline (Transation/FTE/Day)]]*capacityTbl[[#This Row],[Weighted Working day]]),0)</f>
        <v>0</v>
      </c>
      <c r="N285" s="33">
        <f>IFERROR(capacityTbl[[#This Row],[No. of Transaction]]/capacityTbl[[#This Row],[Production Days]],0)</f>
        <v>0</v>
      </c>
    </row>
    <row r="286" spans="1:14" x14ac:dyDescent="0.25">
      <c r="A286" s="24">
        <v>2025</v>
      </c>
      <c r="B286" s="110" t="s">
        <v>25</v>
      </c>
      <c r="C286" s="111" t="s">
        <v>292</v>
      </c>
      <c r="D286" s="87"/>
      <c r="E286" s="88"/>
      <c r="F286" s="29" cm="1">
        <f t="array" ref="F28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6" s="30" cm="1">
        <f t="array" ref="G28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6" s="30" cm="1">
        <f t="array" ref="H286">INDEX(stdWorkingDays[],MATCH(capacityTbl[[#This Row],[Year]]&amp;capacityTbl[[#This Row],[Month]],stdWorkingDays[Year]&amp;stdWorkingDays[Month],0),MATCH("China",stdWorkingDays[#Headers],0))</f>
        <v>18</v>
      </c>
      <c r="I286" s="30" cm="1">
        <f t="array" ref="I286">INDEX(stdWorkingDays[],MATCH(capacityTbl[[#This Row],[Year]]&amp;capacityTbl[[#This Row],[Month]],stdWorkingDays[Year]&amp;stdWorkingDays[Month],0),MATCH("Philippine",stdWorkingDays[#Headers],0))</f>
        <v>22</v>
      </c>
      <c r="J28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6" s="35">
        <f>IFERROR(capacityTbl[[#This Row],[Production Days]]/capacityTbl[[#This Row],[Weighted Working day]],0)</f>
        <v>0</v>
      </c>
      <c r="L286" s="31" cm="1">
        <f t="array" ref="L286">INDEX(ProductivityBaseline[ProductivityBaseline],MATCH(capacityTbl[[#This Row],[Process]]&amp;capacityTbl[[#This Row],[Year]],ProductivityBaseline[Title]&amp;ProductivityBaseline[Year to use],0))</f>
        <v>0</v>
      </c>
      <c r="M286" s="32">
        <f>IFERROR(capacityTbl[[#This Row],[No. of Transaction]]/(capacityTbl[[#This Row],[Productivity Baseline (Transation/FTE/Day)]]*capacityTbl[[#This Row],[Weighted Working day]]),0)</f>
        <v>0</v>
      </c>
      <c r="N286" s="33">
        <f>IFERROR(capacityTbl[[#This Row],[No. of Transaction]]/capacityTbl[[#This Row],[Production Days]],0)</f>
        <v>0</v>
      </c>
    </row>
    <row r="287" spans="1:14" x14ac:dyDescent="0.25">
      <c r="A287" s="24">
        <v>2025</v>
      </c>
      <c r="B287" s="110" t="s">
        <v>26</v>
      </c>
      <c r="C287" s="111" t="s">
        <v>292</v>
      </c>
      <c r="D287" s="87"/>
      <c r="E287" s="88"/>
      <c r="F287" s="29" cm="1">
        <f t="array" ref="F28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7" s="30" cm="1">
        <f t="array" ref="G28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7" s="30" cm="1">
        <f t="array" ref="H287">INDEX(stdWorkingDays[],MATCH(capacityTbl[[#This Row],[Year]]&amp;capacityTbl[[#This Row],[Month]],stdWorkingDays[Year]&amp;stdWorkingDays[Month],0),MATCH("China",stdWorkingDays[#Headers],0))</f>
        <v>20</v>
      </c>
      <c r="I287" s="30" cm="1">
        <f t="array" ref="I287">INDEX(stdWorkingDays[],MATCH(capacityTbl[[#This Row],[Year]]&amp;capacityTbl[[#This Row],[Month]],stdWorkingDays[Year]&amp;stdWorkingDays[Month],0),MATCH("Philippine",stdWorkingDays[#Headers],0))</f>
        <v>20</v>
      </c>
      <c r="J28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7" s="35">
        <f>IFERROR(capacityTbl[[#This Row],[Production Days]]/capacityTbl[[#This Row],[Weighted Working day]],0)</f>
        <v>0</v>
      </c>
      <c r="L287" s="31" cm="1">
        <f t="array" ref="L287">INDEX(ProductivityBaseline[ProductivityBaseline],MATCH(capacityTbl[[#This Row],[Process]]&amp;capacityTbl[[#This Row],[Year]],ProductivityBaseline[Title]&amp;ProductivityBaseline[Year to use],0))</f>
        <v>0</v>
      </c>
      <c r="M287" s="32">
        <f>IFERROR(capacityTbl[[#This Row],[No. of Transaction]]/(capacityTbl[[#This Row],[Productivity Baseline (Transation/FTE/Day)]]*capacityTbl[[#This Row],[Weighted Working day]]),0)</f>
        <v>0</v>
      </c>
      <c r="N287" s="33">
        <f>IFERROR(capacityTbl[[#This Row],[No. of Transaction]]/capacityTbl[[#This Row],[Production Days]],0)</f>
        <v>0</v>
      </c>
    </row>
    <row r="288" spans="1:14" x14ac:dyDescent="0.25">
      <c r="A288" s="37">
        <v>2025</v>
      </c>
      <c r="B288" s="112" t="s">
        <v>27</v>
      </c>
      <c r="C288" s="113" t="s">
        <v>292</v>
      </c>
      <c r="D288" s="89"/>
      <c r="E288" s="90"/>
      <c r="F288" s="42" cm="1">
        <f t="array" ref="F28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288" s="43" cm="1">
        <f t="array" ref="G28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8" s="43" cm="1">
        <f t="array" ref="H288">INDEX(stdWorkingDays[],MATCH(capacityTbl[[#This Row],[Year]]&amp;capacityTbl[[#This Row],[Month]],stdWorkingDays[Year]&amp;stdWorkingDays[Month],0),MATCH("China",stdWorkingDays[#Headers],0))</f>
        <v>23</v>
      </c>
      <c r="I288" s="43" cm="1">
        <f t="array" ref="I288">INDEX(stdWorkingDays[],MATCH(capacityTbl[[#This Row],[Year]]&amp;capacityTbl[[#This Row],[Month]],stdWorkingDays[Year]&amp;stdWorkingDays[Month],0),MATCH("Philippine",stdWorkingDays[#Headers],0))</f>
        <v>18</v>
      </c>
      <c r="J288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288" s="45">
        <f>IFERROR(capacityTbl[[#This Row],[Production Days]]/capacityTbl[[#This Row],[Weighted Working day]],0)</f>
        <v>0</v>
      </c>
      <c r="L288" s="44" cm="1">
        <f t="array" ref="L288">INDEX(ProductivityBaseline[ProductivityBaseline],MATCH(capacityTbl[[#This Row],[Process]]&amp;capacityTbl[[#This Row],[Year]],ProductivityBaseline[Title]&amp;ProductivityBaseline[Year to use],0))</f>
        <v>0</v>
      </c>
      <c r="M288" s="46">
        <f>IFERROR(capacityTbl[[#This Row],[No. of Transaction]]/(capacityTbl[[#This Row],[Productivity Baseline (Transation/FTE/Day)]]*capacityTbl[[#This Row],[Weighted Working day]]),0)</f>
        <v>0</v>
      </c>
      <c r="N288" s="47">
        <f>IFERROR(capacityTbl[[#This Row],[No. of Transaction]]/capacityTbl[[#This Row],[Production Days]],0)</f>
        <v>0</v>
      </c>
    </row>
    <row r="289" spans="1:14" x14ac:dyDescent="0.25">
      <c r="A289" s="49">
        <v>2025</v>
      </c>
      <c r="B289" s="25" t="s">
        <v>14</v>
      </c>
      <c r="C289" s="26" t="s">
        <v>36</v>
      </c>
      <c r="D289" s="87">
        <v>210</v>
      </c>
      <c r="E289" s="88">
        <v>53</v>
      </c>
      <c r="F289" s="29" cm="1">
        <f t="array" ref="F289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89" s="30" cm="1">
        <f t="array" ref="G28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89" s="30" cm="1">
        <f t="array" ref="H289">INDEX(stdWorkingDays[],MATCH(capacityTbl[[#This Row],[Year]]&amp;capacityTbl[[#This Row],[Month]],stdWorkingDays[Year]&amp;stdWorkingDays[Month],0),MATCH("China",stdWorkingDays[#Headers],0))</f>
        <v>19</v>
      </c>
      <c r="I289" s="30" cm="1">
        <f t="array" ref="I289">INDEX(stdWorkingDays[],MATCH(capacityTbl[[#This Row],[Year]]&amp;capacityTbl[[#This Row],[Month]],stdWorkingDays[Year]&amp;stdWorkingDays[Month],0),MATCH("Philippine",stdWorkingDays[#Headers],0))</f>
        <v>21</v>
      </c>
      <c r="J289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89" s="31">
        <f>IFERROR(capacityTbl[[#This Row],[Production Days]]/capacityTbl[[#This Row],[Weighted Working day]],0)</f>
        <v>2.7894736842105261</v>
      </c>
      <c r="L289" s="31" cm="1">
        <f t="array" ref="L289">INDEX(ProductivityBaseline[ProductivityBaseline],MATCH(capacityTbl[[#This Row],[Process]]&amp;capacityTbl[[#This Row],[Year]],ProductivityBaseline[Title]&amp;ProductivityBaseline[Year to use],0))</f>
        <v>6.2203672787979967</v>
      </c>
      <c r="M289" s="32">
        <f>IFERROR(capacityTbl[[#This Row],[No. of Transaction]]/(capacityTbl[[#This Row],[Productivity Baseline (Transation/FTE/Day)]]*capacityTbl[[#This Row],[Weighted Working day]]),0)</f>
        <v>1.7768454953809645</v>
      </c>
      <c r="N289" s="33">
        <f>IFERROR(capacityTbl[[#This Row],[No. of Transaction]]/capacityTbl[[#This Row],[Production Days]],0)</f>
        <v>3.9622641509433962</v>
      </c>
    </row>
    <row r="290" spans="1:14" x14ac:dyDescent="0.25">
      <c r="A290" s="49">
        <v>2025</v>
      </c>
      <c r="B290" s="25" t="s">
        <v>17</v>
      </c>
      <c r="C290" s="26" t="s">
        <v>36</v>
      </c>
      <c r="D290" s="87">
        <v>252</v>
      </c>
      <c r="E290" s="88">
        <v>57</v>
      </c>
      <c r="F290" s="29" cm="1">
        <f t="array" ref="F290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0" s="30" cm="1">
        <f t="array" ref="G29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0" s="30" cm="1">
        <f t="array" ref="H290">INDEX(stdWorkingDays[],MATCH(capacityTbl[[#This Row],[Year]]&amp;capacityTbl[[#This Row],[Month]],stdWorkingDays[Year]&amp;stdWorkingDays[Month],0),MATCH("China",stdWorkingDays[#Headers],0))</f>
        <v>19</v>
      </c>
      <c r="I290" s="30" cm="1">
        <f t="array" ref="I290">INDEX(stdWorkingDays[],MATCH(capacityTbl[[#This Row],[Year]]&amp;capacityTbl[[#This Row],[Month]],stdWorkingDays[Year]&amp;stdWorkingDays[Month],0),MATCH("Philippine",stdWorkingDays[#Headers],0))</f>
        <v>20</v>
      </c>
      <c r="J290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90" s="31">
        <f>IFERROR(capacityTbl[[#This Row],[Production Days]]/capacityTbl[[#This Row],[Weighted Working day]],0)</f>
        <v>3</v>
      </c>
      <c r="L290" s="31" cm="1">
        <f t="array" ref="L290">INDEX(ProductivityBaseline[ProductivityBaseline],MATCH(capacityTbl[[#This Row],[Process]]&amp;capacityTbl[[#This Row],[Year]],ProductivityBaseline[Title]&amp;ProductivityBaseline[Year to use],0))</f>
        <v>6.2203672787979967</v>
      </c>
      <c r="M290" s="32">
        <f>IFERROR(capacityTbl[[#This Row],[No. of Transaction]]/(capacityTbl[[#This Row],[Productivity Baseline (Transation/FTE/Day)]]*capacityTbl[[#This Row],[Weighted Working day]]),0)</f>
        <v>2.1322145944571571</v>
      </c>
      <c r="N290" s="33">
        <f>IFERROR(capacityTbl[[#This Row],[No. of Transaction]]/capacityTbl[[#This Row],[Production Days]],0)</f>
        <v>4.4210526315789478</v>
      </c>
    </row>
    <row r="291" spans="1:14" x14ac:dyDescent="0.25">
      <c r="A291" s="49">
        <v>2025</v>
      </c>
      <c r="B291" s="25" t="s">
        <v>18</v>
      </c>
      <c r="C291" s="26" t="s">
        <v>36</v>
      </c>
      <c r="D291" s="87">
        <v>377</v>
      </c>
      <c r="E291" s="88">
        <v>62</v>
      </c>
      <c r="F291" s="29" cm="1">
        <f t="array" ref="F291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1" s="30" cm="1">
        <f t="array" ref="G29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1" s="30" cm="1">
        <f t="array" ref="H291">INDEX(stdWorkingDays[],MATCH(capacityTbl[[#This Row],[Year]]&amp;capacityTbl[[#This Row],[Month]],stdWorkingDays[Year]&amp;stdWorkingDays[Month],0),MATCH("China",stdWorkingDays[#Headers],0))</f>
        <v>21</v>
      </c>
      <c r="I291" s="30" cm="1">
        <f t="array" ref="I291">INDEX(stdWorkingDays[],MATCH(capacityTbl[[#This Row],[Year]]&amp;capacityTbl[[#This Row],[Month]],stdWorkingDays[Year]&amp;stdWorkingDays[Month],0),MATCH("Philippine",stdWorkingDays[#Headers],0))</f>
        <v>21</v>
      </c>
      <c r="J291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91" s="31">
        <f>IFERROR(capacityTbl[[#This Row],[Production Days]]/capacityTbl[[#This Row],[Weighted Working day]],0)</f>
        <v>2.9523809523809526</v>
      </c>
      <c r="L291" s="31" cm="1">
        <f t="array" ref="L291">INDEX(ProductivityBaseline[ProductivityBaseline],MATCH(capacityTbl[[#This Row],[Process]]&amp;capacityTbl[[#This Row],[Year]],ProductivityBaseline[Title]&amp;ProductivityBaseline[Year to use],0))</f>
        <v>6.2203672787979967</v>
      </c>
      <c r="M291" s="32">
        <f>IFERROR(capacityTbl[[#This Row],[No. of Transaction]]/(capacityTbl[[#This Row],[Productivity Baseline (Transation/FTE/Day)]]*capacityTbl[[#This Row],[Weighted Working day]]),0)</f>
        <v>2.8860644633591495</v>
      </c>
      <c r="N291" s="33">
        <f>IFERROR(capacityTbl[[#This Row],[No. of Transaction]]/capacityTbl[[#This Row],[Production Days]],0)</f>
        <v>6.080645161290323</v>
      </c>
    </row>
    <row r="292" spans="1:14" x14ac:dyDescent="0.25">
      <c r="A292" s="49">
        <v>2025</v>
      </c>
      <c r="B292" s="25" t="s">
        <v>19</v>
      </c>
      <c r="C292" s="26" t="s">
        <v>36</v>
      </c>
      <c r="D292" s="87">
        <v>356</v>
      </c>
      <c r="E292" s="88">
        <v>59</v>
      </c>
      <c r="F292" s="29" cm="1">
        <f t="array" ref="F292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2" s="30" cm="1">
        <f t="array" ref="G29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2" s="30" cm="1">
        <f t="array" ref="H292">INDEX(stdWorkingDays[],MATCH(capacityTbl[[#This Row],[Year]]&amp;capacityTbl[[#This Row],[Month]],stdWorkingDays[Year]&amp;stdWorkingDays[Month],0),MATCH("China",stdWorkingDays[#Headers],0))</f>
        <v>22</v>
      </c>
      <c r="I292" s="30" cm="1">
        <f t="array" ref="I292">INDEX(stdWorkingDays[],MATCH(capacityTbl[[#This Row],[Year]]&amp;capacityTbl[[#This Row],[Month]],stdWorkingDays[Year]&amp;stdWorkingDays[Month],0),MATCH("Philippine",stdWorkingDays[#Headers],0))</f>
        <v>19</v>
      </c>
      <c r="J292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292" s="31">
        <f>IFERROR(capacityTbl[[#This Row],[Production Days]]/capacityTbl[[#This Row],[Weighted Working day]],0)</f>
        <v>2.6818181818181817</v>
      </c>
      <c r="L292" s="31" cm="1">
        <f t="array" ref="L292">INDEX(ProductivityBaseline[ProductivityBaseline],MATCH(capacityTbl[[#This Row],[Process]]&amp;capacityTbl[[#This Row],[Year]],ProductivityBaseline[Title]&amp;ProductivityBaseline[Year to use],0))</f>
        <v>6.2203672787979967</v>
      </c>
      <c r="M292" s="32">
        <f>IFERROR(capacityTbl[[#This Row],[No. of Transaction]]/(capacityTbl[[#This Row],[Productivity Baseline (Transation/FTE/Day)]]*capacityTbl[[#This Row],[Weighted Working day]]),0)</f>
        <v>2.6014248767871955</v>
      </c>
      <c r="N292" s="33">
        <f>IFERROR(capacityTbl[[#This Row],[No. of Transaction]]/capacityTbl[[#This Row],[Production Days]],0)</f>
        <v>6.0338983050847457</v>
      </c>
    </row>
    <row r="293" spans="1:14" x14ac:dyDescent="0.25">
      <c r="A293" s="49">
        <v>2025</v>
      </c>
      <c r="B293" s="25" t="s">
        <v>20</v>
      </c>
      <c r="C293" s="26" t="s">
        <v>36</v>
      </c>
      <c r="D293" s="87">
        <v>362</v>
      </c>
      <c r="E293" s="88">
        <v>58</v>
      </c>
      <c r="F293" s="29" cm="1">
        <f t="array" ref="F293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3" s="30" cm="1">
        <f t="array" ref="G29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3" s="30" cm="1">
        <f t="array" ref="H293">INDEX(stdWorkingDays[],MATCH(capacityTbl[[#This Row],[Year]]&amp;capacityTbl[[#This Row],[Month]],stdWorkingDays[Year]&amp;stdWorkingDays[Month],0),MATCH("China",stdWorkingDays[#Headers],0))</f>
        <v>19</v>
      </c>
      <c r="I293" s="30" cm="1">
        <f t="array" ref="I293">INDEX(stdWorkingDays[],MATCH(capacityTbl[[#This Row],[Year]]&amp;capacityTbl[[#This Row],[Month]],stdWorkingDays[Year]&amp;stdWorkingDays[Month],0),MATCH("Philippine",stdWorkingDays[#Headers],0))</f>
        <v>21</v>
      </c>
      <c r="J293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293" s="31">
        <f>IFERROR(capacityTbl[[#This Row],[Production Days]]/capacityTbl[[#This Row],[Weighted Working day]],0)</f>
        <v>3.0526315789473686</v>
      </c>
      <c r="L293" s="31" cm="1">
        <f t="array" ref="L293">INDEX(ProductivityBaseline[ProductivityBaseline],MATCH(capacityTbl[[#This Row],[Process]]&amp;capacityTbl[[#This Row],[Year]],ProductivityBaseline[Title]&amp;ProductivityBaseline[Year to use],0))</f>
        <v>6.2203672787979967</v>
      </c>
      <c r="M293" s="32">
        <f>IFERROR(capacityTbl[[#This Row],[No. of Transaction]]/(capacityTbl[[#This Row],[Productivity Baseline (Transation/FTE/Day)]]*capacityTbl[[#This Row],[Weighted Working day]]),0)</f>
        <v>3.0629431872757578</v>
      </c>
      <c r="N293" s="33">
        <f>IFERROR(capacityTbl[[#This Row],[No. of Transaction]]/capacityTbl[[#This Row],[Production Days]],0)</f>
        <v>6.2413793103448274</v>
      </c>
    </row>
    <row r="294" spans="1:14" x14ac:dyDescent="0.25">
      <c r="A294" s="49">
        <v>2025</v>
      </c>
      <c r="B294" s="25" t="s">
        <v>21</v>
      </c>
      <c r="C294" s="26" t="s">
        <v>36</v>
      </c>
      <c r="D294" s="87">
        <v>303</v>
      </c>
      <c r="E294" s="88">
        <v>54</v>
      </c>
      <c r="F294" s="29" cm="1">
        <f t="array" ref="F294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4" s="30" cm="1">
        <f t="array" ref="G29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4" s="30" cm="1">
        <f t="array" ref="H294">INDEX(stdWorkingDays[],MATCH(capacityTbl[[#This Row],[Year]]&amp;capacityTbl[[#This Row],[Month]],stdWorkingDays[Year]&amp;stdWorkingDays[Month],0),MATCH("China",stdWorkingDays[#Headers],0))</f>
        <v>20</v>
      </c>
      <c r="I294" s="30" cm="1">
        <f t="array" ref="I294">INDEX(stdWorkingDays[],MATCH(capacityTbl[[#This Row],[Year]]&amp;capacityTbl[[#This Row],[Month]],stdWorkingDays[Year]&amp;stdWorkingDays[Month],0),MATCH("Philippine",stdWorkingDays[#Headers],0))</f>
        <v>19</v>
      </c>
      <c r="J294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94" s="31">
        <f>IFERROR(capacityTbl[[#This Row],[Production Days]]/capacityTbl[[#This Row],[Weighted Working day]],0)</f>
        <v>2.7</v>
      </c>
      <c r="L294" s="31" cm="1">
        <f t="array" ref="L294">INDEX(ProductivityBaseline[ProductivityBaseline],MATCH(capacityTbl[[#This Row],[Process]]&amp;capacityTbl[[#This Row],[Year]],ProductivityBaseline[Title]&amp;ProductivityBaseline[Year to use],0))</f>
        <v>6.2203672787979967</v>
      </c>
      <c r="M294" s="32">
        <f>IFERROR(capacityTbl[[#This Row],[No. of Transaction]]/(capacityTbl[[#This Row],[Productivity Baseline (Transation/FTE/Day)]]*capacityTbl[[#This Row],[Weighted Working day]]),0)</f>
        <v>2.4355475040257648</v>
      </c>
      <c r="N294" s="33">
        <f>IFERROR(capacityTbl[[#This Row],[No. of Transaction]]/capacityTbl[[#This Row],[Production Days]],0)</f>
        <v>5.6111111111111107</v>
      </c>
    </row>
    <row r="295" spans="1:14" x14ac:dyDescent="0.25">
      <c r="A295" s="49">
        <v>2025</v>
      </c>
      <c r="B295" s="25" t="s">
        <v>22</v>
      </c>
      <c r="C295" s="26" t="s">
        <v>36</v>
      </c>
      <c r="D295" s="87">
        <v>386</v>
      </c>
      <c r="E295" s="88">
        <v>67</v>
      </c>
      <c r="F295" s="29" cm="1">
        <f t="array" ref="F295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5" s="30" cm="1">
        <f t="array" ref="G29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5" s="30" cm="1">
        <f t="array" ref="H295">INDEX(stdWorkingDays[],MATCH(capacityTbl[[#This Row],[Year]]&amp;capacityTbl[[#This Row],[Month]],stdWorkingDays[Year]&amp;stdWorkingDays[Month],0),MATCH("China",stdWorkingDays[#Headers],0))</f>
        <v>23</v>
      </c>
      <c r="I295" s="30" cm="1">
        <f t="array" ref="I295">INDEX(stdWorkingDays[],MATCH(capacityTbl[[#This Row],[Year]]&amp;capacityTbl[[#This Row],[Month]],stdWorkingDays[Year]&amp;stdWorkingDays[Month],0),MATCH("Philippine",stdWorkingDays[#Headers],0))</f>
        <v>23</v>
      </c>
      <c r="J295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95" s="31">
        <f>IFERROR(capacityTbl[[#This Row],[Production Days]]/capacityTbl[[#This Row],[Weighted Working day]],0)</f>
        <v>2.9130434782608696</v>
      </c>
      <c r="L295" s="31" cm="1">
        <f t="array" ref="L295">INDEX(ProductivityBaseline[ProductivityBaseline],MATCH(capacityTbl[[#This Row],[Process]]&amp;capacityTbl[[#This Row],[Year]],ProductivityBaseline[Title]&amp;ProductivityBaseline[Year to use],0))</f>
        <v>6.2203672787979967</v>
      </c>
      <c r="M295" s="32">
        <f>IFERROR(capacityTbl[[#This Row],[No. of Transaction]]/(capacityTbl[[#This Row],[Productivity Baseline (Transation/FTE/Day)]]*capacityTbl[[#This Row],[Weighted Working day]]),0)</f>
        <v>2.6980092884314688</v>
      </c>
      <c r="N295" s="33">
        <f>IFERROR(capacityTbl[[#This Row],[No. of Transaction]]/capacityTbl[[#This Row],[Production Days]],0)</f>
        <v>5.7611940298507465</v>
      </c>
    </row>
    <row r="296" spans="1:14" x14ac:dyDescent="0.25">
      <c r="A296" s="49">
        <v>2025</v>
      </c>
      <c r="B296" s="25" t="s">
        <v>23</v>
      </c>
      <c r="C296" s="26" t="s">
        <v>36</v>
      </c>
      <c r="D296" s="87">
        <v>493</v>
      </c>
      <c r="E296" s="88">
        <v>62.5</v>
      </c>
      <c r="F296" s="29" cm="1">
        <f t="array" ref="F296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6" s="30" cm="1">
        <f t="array" ref="G29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6" s="30" cm="1">
        <f t="array" ref="H296">INDEX(stdWorkingDays[],MATCH(capacityTbl[[#This Row],[Year]]&amp;capacityTbl[[#This Row],[Month]],stdWorkingDays[Year]&amp;stdWorkingDays[Month],0),MATCH("China",stdWorkingDays[#Headers],0))</f>
        <v>21</v>
      </c>
      <c r="I296" s="30" cm="1">
        <f t="array" ref="I296">INDEX(stdWorkingDays[],MATCH(capacityTbl[[#This Row],[Year]]&amp;capacityTbl[[#This Row],[Month]],stdWorkingDays[Year]&amp;stdWorkingDays[Month],0),MATCH("Philippine",stdWorkingDays[#Headers],0))</f>
        <v>19</v>
      </c>
      <c r="J296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296" s="35">
        <f>IFERROR(capacityTbl[[#This Row],[Production Days]]/capacityTbl[[#This Row],[Weighted Working day]],0)</f>
        <v>2.9761904761904763</v>
      </c>
      <c r="L296" s="31" cm="1">
        <f t="array" ref="L296">INDEX(ProductivityBaseline[ProductivityBaseline],MATCH(capacityTbl[[#This Row],[Process]]&amp;capacityTbl[[#This Row],[Year]],ProductivityBaseline[Title]&amp;ProductivityBaseline[Year to use],0))</f>
        <v>6.2203672787979967</v>
      </c>
      <c r="M296" s="36">
        <f>IFERROR(capacityTbl[[#This Row],[No. of Transaction]]/(capacityTbl[[#This Row],[Productivity Baseline (Transation/FTE/Day)]]*capacityTbl[[#This Row],[Weighted Working day]]),0)</f>
        <v>3.7740842982388876</v>
      </c>
      <c r="N296" s="33">
        <f>IFERROR(capacityTbl[[#This Row],[No. of Transaction]]/capacityTbl[[#This Row],[Production Days]],0)</f>
        <v>7.8879999999999999</v>
      </c>
    </row>
    <row r="297" spans="1:14" x14ac:dyDescent="0.25">
      <c r="A297" s="49">
        <v>2025</v>
      </c>
      <c r="B297" s="25" t="s">
        <v>33</v>
      </c>
      <c r="C297" s="26" t="s">
        <v>36</v>
      </c>
      <c r="D297" s="87"/>
      <c r="E297" s="88"/>
      <c r="F297" s="29" cm="1">
        <f t="array" ref="F297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7" s="30" cm="1">
        <f t="array" ref="G29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7" s="30" cm="1">
        <f t="array" ref="H297">INDEX(stdWorkingDays[],MATCH(capacityTbl[[#This Row],[Year]]&amp;capacityTbl[[#This Row],[Month]],stdWorkingDays[Year]&amp;stdWorkingDays[Month],0),MATCH("China",stdWorkingDays[#Headers],0))</f>
        <v>23</v>
      </c>
      <c r="I297" s="30" cm="1">
        <f t="array" ref="I297">INDEX(stdWorkingDays[],MATCH(capacityTbl[[#This Row],[Year]]&amp;capacityTbl[[#This Row],[Month]],stdWorkingDays[Year]&amp;stdWorkingDays[Month],0),MATCH("Philippine",stdWorkingDays[#Headers],0))</f>
        <v>22</v>
      </c>
      <c r="J297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297" s="35">
        <f>IFERROR(capacityTbl[[#This Row],[Production Days]]/capacityTbl[[#This Row],[Weighted Working day]],0)</f>
        <v>0</v>
      </c>
      <c r="L297" s="31" cm="1">
        <f t="array" ref="L297">INDEX(ProductivityBaseline[ProductivityBaseline],MATCH(capacityTbl[[#This Row],[Process]]&amp;capacityTbl[[#This Row],[Year]],ProductivityBaseline[Title]&amp;ProductivityBaseline[Year to use],0))</f>
        <v>6.2203672787979967</v>
      </c>
      <c r="M297" s="32">
        <f>IFERROR(capacityTbl[[#This Row],[No. of Transaction]]/(capacityTbl[[#This Row],[Productivity Baseline (Transation/FTE/Day)]]*capacityTbl[[#This Row],[Weighted Working day]]),0)</f>
        <v>0</v>
      </c>
      <c r="N297" s="33">
        <f>IFERROR(capacityTbl[[#This Row],[No. of Transaction]]/capacityTbl[[#This Row],[Production Days]],0)</f>
        <v>0</v>
      </c>
    </row>
    <row r="298" spans="1:14" x14ac:dyDescent="0.25">
      <c r="A298" s="49">
        <v>2025</v>
      </c>
      <c r="B298" s="25" t="s">
        <v>25</v>
      </c>
      <c r="C298" s="26" t="s">
        <v>36</v>
      </c>
      <c r="D298" s="87"/>
      <c r="E298" s="88"/>
      <c r="F298" s="29" cm="1">
        <f t="array" ref="F298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8" s="30" cm="1">
        <f t="array" ref="G29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8" s="30" cm="1">
        <f t="array" ref="H298">INDEX(stdWorkingDays[],MATCH(capacityTbl[[#This Row],[Year]]&amp;capacityTbl[[#This Row],[Month]],stdWorkingDays[Year]&amp;stdWorkingDays[Month],0),MATCH("China",stdWorkingDays[#Headers],0))</f>
        <v>18</v>
      </c>
      <c r="I298" s="30" cm="1">
        <f t="array" ref="I298">INDEX(stdWorkingDays[],MATCH(capacityTbl[[#This Row],[Year]]&amp;capacityTbl[[#This Row],[Month]],stdWorkingDays[Year]&amp;stdWorkingDays[Month],0),MATCH("Philippine",stdWorkingDays[#Headers],0))</f>
        <v>22</v>
      </c>
      <c r="J298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298" s="35">
        <f>IFERROR(capacityTbl[[#This Row],[Production Days]]/capacityTbl[[#This Row],[Weighted Working day]],0)</f>
        <v>0</v>
      </c>
      <c r="L298" s="31" cm="1">
        <f t="array" ref="L298">INDEX(ProductivityBaseline[ProductivityBaseline],MATCH(capacityTbl[[#This Row],[Process]]&amp;capacityTbl[[#This Row],[Year]],ProductivityBaseline[Title]&amp;ProductivityBaseline[Year to use],0))</f>
        <v>6.2203672787979967</v>
      </c>
      <c r="M298" s="32">
        <f>IFERROR(capacityTbl[[#This Row],[No. of Transaction]]/(capacityTbl[[#This Row],[Productivity Baseline (Transation/FTE/Day)]]*capacityTbl[[#This Row],[Weighted Working day]]),0)</f>
        <v>0</v>
      </c>
      <c r="N298" s="33">
        <f>IFERROR(capacityTbl[[#This Row],[No. of Transaction]]/capacityTbl[[#This Row],[Production Days]],0)</f>
        <v>0</v>
      </c>
    </row>
    <row r="299" spans="1:14" x14ac:dyDescent="0.25">
      <c r="A299" s="49">
        <v>2025</v>
      </c>
      <c r="B299" s="25" t="s">
        <v>26</v>
      </c>
      <c r="C299" s="26" t="s">
        <v>36</v>
      </c>
      <c r="D299" s="87"/>
      <c r="E299" s="88"/>
      <c r="F299" s="29" cm="1">
        <f t="array" ref="F299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299" s="30" cm="1">
        <f t="array" ref="G29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299" s="30" cm="1">
        <f t="array" ref="H299">INDEX(stdWorkingDays[],MATCH(capacityTbl[[#This Row],[Year]]&amp;capacityTbl[[#This Row],[Month]],stdWorkingDays[Year]&amp;stdWorkingDays[Month],0),MATCH("China",stdWorkingDays[#Headers],0))</f>
        <v>20</v>
      </c>
      <c r="I299" s="30" cm="1">
        <f t="array" ref="I299">INDEX(stdWorkingDays[],MATCH(capacityTbl[[#This Row],[Year]]&amp;capacityTbl[[#This Row],[Month]],stdWorkingDays[Year]&amp;stdWorkingDays[Month],0),MATCH("Philippine",stdWorkingDays[#Headers],0))</f>
        <v>20</v>
      </c>
      <c r="J299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299" s="35">
        <f>IFERROR(capacityTbl[[#This Row],[Production Days]]/capacityTbl[[#This Row],[Weighted Working day]],0)</f>
        <v>0</v>
      </c>
      <c r="L299" s="31" cm="1">
        <f t="array" ref="L299">INDEX(ProductivityBaseline[ProductivityBaseline],MATCH(capacityTbl[[#This Row],[Process]]&amp;capacityTbl[[#This Row],[Year]],ProductivityBaseline[Title]&amp;ProductivityBaseline[Year to use],0))</f>
        <v>6.2203672787979967</v>
      </c>
      <c r="M299" s="32">
        <f>IFERROR(capacityTbl[[#This Row],[No. of Transaction]]/(capacityTbl[[#This Row],[Productivity Baseline (Transation/FTE/Day)]]*capacityTbl[[#This Row],[Weighted Working day]]),0)</f>
        <v>0</v>
      </c>
      <c r="N299" s="33">
        <f>IFERROR(capacityTbl[[#This Row],[No. of Transaction]]/capacityTbl[[#This Row],[Production Days]],0)</f>
        <v>0</v>
      </c>
    </row>
    <row r="300" spans="1:14" x14ac:dyDescent="0.25">
      <c r="A300" s="50">
        <v>2025</v>
      </c>
      <c r="B300" s="38" t="s">
        <v>27</v>
      </c>
      <c r="C300" s="39" t="s">
        <v>36</v>
      </c>
      <c r="D300" s="89"/>
      <c r="E300" s="90"/>
      <c r="F300" s="42" cm="1">
        <f t="array" ref="F300">IFERROR(INDEX(FTE_stdWD[FTE],MATCH(capacityTbl[[#This Row],[Process]]&amp;capacityTbl[[#This Row],[Month]]&amp;capacityTbl[[#This Row],[Year]]&amp;"WUH",FTE_stdWD[Service Description]&amp;FTE_stdWD[Month]&amp;FTE_stdWD[Year]&amp;FTE_stdWD[Country],0)),0)</f>
        <v>3</v>
      </c>
      <c r="G300" s="43" cm="1">
        <f t="array" ref="G30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0" s="43" cm="1">
        <f t="array" ref="H300">INDEX(stdWorkingDays[],MATCH(capacityTbl[[#This Row],[Year]]&amp;capacityTbl[[#This Row],[Month]],stdWorkingDays[Year]&amp;stdWorkingDays[Month],0),MATCH("China",stdWorkingDays[#Headers],0))</f>
        <v>23</v>
      </c>
      <c r="I300" s="43" cm="1">
        <f t="array" ref="I300">INDEX(stdWorkingDays[],MATCH(capacityTbl[[#This Row],[Year]]&amp;capacityTbl[[#This Row],[Month]],stdWorkingDays[Year]&amp;stdWorkingDays[Month],0),MATCH("Philippine",stdWorkingDays[#Headers],0))</f>
        <v>18</v>
      </c>
      <c r="J300" s="44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00" s="45">
        <f>IFERROR(capacityTbl[[#This Row],[Production Days]]/capacityTbl[[#This Row],[Weighted Working day]],0)</f>
        <v>0</v>
      </c>
      <c r="L300" s="44" cm="1">
        <f t="array" ref="L300">INDEX(ProductivityBaseline[ProductivityBaseline],MATCH(capacityTbl[[#This Row],[Process]]&amp;capacityTbl[[#This Row],[Year]],ProductivityBaseline[Title]&amp;ProductivityBaseline[Year to use],0))</f>
        <v>6.2203672787979967</v>
      </c>
      <c r="M300" s="46">
        <f>IFERROR(capacityTbl[[#This Row],[No. of Transaction]]/(capacityTbl[[#This Row],[Productivity Baseline (Transation/FTE/Day)]]*capacityTbl[[#This Row],[Weighted Working day]]),0)</f>
        <v>0</v>
      </c>
      <c r="N300" s="47">
        <f>IFERROR(capacityTbl[[#This Row],[No. of Transaction]]/capacityTbl[[#This Row],[Production Days]],0)</f>
        <v>0</v>
      </c>
    </row>
    <row r="301" spans="1:14" x14ac:dyDescent="0.25">
      <c r="A301" s="24">
        <v>2025</v>
      </c>
      <c r="B301" s="110" t="s">
        <v>14</v>
      </c>
      <c r="C301" s="111" t="s">
        <v>192</v>
      </c>
      <c r="D301" s="87"/>
      <c r="E301" s="88"/>
      <c r="F301" s="29" cm="1">
        <f t="array" ref="F30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1" s="30" cm="1">
        <f t="array" ref="G30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1" s="30" cm="1">
        <f t="array" ref="H301">INDEX(stdWorkingDays[],MATCH(capacityTbl[[#This Row],[Year]]&amp;capacityTbl[[#This Row],[Month]],stdWorkingDays[Year]&amp;stdWorkingDays[Month],0),MATCH("China",stdWorkingDays[#Headers],0))</f>
        <v>19</v>
      </c>
      <c r="I301" s="30" cm="1">
        <f t="array" ref="I301">INDEX(stdWorkingDays[],MATCH(capacityTbl[[#This Row],[Year]]&amp;capacityTbl[[#This Row],[Month]],stdWorkingDays[Year]&amp;stdWorkingDays[Month],0),MATCH("Philippine",stdWorkingDays[#Headers],0))</f>
        <v>21</v>
      </c>
      <c r="J30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1" s="35">
        <f>IFERROR(capacityTbl[[#This Row],[Production Days]]/capacityTbl[[#This Row],[Weighted Working day]],0)</f>
        <v>0</v>
      </c>
      <c r="L301" s="31" cm="1">
        <f t="array" ref="L301">INDEX(ProductivityBaseline[ProductivityBaseline],MATCH(capacityTbl[[#This Row],[Process]]&amp;capacityTbl[[#This Row],[Year]],ProductivityBaseline[Title]&amp;ProductivityBaseline[Year to use],0))</f>
        <v>0</v>
      </c>
      <c r="M301" s="32">
        <f>IFERROR(capacityTbl[[#This Row],[No. of Transaction]]/(capacityTbl[[#This Row],[Productivity Baseline (Transation/FTE/Day)]]*capacityTbl[[#This Row],[Weighted Working day]]),0)</f>
        <v>0</v>
      </c>
      <c r="N301" s="33">
        <f>IFERROR(capacityTbl[[#This Row],[No. of Transaction]]/capacityTbl[[#This Row],[Production Days]],0)</f>
        <v>0</v>
      </c>
    </row>
    <row r="302" spans="1:14" x14ac:dyDescent="0.25">
      <c r="A302" s="24">
        <v>2025</v>
      </c>
      <c r="B302" s="110" t="s">
        <v>17</v>
      </c>
      <c r="C302" s="111" t="s">
        <v>192</v>
      </c>
      <c r="D302" s="87"/>
      <c r="E302" s="88"/>
      <c r="F302" s="29" cm="1">
        <f t="array" ref="F30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2" s="30" cm="1">
        <f t="array" ref="G30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2" s="30" cm="1">
        <f t="array" ref="H302">INDEX(stdWorkingDays[],MATCH(capacityTbl[[#This Row],[Year]]&amp;capacityTbl[[#This Row],[Month]],stdWorkingDays[Year]&amp;stdWorkingDays[Month],0),MATCH("China",stdWorkingDays[#Headers],0))</f>
        <v>19</v>
      </c>
      <c r="I302" s="30" cm="1">
        <f t="array" ref="I302">INDEX(stdWorkingDays[],MATCH(capacityTbl[[#This Row],[Year]]&amp;capacityTbl[[#This Row],[Month]],stdWorkingDays[Year]&amp;stdWorkingDays[Month],0),MATCH("Philippine",stdWorkingDays[#Headers],0))</f>
        <v>20</v>
      </c>
      <c r="J30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2" s="35">
        <f>IFERROR(capacityTbl[[#This Row],[Production Days]]/capacityTbl[[#This Row],[Weighted Working day]],0)</f>
        <v>0</v>
      </c>
      <c r="L302" s="31" cm="1">
        <f t="array" ref="L302">INDEX(ProductivityBaseline[ProductivityBaseline],MATCH(capacityTbl[[#This Row],[Process]]&amp;capacityTbl[[#This Row],[Year]],ProductivityBaseline[Title]&amp;ProductivityBaseline[Year to use],0))</f>
        <v>0</v>
      </c>
      <c r="M302" s="32">
        <f>IFERROR(capacityTbl[[#This Row],[No. of Transaction]]/(capacityTbl[[#This Row],[Productivity Baseline (Transation/FTE/Day)]]*capacityTbl[[#This Row],[Weighted Working day]]),0)</f>
        <v>0</v>
      </c>
      <c r="N302" s="33">
        <f>IFERROR(capacityTbl[[#This Row],[No. of Transaction]]/capacityTbl[[#This Row],[Production Days]],0)</f>
        <v>0</v>
      </c>
    </row>
    <row r="303" spans="1:14" x14ac:dyDescent="0.25">
      <c r="A303" s="24">
        <v>2025</v>
      </c>
      <c r="B303" s="110" t="s">
        <v>18</v>
      </c>
      <c r="C303" s="111" t="s">
        <v>192</v>
      </c>
      <c r="D303" s="87"/>
      <c r="E303" s="88"/>
      <c r="F303" s="29" cm="1">
        <f t="array" ref="F30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3" s="30" cm="1">
        <f t="array" ref="G30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3" s="30" cm="1">
        <f t="array" ref="H303">INDEX(stdWorkingDays[],MATCH(capacityTbl[[#This Row],[Year]]&amp;capacityTbl[[#This Row],[Month]],stdWorkingDays[Year]&amp;stdWorkingDays[Month],0),MATCH("China",stdWorkingDays[#Headers],0))</f>
        <v>21</v>
      </c>
      <c r="I303" s="30" cm="1">
        <f t="array" ref="I303">INDEX(stdWorkingDays[],MATCH(capacityTbl[[#This Row],[Year]]&amp;capacityTbl[[#This Row],[Month]],stdWorkingDays[Year]&amp;stdWorkingDays[Month],0),MATCH("Philippine",stdWorkingDays[#Headers],0))</f>
        <v>21</v>
      </c>
      <c r="J30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3" s="35">
        <f>IFERROR(capacityTbl[[#This Row],[Production Days]]/capacityTbl[[#This Row],[Weighted Working day]],0)</f>
        <v>0</v>
      </c>
      <c r="L303" s="31" cm="1">
        <f t="array" ref="L303">INDEX(ProductivityBaseline[ProductivityBaseline],MATCH(capacityTbl[[#This Row],[Process]]&amp;capacityTbl[[#This Row],[Year]],ProductivityBaseline[Title]&amp;ProductivityBaseline[Year to use],0))</f>
        <v>0</v>
      </c>
      <c r="M303" s="32">
        <f>IFERROR(capacityTbl[[#This Row],[No. of Transaction]]/(capacityTbl[[#This Row],[Productivity Baseline (Transation/FTE/Day)]]*capacityTbl[[#This Row],[Weighted Working day]]),0)</f>
        <v>0</v>
      </c>
      <c r="N303" s="33">
        <f>IFERROR(capacityTbl[[#This Row],[No. of Transaction]]/capacityTbl[[#This Row],[Production Days]],0)</f>
        <v>0</v>
      </c>
    </row>
    <row r="304" spans="1:14" x14ac:dyDescent="0.25">
      <c r="A304" s="24">
        <v>2025</v>
      </c>
      <c r="B304" s="110" t="s">
        <v>19</v>
      </c>
      <c r="C304" s="111" t="s">
        <v>192</v>
      </c>
      <c r="D304" s="87"/>
      <c r="E304" s="88"/>
      <c r="F304" s="29" cm="1">
        <f t="array" ref="F30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4" s="30" cm="1">
        <f t="array" ref="G30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4" s="30" cm="1">
        <f t="array" ref="H304">INDEX(stdWorkingDays[],MATCH(capacityTbl[[#This Row],[Year]]&amp;capacityTbl[[#This Row],[Month]],stdWorkingDays[Year]&amp;stdWorkingDays[Month],0),MATCH("China",stdWorkingDays[#Headers],0))</f>
        <v>22</v>
      </c>
      <c r="I304" s="30" cm="1">
        <f t="array" ref="I304">INDEX(stdWorkingDays[],MATCH(capacityTbl[[#This Row],[Year]]&amp;capacityTbl[[#This Row],[Month]],stdWorkingDays[Year]&amp;stdWorkingDays[Month],0),MATCH("Philippine",stdWorkingDays[#Headers],0))</f>
        <v>19</v>
      </c>
      <c r="J30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4" s="35">
        <f>IFERROR(capacityTbl[[#This Row],[Production Days]]/capacityTbl[[#This Row],[Weighted Working day]],0)</f>
        <v>0</v>
      </c>
      <c r="L304" s="31" cm="1">
        <f t="array" ref="L304">INDEX(ProductivityBaseline[ProductivityBaseline],MATCH(capacityTbl[[#This Row],[Process]]&amp;capacityTbl[[#This Row],[Year]],ProductivityBaseline[Title]&amp;ProductivityBaseline[Year to use],0))</f>
        <v>0</v>
      </c>
      <c r="M304" s="32">
        <f>IFERROR(capacityTbl[[#This Row],[No. of Transaction]]/(capacityTbl[[#This Row],[Productivity Baseline (Transation/FTE/Day)]]*capacityTbl[[#This Row],[Weighted Working day]]),0)</f>
        <v>0</v>
      </c>
      <c r="N304" s="33">
        <f>IFERROR(capacityTbl[[#This Row],[No. of Transaction]]/capacityTbl[[#This Row],[Production Days]],0)</f>
        <v>0</v>
      </c>
    </row>
    <row r="305" spans="1:14" x14ac:dyDescent="0.25">
      <c r="A305" s="24">
        <v>2025</v>
      </c>
      <c r="B305" s="110" t="s">
        <v>20</v>
      </c>
      <c r="C305" s="111" t="s">
        <v>192</v>
      </c>
      <c r="D305" s="87"/>
      <c r="E305" s="88"/>
      <c r="F305" s="29" cm="1">
        <f t="array" ref="F30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5" s="30" cm="1">
        <f t="array" ref="G30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5" s="30" cm="1">
        <f t="array" ref="H305">INDEX(stdWorkingDays[],MATCH(capacityTbl[[#This Row],[Year]]&amp;capacityTbl[[#This Row],[Month]],stdWorkingDays[Year]&amp;stdWorkingDays[Month],0),MATCH("China",stdWorkingDays[#Headers],0))</f>
        <v>19</v>
      </c>
      <c r="I305" s="30" cm="1">
        <f t="array" ref="I305">INDEX(stdWorkingDays[],MATCH(capacityTbl[[#This Row],[Year]]&amp;capacityTbl[[#This Row],[Month]],stdWorkingDays[Year]&amp;stdWorkingDays[Month],0),MATCH("Philippine",stdWorkingDays[#Headers],0))</f>
        <v>21</v>
      </c>
      <c r="J30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5" s="35">
        <f>IFERROR(capacityTbl[[#This Row],[Production Days]]/capacityTbl[[#This Row],[Weighted Working day]],0)</f>
        <v>0</v>
      </c>
      <c r="L305" s="31" cm="1">
        <f t="array" ref="L305">INDEX(ProductivityBaseline[ProductivityBaseline],MATCH(capacityTbl[[#This Row],[Process]]&amp;capacityTbl[[#This Row],[Year]],ProductivityBaseline[Title]&amp;ProductivityBaseline[Year to use],0))</f>
        <v>0</v>
      </c>
      <c r="M305" s="32">
        <f>IFERROR(capacityTbl[[#This Row],[No. of Transaction]]/(capacityTbl[[#This Row],[Productivity Baseline (Transation/FTE/Day)]]*capacityTbl[[#This Row],[Weighted Working day]]),0)</f>
        <v>0</v>
      </c>
      <c r="N305" s="33">
        <f>IFERROR(capacityTbl[[#This Row],[No. of Transaction]]/capacityTbl[[#This Row],[Production Days]],0)</f>
        <v>0</v>
      </c>
    </row>
    <row r="306" spans="1:14" x14ac:dyDescent="0.25">
      <c r="A306" s="24">
        <v>2025</v>
      </c>
      <c r="B306" s="110" t="s">
        <v>21</v>
      </c>
      <c r="C306" s="111" t="s">
        <v>192</v>
      </c>
      <c r="D306" s="87"/>
      <c r="E306" s="88"/>
      <c r="F306" s="29" cm="1">
        <f t="array" ref="F30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6" s="30" cm="1">
        <f t="array" ref="G30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6" s="30" cm="1">
        <f t="array" ref="H306">INDEX(stdWorkingDays[],MATCH(capacityTbl[[#This Row],[Year]]&amp;capacityTbl[[#This Row],[Month]],stdWorkingDays[Year]&amp;stdWorkingDays[Month],0),MATCH("China",stdWorkingDays[#Headers],0))</f>
        <v>20</v>
      </c>
      <c r="I306" s="30" cm="1">
        <f t="array" ref="I306">INDEX(stdWorkingDays[],MATCH(capacityTbl[[#This Row],[Year]]&amp;capacityTbl[[#This Row],[Month]],stdWorkingDays[Year]&amp;stdWorkingDays[Month],0),MATCH("Philippine",stdWorkingDays[#Headers],0))</f>
        <v>19</v>
      </c>
      <c r="J30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6" s="35">
        <f>IFERROR(capacityTbl[[#This Row],[Production Days]]/capacityTbl[[#This Row],[Weighted Working day]],0)</f>
        <v>0</v>
      </c>
      <c r="L306" s="31" cm="1">
        <f t="array" ref="L306">INDEX(ProductivityBaseline[ProductivityBaseline],MATCH(capacityTbl[[#This Row],[Process]]&amp;capacityTbl[[#This Row],[Year]],ProductivityBaseline[Title]&amp;ProductivityBaseline[Year to use],0))</f>
        <v>0</v>
      </c>
      <c r="M306" s="32">
        <f>IFERROR(capacityTbl[[#This Row],[No. of Transaction]]/(capacityTbl[[#This Row],[Productivity Baseline (Transation/FTE/Day)]]*capacityTbl[[#This Row],[Weighted Working day]]),0)</f>
        <v>0</v>
      </c>
      <c r="N306" s="33">
        <f>IFERROR(capacityTbl[[#This Row],[No. of Transaction]]/capacityTbl[[#This Row],[Production Days]],0)</f>
        <v>0</v>
      </c>
    </row>
    <row r="307" spans="1:14" x14ac:dyDescent="0.25">
      <c r="A307" s="24">
        <v>2025</v>
      </c>
      <c r="B307" s="110" t="s">
        <v>22</v>
      </c>
      <c r="C307" s="111" t="s">
        <v>192</v>
      </c>
      <c r="D307" s="87"/>
      <c r="E307" s="88"/>
      <c r="F307" s="29" cm="1">
        <f t="array" ref="F30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7" s="30" cm="1">
        <f t="array" ref="G30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7" s="30" cm="1">
        <f t="array" ref="H307">INDEX(stdWorkingDays[],MATCH(capacityTbl[[#This Row],[Year]]&amp;capacityTbl[[#This Row],[Month]],stdWorkingDays[Year]&amp;stdWorkingDays[Month],0),MATCH("China",stdWorkingDays[#Headers],0))</f>
        <v>23</v>
      </c>
      <c r="I307" s="30" cm="1">
        <f t="array" ref="I307">INDEX(stdWorkingDays[],MATCH(capacityTbl[[#This Row],[Year]]&amp;capacityTbl[[#This Row],[Month]],stdWorkingDays[Year]&amp;stdWorkingDays[Month],0),MATCH("Philippine",stdWorkingDays[#Headers],0))</f>
        <v>23</v>
      </c>
      <c r="J30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7" s="35">
        <f>IFERROR(capacityTbl[[#This Row],[Production Days]]/capacityTbl[[#This Row],[Weighted Working day]],0)</f>
        <v>0</v>
      </c>
      <c r="L307" s="31" cm="1">
        <f t="array" ref="L307">INDEX(ProductivityBaseline[ProductivityBaseline],MATCH(capacityTbl[[#This Row],[Process]]&amp;capacityTbl[[#This Row],[Year]],ProductivityBaseline[Title]&amp;ProductivityBaseline[Year to use],0))</f>
        <v>0</v>
      </c>
      <c r="M307" s="32">
        <f>IFERROR(capacityTbl[[#This Row],[No. of Transaction]]/(capacityTbl[[#This Row],[Productivity Baseline (Transation/FTE/Day)]]*capacityTbl[[#This Row],[Weighted Working day]]),0)</f>
        <v>0</v>
      </c>
      <c r="N307" s="33">
        <f>IFERROR(capacityTbl[[#This Row],[No. of Transaction]]/capacityTbl[[#This Row],[Production Days]],0)</f>
        <v>0</v>
      </c>
    </row>
    <row r="308" spans="1:14" x14ac:dyDescent="0.25">
      <c r="A308" s="24">
        <v>2025</v>
      </c>
      <c r="B308" s="110" t="s">
        <v>46</v>
      </c>
      <c r="C308" s="111" t="s">
        <v>192</v>
      </c>
      <c r="D308" s="87"/>
      <c r="E308" s="88"/>
      <c r="F308" s="29" cm="1">
        <f t="array" ref="F30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8" s="30" cm="1">
        <f t="array" ref="G30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8" s="30" cm="1">
        <f t="array" ref="H308">INDEX(stdWorkingDays[],MATCH(capacityTbl[[#This Row],[Year]]&amp;capacityTbl[[#This Row],[Month]],stdWorkingDays[Year]&amp;stdWorkingDays[Month],0),MATCH("China",stdWorkingDays[#Headers],0))</f>
        <v>21</v>
      </c>
      <c r="I308" s="30" cm="1">
        <f t="array" ref="I308">INDEX(stdWorkingDays[],MATCH(capacityTbl[[#This Row],[Year]]&amp;capacityTbl[[#This Row],[Month]],stdWorkingDays[Year]&amp;stdWorkingDays[Month],0),MATCH("Philippine",stdWorkingDays[#Headers],0))</f>
        <v>19</v>
      </c>
      <c r="J30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8" s="35">
        <f>IFERROR(capacityTbl[[#This Row],[Production Days]]/capacityTbl[[#This Row],[Weighted Working day]],0)</f>
        <v>0</v>
      </c>
      <c r="L308" s="31" cm="1">
        <f t="array" ref="L308">INDEX(ProductivityBaseline[ProductivityBaseline],MATCH(capacityTbl[[#This Row],[Process]]&amp;capacityTbl[[#This Row],[Year]],ProductivityBaseline[Title]&amp;ProductivityBaseline[Year to use],0))</f>
        <v>0</v>
      </c>
      <c r="M308" s="32">
        <f>IFERROR(capacityTbl[[#This Row],[No. of Transaction]]/(capacityTbl[[#This Row],[Productivity Baseline (Transation/FTE/Day)]]*capacityTbl[[#This Row],[Weighted Working day]]),0)</f>
        <v>0</v>
      </c>
      <c r="N308" s="33">
        <f>IFERROR(capacityTbl[[#This Row],[No. of Transaction]]/capacityTbl[[#This Row],[Production Days]],0)</f>
        <v>0</v>
      </c>
    </row>
    <row r="309" spans="1:14" x14ac:dyDescent="0.25">
      <c r="A309" s="24">
        <v>2025</v>
      </c>
      <c r="B309" s="110" t="s">
        <v>33</v>
      </c>
      <c r="C309" s="111" t="s">
        <v>192</v>
      </c>
      <c r="D309" s="87"/>
      <c r="E309" s="88"/>
      <c r="F309" s="29" cm="1">
        <f t="array" ref="F30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09" s="30" cm="1">
        <f t="array" ref="G30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09" s="30" cm="1">
        <f t="array" ref="H309">INDEX(stdWorkingDays[],MATCH(capacityTbl[[#This Row],[Year]]&amp;capacityTbl[[#This Row],[Month]],stdWorkingDays[Year]&amp;stdWorkingDays[Month],0),MATCH("China",stdWorkingDays[#Headers],0))</f>
        <v>23</v>
      </c>
      <c r="I309" s="30" cm="1">
        <f t="array" ref="I309">INDEX(stdWorkingDays[],MATCH(capacityTbl[[#This Row],[Year]]&amp;capacityTbl[[#This Row],[Month]],stdWorkingDays[Year]&amp;stdWorkingDays[Month],0),MATCH("Philippine",stdWorkingDays[#Headers],0))</f>
        <v>22</v>
      </c>
      <c r="J30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09" s="35">
        <f>IFERROR(capacityTbl[[#This Row],[Production Days]]/capacityTbl[[#This Row],[Weighted Working day]],0)</f>
        <v>0</v>
      </c>
      <c r="L309" s="31" cm="1">
        <f t="array" ref="L309">INDEX(ProductivityBaseline[ProductivityBaseline],MATCH(capacityTbl[[#This Row],[Process]]&amp;capacityTbl[[#This Row],[Year]],ProductivityBaseline[Title]&amp;ProductivityBaseline[Year to use],0))</f>
        <v>0</v>
      </c>
      <c r="M309" s="32">
        <f>IFERROR(capacityTbl[[#This Row],[No. of Transaction]]/(capacityTbl[[#This Row],[Productivity Baseline (Transation/FTE/Day)]]*capacityTbl[[#This Row],[Weighted Working day]]),0)</f>
        <v>0</v>
      </c>
      <c r="N309" s="33">
        <f>IFERROR(capacityTbl[[#This Row],[No. of Transaction]]/capacityTbl[[#This Row],[Production Days]],0)</f>
        <v>0</v>
      </c>
    </row>
    <row r="310" spans="1:14" x14ac:dyDescent="0.25">
      <c r="A310" s="24">
        <v>2025</v>
      </c>
      <c r="B310" s="110" t="s">
        <v>25</v>
      </c>
      <c r="C310" s="111" t="s">
        <v>192</v>
      </c>
      <c r="D310" s="87"/>
      <c r="E310" s="88"/>
      <c r="F310" s="29" cm="1">
        <f t="array" ref="F31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0" s="30" cm="1">
        <f t="array" ref="G31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0" s="30" cm="1">
        <f t="array" ref="H310">INDEX(stdWorkingDays[],MATCH(capacityTbl[[#This Row],[Year]]&amp;capacityTbl[[#This Row],[Month]],stdWorkingDays[Year]&amp;stdWorkingDays[Month],0),MATCH("China",stdWorkingDays[#Headers],0))</f>
        <v>18</v>
      </c>
      <c r="I310" s="30" cm="1">
        <f t="array" ref="I310">INDEX(stdWorkingDays[],MATCH(capacityTbl[[#This Row],[Year]]&amp;capacityTbl[[#This Row],[Month]],stdWorkingDays[Year]&amp;stdWorkingDays[Month],0),MATCH("Philippine",stdWorkingDays[#Headers],0))</f>
        <v>22</v>
      </c>
      <c r="J31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0" s="35">
        <f>IFERROR(capacityTbl[[#This Row],[Production Days]]/capacityTbl[[#This Row],[Weighted Working day]],0)</f>
        <v>0</v>
      </c>
      <c r="L310" s="31" cm="1">
        <f t="array" ref="L310">INDEX(ProductivityBaseline[ProductivityBaseline],MATCH(capacityTbl[[#This Row],[Process]]&amp;capacityTbl[[#This Row],[Year]],ProductivityBaseline[Title]&amp;ProductivityBaseline[Year to use],0))</f>
        <v>0</v>
      </c>
      <c r="M310" s="32">
        <f>IFERROR(capacityTbl[[#This Row],[No. of Transaction]]/(capacityTbl[[#This Row],[Productivity Baseline (Transation/FTE/Day)]]*capacityTbl[[#This Row],[Weighted Working day]]),0)</f>
        <v>0</v>
      </c>
      <c r="N310" s="33">
        <f>IFERROR(capacityTbl[[#This Row],[No. of Transaction]]/capacityTbl[[#This Row],[Production Days]],0)</f>
        <v>0</v>
      </c>
    </row>
    <row r="311" spans="1:14" x14ac:dyDescent="0.25">
      <c r="A311" s="24">
        <v>2025</v>
      </c>
      <c r="B311" s="110" t="s">
        <v>26</v>
      </c>
      <c r="C311" s="111" t="s">
        <v>192</v>
      </c>
      <c r="D311" s="87"/>
      <c r="E311" s="88"/>
      <c r="F311" s="29" cm="1">
        <f t="array" ref="F31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1" s="30" cm="1">
        <f t="array" ref="G31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1" s="30" cm="1">
        <f t="array" ref="H311">INDEX(stdWorkingDays[],MATCH(capacityTbl[[#This Row],[Year]]&amp;capacityTbl[[#This Row],[Month]],stdWorkingDays[Year]&amp;stdWorkingDays[Month],0),MATCH("China",stdWorkingDays[#Headers],0))</f>
        <v>20</v>
      </c>
      <c r="I311" s="30" cm="1">
        <f t="array" ref="I311">INDEX(stdWorkingDays[],MATCH(capacityTbl[[#This Row],[Year]]&amp;capacityTbl[[#This Row],[Month]],stdWorkingDays[Year]&amp;stdWorkingDays[Month],0),MATCH("Philippine",stdWorkingDays[#Headers],0))</f>
        <v>20</v>
      </c>
      <c r="J31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1" s="35">
        <f>IFERROR(capacityTbl[[#This Row],[Production Days]]/capacityTbl[[#This Row],[Weighted Working day]],0)</f>
        <v>0</v>
      </c>
      <c r="L311" s="31" cm="1">
        <f t="array" ref="L311">INDEX(ProductivityBaseline[ProductivityBaseline],MATCH(capacityTbl[[#This Row],[Process]]&amp;capacityTbl[[#This Row],[Year]],ProductivityBaseline[Title]&amp;ProductivityBaseline[Year to use],0))</f>
        <v>0</v>
      </c>
      <c r="M311" s="32">
        <f>IFERROR(capacityTbl[[#This Row],[No. of Transaction]]/(capacityTbl[[#This Row],[Productivity Baseline (Transation/FTE/Day)]]*capacityTbl[[#This Row],[Weighted Working day]]),0)</f>
        <v>0</v>
      </c>
      <c r="N311" s="33">
        <f>IFERROR(capacityTbl[[#This Row],[No. of Transaction]]/capacityTbl[[#This Row],[Production Days]],0)</f>
        <v>0</v>
      </c>
    </row>
    <row r="312" spans="1:14" x14ac:dyDescent="0.25">
      <c r="A312" s="37">
        <v>2025</v>
      </c>
      <c r="B312" s="112" t="s">
        <v>27</v>
      </c>
      <c r="C312" s="113" t="s">
        <v>192</v>
      </c>
      <c r="D312" s="89"/>
      <c r="E312" s="90"/>
      <c r="F312" s="42" cm="1">
        <f t="array" ref="F31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2" s="43" cm="1">
        <f t="array" ref="G31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2" s="43" cm="1">
        <f t="array" ref="H312">INDEX(stdWorkingDays[],MATCH(capacityTbl[[#This Row],[Year]]&amp;capacityTbl[[#This Row],[Month]],stdWorkingDays[Year]&amp;stdWorkingDays[Month],0),MATCH("China",stdWorkingDays[#Headers],0))</f>
        <v>23</v>
      </c>
      <c r="I312" s="43" cm="1">
        <f t="array" ref="I312">INDEX(stdWorkingDays[],MATCH(capacityTbl[[#This Row],[Year]]&amp;capacityTbl[[#This Row],[Month]],stdWorkingDays[Year]&amp;stdWorkingDays[Month],0),MATCH("Philippine",stdWorkingDays[#Headers],0))</f>
        <v>18</v>
      </c>
      <c r="J312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2" s="45">
        <f>IFERROR(capacityTbl[[#This Row],[Production Days]]/capacityTbl[[#This Row],[Weighted Working day]],0)</f>
        <v>0</v>
      </c>
      <c r="L312" s="44" cm="1">
        <f t="array" ref="L312">INDEX(ProductivityBaseline[ProductivityBaseline],MATCH(capacityTbl[[#This Row],[Process]]&amp;capacityTbl[[#This Row],[Year]],ProductivityBaseline[Title]&amp;ProductivityBaseline[Year to use],0))</f>
        <v>0</v>
      </c>
      <c r="M312" s="46">
        <f>IFERROR(capacityTbl[[#This Row],[No. of Transaction]]/(capacityTbl[[#This Row],[Productivity Baseline (Transation/FTE/Day)]]*capacityTbl[[#This Row],[Weighted Working day]]),0)</f>
        <v>0</v>
      </c>
      <c r="N312" s="47">
        <f>IFERROR(capacityTbl[[#This Row],[No. of Transaction]]/capacityTbl[[#This Row],[Production Days]],0)</f>
        <v>0</v>
      </c>
    </row>
    <row r="313" spans="1:14" x14ac:dyDescent="0.25">
      <c r="A313" s="24">
        <v>2025</v>
      </c>
      <c r="B313" s="110" t="s">
        <v>14</v>
      </c>
      <c r="C313" s="111" t="s">
        <v>300</v>
      </c>
      <c r="D313" s="87">
        <v>512</v>
      </c>
      <c r="E313" s="88">
        <v>80.3</v>
      </c>
      <c r="F313" s="29" cm="1">
        <f t="array" ref="F31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3" s="30" cm="1">
        <f t="array" ref="G31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3" s="30" cm="1">
        <f t="array" ref="H313">INDEX(stdWorkingDays[],MATCH(capacityTbl[[#This Row],[Year]]&amp;capacityTbl[[#This Row],[Month]],stdWorkingDays[Year]&amp;stdWorkingDays[Month],0),MATCH("China",stdWorkingDays[#Headers],0))</f>
        <v>19</v>
      </c>
      <c r="I313" s="30" cm="1">
        <f t="array" ref="I313">INDEX(stdWorkingDays[],MATCH(capacityTbl[[#This Row],[Year]]&amp;capacityTbl[[#This Row],[Month]],stdWorkingDays[Year]&amp;stdWorkingDays[Month],0),MATCH("Philippine",stdWorkingDays[#Headers],0))</f>
        <v>21</v>
      </c>
      <c r="J31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3" s="35">
        <f>IFERROR(capacityTbl[[#This Row],[Production Days]]/capacityTbl[[#This Row],[Weighted Working day]],0)</f>
        <v>0</v>
      </c>
      <c r="L313" s="31" cm="1">
        <f t="array" ref="L313">INDEX(ProductivityBaseline[ProductivityBaseline],MATCH(capacityTbl[[#This Row],[Process]]&amp;capacityTbl[[#This Row],[Year]],ProductivityBaseline[Title]&amp;ProductivityBaseline[Year to use],0))</f>
        <v>0</v>
      </c>
      <c r="M313" s="32">
        <f>IFERROR(capacityTbl[[#This Row],[No. of Transaction]]/(capacityTbl[[#This Row],[Productivity Baseline (Transation/FTE/Day)]]*capacityTbl[[#This Row],[Weighted Working day]]),0)</f>
        <v>0</v>
      </c>
      <c r="N313" s="33">
        <f>IFERROR(capacityTbl[[#This Row],[No. of Transaction]]/capacityTbl[[#This Row],[Production Days]],0)</f>
        <v>6.3760896637608973</v>
      </c>
    </row>
    <row r="314" spans="1:14" x14ac:dyDescent="0.25">
      <c r="A314" s="24">
        <v>2025</v>
      </c>
      <c r="B314" s="110" t="s">
        <v>17</v>
      </c>
      <c r="C314" s="111" t="s">
        <v>300</v>
      </c>
      <c r="D314" s="87">
        <v>2827</v>
      </c>
      <c r="E314" s="88">
        <v>104</v>
      </c>
      <c r="F314" s="29" cm="1">
        <f t="array" ref="F31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4" s="30" cm="1">
        <f t="array" ref="G31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4" s="30" cm="1">
        <f t="array" ref="H314">INDEX(stdWorkingDays[],MATCH(capacityTbl[[#This Row],[Year]]&amp;capacityTbl[[#This Row],[Month]],stdWorkingDays[Year]&amp;stdWorkingDays[Month],0),MATCH("China",stdWorkingDays[#Headers],0))</f>
        <v>19</v>
      </c>
      <c r="I314" s="30" cm="1">
        <f t="array" ref="I314">INDEX(stdWorkingDays[],MATCH(capacityTbl[[#This Row],[Year]]&amp;capacityTbl[[#This Row],[Month]],stdWorkingDays[Year]&amp;stdWorkingDays[Month],0),MATCH("Philippine",stdWorkingDays[#Headers],0))</f>
        <v>20</v>
      </c>
      <c r="J31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4" s="35">
        <f>IFERROR(capacityTbl[[#This Row],[Production Days]]/capacityTbl[[#This Row],[Weighted Working day]],0)</f>
        <v>0</v>
      </c>
      <c r="L314" s="31" cm="1">
        <f t="array" ref="L314">INDEX(ProductivityBaseline[ProductivityBaseline],MATCH(capacityTbl[[#This Row],[Process]]&amp;capacityTbl[[#This Row],[Year]],ProductivityBaseline[Title]&amp;ProductivityBaseline[Year to use],0))</f>
        <v>0</v>
      </c>
      <c r="M314" s="32">
        <f>IFERROR(capacityTbl[[#This Row],[No. of Transaction]]/(capacityTbl[[#This Row],[Productivity Baseline (Transation/FTE/Day)]]*capacityTbl[[#This Row],[Weighted Working day]]),0)</f>
        <v>0</v>
      </c>
      <c r="N314" s="33">
        <f>IFERROR(capacityTbl[[#This Row],[No. of Transaction]]/capacityTbl[[#This Row],[Production Days]],0)</f>
        <v>27.182692307692307</v>
      </c>
    </row>
    <row r="315" spans="1:14" x14ac:dyDescent="0.25">
      <c r="A315" s="24">
        <v>2025</v>
      </c>
      <c r="B315" s="110" t="s">
        <v>18</v>
      </c>
      <c r="C315" s="111" t="s">
        <v>300</v>
      </c>
      <c r="D315" s="87">
        <v>5469</v>
      </c>
      <c r="E315" s="88">
        <v>112.5</v>
      </c>
      <c r="F315" s="29" cm="1">
        <f t="array" ref="F31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5" s="30" cm="1">
        <f t="array" ref="G31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5" s="30" cm="1">
        <f t="array" ref="H315">INDEX(stdWorkingDays[],MATCH(capacityTbl[[#This Row],[Year]]&amp;capacityTbl[[#This Row],[Month]],stdWorkingDays[Year]&amp;stdWorkingDays[Month],0),MATCH("China",stdWorkingDays[#Headers],0))</f>
        <v>21</v>
      </c>
      <c r="I315" s="30" cm="1">
        <f t="array" ref="I315">INDEX(stdWorkingDays[],MATCH(capacityTbl[[#This Row],[Year]]&amp;capacityTbl[[#This Row],[Month]],stdWorkingDays[Year]&amp;stdWorkingDays[Month],0),MATCH("Philippine",stdWorkingDays[#Headers],0))</f>
        <v>21</v>
      </c>
      <c r="J31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5" s="35">
        <f>IFERROR(capacityTbl[[#This Row],[Production Days]]/capacityTbl[[#This Row],[Weighted Working day]],0)</f>
        <v>0</v>
      </c>
      <c r="L315" s="31" cm="1">
        <f t="array" ref="L315">INDEX(ProductivityBaseline[ProductivityBaseline],MATCH(capacityTbl[[#This Row],[Process]]&amp;capacityTbl[[#This Row],[Year]],ProductivityBaseline[Title]&amp;ProductivityBaseline[Year to use],0))</f>
        <v>0</v>
      </c>
      <c r="M315" s="32">
        <f>IFERROR(capacityTbl[[#This Row],[No. of Transaction]]/(capacityTbl[[#This Row],[Productivity Baseline (Transation/FTE/Day)]]*capacityTbl[[#This Row],[Weighted Working day]]),0)</f>
        <v>0</v>
      </c>
      <c r="N315" s="33">
        <f>IFERROR(capacityTbl[[#This Row],[No. of Transaction]]/capacityTbl[[#This Row],[Production Days]],0)</f>
        <v>48.613333333333337</v>
      </c>
    </row>
    <row r="316" spans="1:14" x14ac:dyDescent="0.25">
      <c r="A316" s="24">
        <v>2025</v>
      </c>
      <c r="B316" s="110" t="s">
        <v>19</v>
      </c>
      <c r="C316" s="111" t="s">
        <v>300</v>
      </c>
      <c r="D316" s="87">
        <v>9221</v>
      </c>
      <c r="E316" s="88">
        <v>108</v>
      </c>
      <c r="F316" s="29" cm="1">
        <f t="array" ref="F31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6" s="30" cm="1">
        <f t="array" ref="G31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6" s="30" cm="1">
        <f t="array" ref="H316">INDEX(stdWorkingDays[],MATCH(capacityTbl[[#This Row],[Year]]&amp;capacityTbl[[#This Row],[Month]],stdWorkingDays[Year]&amp;stdWorkingDays[Month],0),MATCH("China",stdWorkingDays[#Headers],0))</f>
        <v>22</v>
      </c>
      <c r="I316" s="30" cm="1">
        <f t="array" ref="I316">INDEX(stdWorkingDays[],MATCH(capacityTbl[[#This Row],[Year]]&amp;capacityTbl[[#This Row],[Month]],stdWorkingDays[Year]&amp;stdWorkingDays[Month],0),MATCH("Philippine",stdWorkingDays[#Headers],0))</f>
        <v>19</v>
      </c>
      <c r="J31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6" s="35">
        <f>IFERROR(capacityTbl[[#This Row],[Production Days]]/capacityTbl[[#This Row],[Weighted Working day]],0)</f>
        <v>0</v>
      </c>
      <c r="L316" s="31" cm="1">
        <f t="array" ref="L316">INDEX(ProductivityBaseline[ProductivityBaseline],MATCH(capacityTbl[[#This Row],[Process]]&amp;capacityTbl[[#This Row],[Year]],ProductivityBaseline[Title]&amp;ProductivityBaseline[Year to use],0))</f>
        <v>0</v>
      </c>
      <c r="M316" s="32">
        <f>IFERROR(capacityTbl[[#This Row],[No. of Transaction]]/(capacityTbl[[#This Row],[Productivity Baseline (Transation/FTE/Day)]]*capacityTbl[[#This Row],[Weighted Working day]]),0)</f>
        <v>0</v>
      </c>
      <c r="N316" s="33">
        <f>IFERROR(capacityTbl[[#This Row],[No. of Transaction]]/capacityTbl[[#This Row],[Production Days]],0)</f>
        <v>85.379629629629633</v>
      </c>
    </row>
    <row r="317" spans="1:14" x14ac:dyDescent="0.25">
      <c r="A317" s="24">
        <v>2025</v>
      </c>
      <c r="B317" s="110" t="s">
        <v>20</v>
      </c>
      <c r="C317" s="111" t="s">
        <v>300</v>
      </c>
      <c r="D317" s="87">
        <v>12765</v>
      </c>
      <c r="E317" s="88">
        <v>180.5</v>
      </c>
      <c r="F317" s="29" cm="1">
        <f t="array" ref="F31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7" s="30" cm="1">
        <f t="array" ref="G31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7" s="30" cm="1">
        <f t="array" ref="H317">INDEX(stdWorkingDays[],MATCH(capacityTbl[[#This Row],[Year]]&amp;capacityTbl[[#This Row],[Month]],stdWorkingDays[Year]&amp;stdWorkingDays[Month],0),MATCH("China",stdWorkingDays[#Headers],0))</f>
        <v>19</v>
      </c>
      <c r="I317" s="30" cm="1">
        <f t="array" ref="I317">INDEX(stdWorkingDays[],MATCH(capacityTbl[[#This Row],[Year]]&amp;capacityTbl[[#This Row],[Month]],stdWorkingDays[Year]&amp;stdWorkingDays[Month],0),MATCH("Philippine",stdWorkingDays[#Headers],0))</f>
        <v>21</v>
      </c>
      <c r="J31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7" s="35">
        <f>IFERROR(capacityTbl[[#This Row],[Production Days]]/capacityTbl[[#This Row],[Weighted Working day]],0)</f>
        <v>0</v>
      </c>
      <c r="L317" s="31" cm="1">
        <f t="array" ref="L317">INDEX(ProductivityBaseline[ProductivityBaseline],MATCH(capacityTbl[[#This Row],[Process]]&amp;capacityTbl[[#This Row],[Year]],ProductivityBaseline[Title]&amp;ProductivityBaseline[Year to use],0))</f>
        <v>0</v>
      </c>
      <c r="M317" s="32">
        <f>IFERROR(capacityTbl[[#This Row],[No. of Transaction]]/(capacityTbl[[#This Row],[Productivity Baseline (Transation/FTE/Day)]]*capacityTbl[[#This Row],[Weighted Working day]]),0)</f>
        <v>0</v>
      </c>
      <c r="N317" s="33">
        <f>IFERROR(capacityTbl[[#This Row],[No. of Transaction]]/capacityTbl[[#This Row],[Production Days]],0)</f>
        <v>70.720221606648195</v>
      </c>
    </row>
    <row r="318" spans="1:14" x14ac:dyDescent="0.25">
      <c r="A318" s="24">
        <v>2025</v>
      </c>
      <c r="B318" s="110" t="s">
        <v>21</v>
      </c>
      <c r="C318" s="111" t="s">
        <v>300</v>
      </c>
      <c r="D318" s="87">
        <v>10131</v>
      </c>
      <c r="E318" s="88">
        <v>171.5</v>
      </c>
      <c r="F318" s="29" cm="1">
        <f t="array" ref="F31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8" s="30" cm="1">
        <f t="array" ref="G31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8" s="30" cm="1">
        <f t="array" ref="H318">INDEX(stdWorkingDays[],MATCH(capacityTbl[[#This Row],[Year]]&amp;capacityTbl[[#This Row],[Month]],stdWorkingDays[Year]&amp;stdWorkingDays[Month],0),MATCH("China",stdWorkingDays[#Headers],0))</f>
        <v>20</v>
      </c>
      <c r="I318" s="30" cm="1">
        <f t="array" ref="I318">INDEX(stdWorkingDays[],MATCH(capacityTbl[[#This Row],[Year]]&amp;capacityTbl[[#This Row],[Month]],stdWorkingDays[Year]&amp;stdWorkingDays[Month],0),MATCH("Philippine",stdWorkingDays[#Headers],0))</f>
        <v>19</v>
      </c>
      <c r="J31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8" s="35">
        <f>IFERROR(capacityTbl[[#This Row],[Production Days]]/capacityTbl[[#This Row],[Weighted Working day]],0)</f>
        <v>0</v>
      </c>
      <c r="L318" s="31" cm="1">
        <f t="array" ref="L318">INDEX(ProductivityBaseline[ProductivityBaseline],MATCH(capacityTbl[[#This Row],[Process]]&amp;capacityTbl[[#This Row],[Year]],ProductivityBaseline[Title]&amp;ProductivityBaseline[Year to use],0))</f>
        <v>0</v>
      </c>
      <c r="M318" s="32">
        <f>IFERROR(capacityTbl[[#This Row],[No. of Transaction]]/(capacityTbl[[#This Row],[Productivity Baseline (Transation/FTE/Day)]]*capacityTbl[[#This Row],[Weighted Working day]]),0)</f>
        <v>0</v>
      </c>
      <c r="N318" s="33">
        <f>IFERROR(capacityTbl[[#This Row],[No. of Transaction]]/capacityTbl[[#This Row],[Production Days]],0)</f>
        <v>59.072886297376094</v>
      </c>
    </row>
    <row r="319" spans="1:14" x14ac:dyDescent="0.25">
      <c r="A319" s="24">
        <v>2025</v>
      </c>
      <c r="B319" s="110" t="s">
        <v>22</v>
      </c>
      <c r="C319" s="111" t="s">
        <v>300</v>
      </c>
      <c r="D319" s="87">
        <v>10901</v>
      </c>
      <c r="E319" s="88">
        <v>187.5</v>
      </c>
      <c r="F319" s="29" cm="1">
        <f t="array" ref="F31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19" s="30" cm="1">
        <f t="array" ref="G31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19" s="30" cm="1">
        <f t="array" ref="H319">INDEX(stdWorkingDays[],MATCH(capacityTbl[[#This Row],[Year]]&amp;capacityTbl[[#This Row],[Month]],stdWorkingDays[Year]&amp;stdWorkingDays[Month],0),MATCH("China",stdWorkingDays[#Headers],0))</f>
        <v>23</v>
      </c>
      <c r="I319" s="30" cm="1">
        <f t="array" ref="I319">INDEX(stdWorkingDays[],MATCH(capacityTbl[[#This Row],[Year]]&amp;capacityTbl[[#This Row],[Month]],stdWorkingDays[Year]&amp;stdWorkingDays[Month],0),MATCH("Philippine",stdWorkingDays[#Headers],0))</f>
        <v>23</v>
      </c>
      <c r="J31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19" s="35">
        <f>IFERROR(capacityTbl[[#This Row],[Production Days]]/capacityTbl[[#This Row],[Weighted Working day]],0)</f>
        <v>0</v>
      </c>
      <c r="L319" s="31" cm="1">
        <f t="array" ref="L319">INDEX(ProductivityBaseline[ProductivityBaseline],MATCH(capacityTbl[[#This Row],[Process]]&amp;capacityTbl[[#This Row],[Year]],ProductivityBaseline[Title]&amp;ProductivityBaseline[Year to use],0))</f>
        <v>0</v>
      </c>
      <c r="M319" s="32">
        <f>IFERROR(capacityTbl[[#This Row],[No. of Transaction]]/(capacityTbl[[#This Row],[Productivity Baseline (Transation/FTE/Day)]]*capacityTbl[[#This Row],[Weighted Working day]]),0)</f>
        <v>0</v>
      </c>
      <c r="N319" s="33">
        <f>IFERROR(capacityTbl[[#This Row],[No. of Transaction]]/capacityTbl[[#This Row],[Production Days]],0)</f>
        <v>58.138666666666666</v>
      </c>
    </row>
    <row r="320" spans="1:14" x14ac:dyDescent="0.25">
      <c r="A320" s="24">
        <v>2025</v>
      </c>
      <c r="B320" s="110" t="s">
        <v>46</v>
      </c>
      <c r="C320" s="111" t="s">
        <v>300</v>
      </c>
      <c r="D320" s="87">
        <v>8925</v>
      </c>
      <c r="E320" s="88">
        <v>159</v>
      </c>
      <c r="F320" s="29" cm="1">
        <f t="array" ref="F32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0" s="30" cm="1">
        <f t="array" ref="G32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0" s="30" cm="1">
        <f t="array" ref="H320">INDEX(stdWorkingDays[],MATCH(capacityTbl[[#This Row],[Year]]&amp;capacityTbl[[#This Row],[Month]],stdWorkingDays[Year]&amp;stdWorkingDays[Month],0),MATCH("China",stdWorkingDays[#Headers],0))</f>
        <v>21</v>
      </c>
      <c r="I320" s="30" cm="1">
        <f t="array" ref="I320">INDEX(stdWorkingDays[],MATCH(capacityTbl[[#This Row],[Year]]&amp;capacityTbl[[#This Row],[Month]],stdWorkingDays[Year]&amp;stdWorkingDays[Month],0),MATCH("Philippine",stdWorkingDays[#Headers],0))</f>
        <v>19</v>
      </c>
      <c r="J32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0" s="35">
        <f>IFERROR(capacityTbl[[#This Row],[Production Days]]/capacityTbl[[#This Row],[Weighted Working day]],0)</f>
        <v>0</v>
      </c>
      <c r="L320" s="31" cm="1">
        <f t="array" ref="L320">INDEX(ProductivityBaseline[ProductivityBaseline],MATCH(capacityTbl[[#This Row],[Process]]&amp;capacityTbl[[#This Row],[Year]],ProductivityBaseline[Title]&amp;ProductivityBaseline[Year to use],0))</f>
        <v>0</v>
      </c>
      <c r="M320" s="32">
        <f>IFERROR(capacityTbl[[#This Row],[No. of Transaction]]/(capacityTbl[[#This Row],[Productivity Baseline (Transation/FTE/Day)]]*capacityTbl[[#This Row],[Weighted Working day]]),0)</f>
        <v>0</v>
      </c>
      <c r="N320" s="33">
        <f>IFERROR(capacityTbl[[#This Row],[No. of Transaction]]/capacityTbl[[#This Row],[Production Days]],0)</f>
        <v>56.132075471698116</v>
      </c>
    </row>
    <row r="321" spans="1:14" x14ac:dyDescent="0.25">
      <c r="A321" s="24">
        <v>2025</v>
      </c>
      <c r="B321" s="110" t="s">
        <v>33</v>
      </c>
      <c r="C321" s="111" t="s">
        <v>300</v>
      </c>
      <c r="D321" s="87"/>
      <c r="E321" s="88"/>
      <c r="F321" s="29" cm="1">
        <f t="array" ref="F32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1" s="30" cm="1">
        <f t="array" ref="G32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1" s="30" cm="1">
        <f t="array" ref="H321">INDEX(stdWorkingDays[],MATCH(capacityTbl[[#This Row],[Year]]&amp;capacityTbl[[#This Row],[Month]],stdWorkingDays[Year]&amp;stdWorkingDays[Month],0),MATCH("China",stdWorkingDays[#Headers],0))</f>
        <v>23</v>
      </c>
      <c r="I321" s="30" cm="1">
        <f t="array" ref="I321">INDEX(stdWorkingDays[],MATCH(capacityTbl[[#This Row],[Year]]&amp;capacityTbl[[#This Row],[Month]],stdWorkingDays[Year]&amp;stdWorkingDays[Month],0),MATCH("Philippine",stdWorkingDays[#Headers],0))</f>
        <v>22</v>
      </c>
      <c r="J32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1" s="35">
        <f>IFERROR(capacityTbl[[#This Row],[Production Days]]/capacityTbl[[#This Row],[Weighted Working day]],0)</f>
        <v>0</v>
      </c>
      <c r="L321" s="31" cm="1">
        <f t="array" ref="L321">INDEX(ProductivityBaseline[ProductivityBaseline],MATCH(capacityTbl[[#This Row],[Process]]&amp;capacityTbl[[#This Row],[Year]],ProductivityBaseline[Title]&amp;ProductivityBaseline[Year to use],0))</f>
        <v>0</v>
      </c>
      <c r="M321" s="32">
        <f>IFERROR(capacityTbl[[#This Row],[No. of Transaction]]/(capacityTbl[[#This Row],[Productivity Baseline (Transation/FTE/Day)]]*capacityTbl[[#This Row],[Weighted Working day]]),0)</f>
        <v>0</v>
      </c>
      <c r="N321" s="33">
        <f>IFERROR(capacityTbl[[#This Row],[No. of Transaction]]/capacityTbl[[#This Row],[Production Days]],0)</f>
        <v>0</v>
      </c>
    </row>
    <row r="322" spans="1:14" x14ac:dyDescent="0.25">
      <c r="A322" s="24">
        <v>2025</v>
      </c>
      <c r="B322" s="110" t="s">
        <v>25</v>
      </c>
      <c r="C322" s="111" t="s">
        <v>300</v>
      </c>
      <c r="D322" s="87"/>
      <c r="E322" s="88"/>
      <c r="F322" s="29" cm="1">
        <f t="array" ref="F32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2" s="30" cm="1">
        <f t="array" ref="G32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2" s="30" cm="1">
        <f t="array" ref="H322">INDEX(stdWorkingDays[],MATCH(capacityTbl[[#This Row],[Year]]&amp;capacityTbl[[#This Row],[Month]],stdWorkingDays[Year]&amp;stdWorkingDays[Month],0),MATCH("China",stdWorkingDays[#Headers],0))</f>
        <v>18</v>
      </c>
      <c r="I322" s="30" cm="1">
        <f t="array" ref="I322">INDEX(stdWorkingDays[],MATCH(capacityTbl[[#This Row],[Year]]&amp;capacityTbl[[#This Row],[Month]],stdWorkingDays[Year]&amp;stdWorkingDays[Month],0),MATCH("Philippine",stdWorkingDays[#Headers],0))</f>
        <v>22</v>
      </c>
      <c r="J32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2" s="35">
        <f>IFERROR(capacityTbl[[#This Row],[Production Days]]/capacityTbl[[#This Row],[Weighted Working day]],0)</f>
        <v>0</v>
      </c>
      <c r="L322" s="31" cm="1">
        <f t="array" ref="L322">INDEX(ProductivityBaseline[ProductivityBaseline],MATCH(capacityTbl[[#This Row],[Process]]&amp;capacityTbl[[#This Row],[Year]],ProductivityBaseline[Title]&amp;ProductivityBaseline[Year to use],0))</f>
        <v>0</v>
      </c>
      <c r="M322" s="32">
        <f>IFERROR(capacityTbl[[#This Row],[No. of Transaction]]/(capacityTbl[[#This Row],[Productivity Baseline (Transation/FTE/Day)]]*capacityTbl[[#This Row],[Weighted Working day]]),0)</f>
        <v>0</v>
      </c>
      <c r="N322" s="33">
        <f>IFERROR(capacityTbl[[#This Row],[No. of Transaction]]/capacityTbl[[#This Row],[Production Days]],0)</f>
        <v>0</v>
      </c>
    </row>
    <row r="323" spans="1:14" x14ac:dyDescent="0.25">
      <c r="A323" s="24">
        <v>2025</v>
      </c>
      <c r="B323" s="110" t="s">
        <v>26</v>
      </c>
      <c r="C323" s="111" t="s">
        <v>300</v>
      </c>
      <c r="D323" s="87"/>
      <c r="E323" s="88"/>
      <c r="F323" s="29" cm="1">
        <f t="array" ref="F32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3" s="30" cm="1">
        <f t="array" ref="G32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3" s="30" cm="1">
        <f t="array" ref="H323">INDEX(stdWorkingDays[],MATCH(capacityTbl[[#This Row],[Year]]&amp;capacityTbl[[#This Row],[Month]],stdWorkingDays[Year]&amp;stdWorkingDays[Month],0),MATCH("China",stdWorkingDays[#Headers],0))</f>
        <v>20</v>
      </c>
      <c r="I323" s="30" cm="1">
        <f t="array" ref="I323">INDEX(stdWorkingDays[],MATCH(capacityTbl[[#This Row],[Year]]&amp;capacityTbl[[#This Row],[Month]],stdWorkingDays[Year]&amp;stdWorkingDays[Month],0),MATCH("Philippine",stdWorkingDays[#Headers],0))</f>
        <v>20</v>
      </c>
      <c r="J32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3" s="35">
        <f>IFERROR(capacityTbl[[#This Row],[Production Days]]/capacityTbl[[#This Row],[Weighted Working day]],0)</f>
        <v>0</v>
      </c>
      <c r="L323" s="31" cm="1">
        <f t="array" ref="L323">INDEX(ProductivityBaseline[ProductivityBaseline],MATCH(capacityTbl[[#This Row],[Process]]&amp;capacityTbl[[#This Row],[Year]],ProductivityBaseline[Title]&amp;ProductivityBaseline[Year to use],0))</f>
        <v>0</v>
      </c>
      <c r="M323" s="32">
        <f>IFERROR(capacityTbl[[#This Row],[No. of Transaction]]/(capacityTbl[[#This Row],[Productivity Baseline (Transation/FTE/Day)]]*capacityTbl[[#This Row],[Weighted Working day]]),0)</f>
        <v>0</v>
      </c>
      <c r="N323" s="33">
        <f>IFERROR(capacityTbl[[#This Row],[No. of Transaction]]/capacityTbl[[#This Row],[Production Days]],0)</f>
        <v>0</v>
      </c>
    </row>
    <row r="324" spans="1:14" x14ac:dyDescent="0.25">
      <c r="A324" s="37">
        <v>2025</v>
      </c>
      <c r="B324" s="112" t="s">
        <v>27</v>
      </c>
      <c r="C324" s="113" t="s">
        <v>300</v>
      </c>
      <c r="D324" s="89"/>
      <c r="E324" s="90"/>
      <c r="F324" s="42" cm="1">
        <f t="array" ref="F32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4" s="43" cm="1">
        <f t="array" ref="G32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4" s="43" cm="1">
        <f t="array" ref="H324">INDEX(stdWorkingDays[],MATCH(capacityTbl[[#This Row],[Year]]&amp;capacityTbl[[#This Row],[Month]],stdWorkingDays[Year]&amp;stdWorkingDays[Month],0),MATCH("China",stdWorkingDays[#Headers],0))</f>
        <v>23</v>
      </c>
      <c r="I324" s="43" cm="1">
        <f t="array" ref="I324">INDEX(stdWorkingDays[],MATCH(capacityTbl[[#This Row],[Year]]&amp;capacityTbl[[#This Row],[Month]],stdWorkingDays[Year]&amp;stdWorkingDays[Month],0),MATCH("Philippine",stdWorkingDays[#Headers],0))</f>
        <v>18</v>
      </c>
      <c r="J324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4" s="45">
        <f>IFERROR(capacityTbl[[#This Row],[Production Days]]/capacityTbl[[#This Row],[Weighted Working day]],0)</f>
        <v>0</v>
      </c>
      <c r="L324" s="44" cm="1">
        <f t="array" ref="L324">INDEX(ProductivityBaseline[ProductivityBaseline],MATCH(capacityTbl[[#This Row],[Process]]&amp;capacityTbl[[#This Row],[Year]],ProductivityBaseline[Title]&amp;ProductivityBaseline[Year to use],0))</f>
        <v>0</v>
      </c>
      <c r="M324" s="46">
        <f>IFERROR(capacityTbl[[#This Row],[No. of Transaction]]/(capacityTbl[[#This Row],[Productivity Baseline (Transation/FTE/Day)]]*capacityTbl[[#This Row],[Weighted Working day]]),0)</f>
        <v>0</v>
      </c>
      <c r="N324" s="47">
        <f>IFERROR(capacityTbl[[#This Row],[No. of Transaction]]/capacityTbl[[#This Row],[Production Days]],0)</f>
        <v>0</v>
      </c>
    </row>
    <row r="325" spans="1:14" x14ac:dyDescent="0.25">
      <c r="A325" s="24">
        <v>2025</v>
      </c>
      <c r="B325" s="110" t="s">
        <v>14</v>
      </c>
      <c r="C325" s="111" t="s">
        <v>298</v>
      </c>
      <c r="D325" s="87"/>
      <c r="E325" s="88"/>
      <c r="F325" s="29" cm="1">
        <f t="array" ref="F32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5" s="30" cm="1">
        <f t="array" ref="G32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5" s="30" cm="1">
        <f t="array" ref="H325">INDEX(stdWorkingDays[],MATCH(capacityTbl[[#This Row],[Year]]&amp;capacityTbl[[#This Row],[Month]],stdWorkingDays[Year]&amp;stdWorkingDays[Month],0),MATCH("China",stdWorkingDays[#Headers],0))</f>
        <v>19</v>
      </c>
      <c r="I325" s="30" cm="1">
        <f t="array" ref="I325">INDEX(stdWorkingDays[],MATCH(capacityTbl[[#This Row],[Year]]&amp;capacityTbl[[#This Row],[Month]],stdWorkingDays[Year]&amp;stdWorkingDays[Month],0),MATCH("Philippine",stdWorkingDays[#Headers],0))</f>
        <v>21</v>
      </c>
      <c r="J32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5" s="35">
        <f>IFERROR(capacityTbl[[#This Row],[Production Days]]/capacityTbl[[#This Row],[Weighted Working day]],0)</f>
        <v>0</v>
      </c>
      <c r="L325" s="31" cm="1">
        <f t="array" ref="L325">INDEX(ProductivityBaseline[ProductivityBaseline],MATCH(capacityTbl[[#This Row],[Process]]&amp;capacityTbl[[#This Row],[Year]],ProductivityBaseline[Title]&amp;ProductivityBaseline[Year to use],0))</f>
        <v>0</v>
      </c>
      <c r="M325" s="32">
        <f>IFERROR(capacityTbl[[#This Row],[No. of Transaction]]/(capacityTbl[[#This Row],[Productivity Baseline (Transation/FTE/Day)]]*capacityTbl[[#This Row],[Weighted Working day]]),0)</f>
        <v>0</v>
      </c>
      <c r="N325" s="33">
        <f>IFERROR(capacityTbl[[#This Row],[No. of Transaction]]/capacityTbl[[#This Row],[Production Days]],0)</f>
        <v>0</v>
      </c>
    </row>
    <row r="326" spans="1:14" x14ac:dyDescent="0.25">
      <c r="A326" s="24">
        <v>2025</v>
      </c>
      <c r="B326" s="110" t="s">
        <v>17</v>
      </c>
      <c r="C326" s="111" t="s">
        <v>298</v>
      </c>
      <c r="D326" s="87"/>
      <c r="E326" s="88"/>
      <c r="F326" s="29" cm="1">
        <f t="array" ref="F32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6" s="30" cm="1">
        <f t="array" ref="G32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6" s="30" cm="1">
        <f t="array" ref="H326">INDEX(stdWorkingDays[],MATCH(capacityTbl[[#This Row],[Year]]&amp;capacityTbl[[#This Row],[Month]],stdWorkingDays[Year]&amp;stdWorkingDays[Month],0),MATCH("China",stdWorkingDays[#Headers],0))</f>
        <v>19</v>
      </c>
      <c r="I326" s="30" cm="1">
        <f t="array" ref="I326">INDEX(stdWorkingDays[],MATCH(capacityTbl[[#This Row],[Year]]&amp;capacityTbl[[#This Row],[Month]],stdWorkingDays[Year]&amp;stdWorkingDays[Month],0),MATCH("Philippine",stdWorkingDays[#Headers],0))</f>
        <v>20</v>
      </c>
      <c r="J32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6" s="35">
        <f>IFERROR(capacityTbl[[#This Row],[Production Days]]/capacityTbl[[#This Row],[Weighted Working day]],0)</f>
        <v>0</v>
      </c>
      <c r="L326" s="31" cm="1">
        <f t="array" ref="L326">INDEX(ProductivityBaseline[ProductivityBaseline],MATCH(capacityTbl[[#This Row],[Process]]&amp;capacityTbl[[#This Row],[Year]],ProductivityBaseline[Title]&amp;ProductivityBaseline[Year to use],0))</f>
        <v>0</v>
      </c>
      <c r="M326" s="32">
        <f>IFERROR(capacityTbl[[#This Row],[No. of Transaction]]/(capacityTbl[[#This Row],[Productivity Baseline (Transation/FTE/Day)]]*capacityTbl[[#This Row],[Weighted Working day]]),0)</f>
        <v>0</v>
      </c>
      <c r="N326" s="33">
        <f>IFERROR(capacityTbl[[#This Row],[No. of Transaction]]/capacityTbl[[#This Row],[Production Days]],0)</f>
        <v>0</v>
      </c>
    </row>
    <row r="327" spans="1:14" x14ac:dyDescent="0.25">
      <c r="A327" s="24">
        <v>2025</v>
      </c>
      <c r="B327" s="110" t="s">
        <v>18</v>
      </c>
      <c r="C327" s="111" t="s">
        <v>298</v>
      </c>
      <c r="D327" s="87"/>
      <c r="E327" s="88"/>
      <c r="F327" s="29" cm="1">
        <f t="array" ref="F32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7" s="30" cm="1">
        <f t="array" ref="G32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7" s="30" cm="1">
        <f t="array" ref="H327">INDEX(stdWorkingDays[],MATCH(capacityTbl[[#This Row],[Year]]&amp;capacityTbl[[#This Row],[Month]],stdWorkingDays[Year]&amp;stdWorkingDays[Month],0),MATCH("China",stdWorkingDays[#Headers],0))</f>
        <v>21</v>
      </c>
      <c r="I327" s="30" cm="1">
        <f t="array" ref="I327">INDEX(stdWorkingDays[],MATCH(capacityTbl[[#This Row],[Year]]&amp;capacityTbl[[#This Row],[Month]],stdWorkingDays[Year]&amp;stdWorkingDays[Month],0),MATCH("Philippine",stdWorkingDays[#Headers],0))</f>
        <v>21</v>
      </c>
      <c r="J32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7" s="35">
        <f>IFERROR(capacityTbl[[#This Row],[Production Days]]/capacityTbl[[#This Row],[Weighted Working day]],0)</f>
        <v>0</v>
      </c>
      <c r="L327" s="31" cm="1">
        <f t="array" ref="L327">INDEX(ProductivityBaseline[ProductivityBaseline],MATCH(capacityTbl[[#This Row],[Process]]&amp;capacityTbl[[#This Row],[Year]],ProductivityBaseline[Title]&amp;ProductivityBaseline[Year to use],0))</f>
        <v>0</v>
      </c>
      <c r="M327" s="32">
        <f>IFERROR(capacityTbl[[#This Row],[No. of Transaction]]/(capacityTbl[[#This Row],[Productivity Baseline (Transation/FTE/Day)]]*capacityTbl[[#This Row],[Weighted Working day]]),0)</f>
        <v>0</v>
      </c>
      <c r="N327" s="33">
        <f>IFERROR(capacityTbl[[#This Row],[No. of Transaction]]/capacityTbl[[#This Row],[Production Days]],0)</f>
        <v>0</v>
      </c>
    </row>
    <row r="328" spans="1:14" x14ac:dyDescent="0.25">
      <c r="A328" s="24">
        <v>2025</v>
      </c>
      <c r="B328" s="110" t="s">
        <v>19</v>
      </c>
      <c r="C328" s="111" t="s">
        <v>298</v>
      </c>
      <c r="D328" s="87"/>
      <c r="E328" s="88"/>
      <c r="F328" s="29" cm="1">
        <f t="array" ref="F32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8" s="30" cm="1">
        <f t="array" ref="G32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8" s="30" cm="1">
        <f t="array" ref="H328">INDEX(stdWorkingDays[],MATCH(capacityTbl[[#This Row],[Year]]&amp;capacityTbl[[#This Row],[Month]],stdWorkingDays[Year]&amp;stdWorkingDays[Month],0),MATCH("China",stdWorkingDays[#Headers],0))</f>
        <v>22</v>
      </c>
      <c r="I328" s="30" cm="1">
        <f t="array" ref="I328">INDEX(stdWorkingDays[],MATCH(capacityTbl[[#This Row],[Year]]&amp;capacityTbl[[#This Row],[Month]],stdWorkingDays[Year]&amp;stdWorkingDays[Month],0),MATCH("Philippine",stdWorkingDays[#Headers],0))</f>
        <v>19</v>
      </c>
      <c r="J32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8" s="35">
        <f>IFERROR(capacityTbl[[#This Row],[Production Days]]/capacityTbl[[#This Row],[Weighted Working day]],0)</f>
        <v>0</v>
      </c>
      <c r="L328" s="31" cm="1">
        <f t="array" ref="L328">INDEX(ProductivityBaseline[ProductivityBaseline],MATCH(capacityTbl[[#This Row],[Process]]&amp;capacityTbl[[#This Row],[Year]],ProductivityBaseline[Title]&amp;ProductivityBaseline[Year to use],0))</f>
        <v>0</v>
      </c>
      <c r="M328" s="32">
        <f>IFERROR(capacityTbl[[#This Row],[No. of Transaction]]/(capacityTbl[[#This Row],[Productivity Baseline (Transation/FTE/Day)]]*capacityTbl[[#This Row],[Weighted Working day]]),0)</f>
        <v>0</v>
      </c>
      <c r="N328" s="33">
        <f>IFERROR(capacityTbl[[#This Row],[No. of Transaction]]/capacityTbl[[#This Row],[Production Days]],0)</f>
        <v>0</v>
      </c>
    </row>
    <row r="329" spans="1:14" x14ac:dyDescent="0.25">
      <c r="A329" s="24">
        <v>2025</v>
      </c>
      <c r="B329" s="110" t="s">
        <v>20</v>
      </c>
      <c r="C329" s="111" t="s">
        <v>298</v>
      </c>
      <c r="D329" s="87"/>
      <c r="E329" s="88"/>
      <c r="F329" s="29" cm="1">
        <f t="array" ref="F32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29" s="30" cm="1">
        <f t="array" ref="G32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29" s="30" cm="1">
        <f t="array" ref="H329">INDEX(stdWorkingDays[],MATCH(capacityTbl[[#This Row],[Year]]&amp;capacityTbl[[#This Row],[Month]],stdWorkingDays[Year]&amp;stdWorkingDays[Month],0),MATCH("China",stdWorkingDays[#Headers],0))</f>
        <v>19</v>
      </c>
      <c r="I329" s="30" cm="1">
        <f t="array" ref="I329">INDEX(stdWorkingDays[],MATCH(capacityTbl[[#This Row],[Year]]&amp;capacityTbl[[#This Row],[Month]],stdWorkingDays[Year]&amp;stdWorkingDays[Month],0),MATCH("Philippine",stdWorkingDays[#Headers],0))</f>
        <v>21</v>
      </c>
      <c r="J32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29" s="35">
        <f>IFERROR(capacityTbl[[#This Row],[Production Days]]/capacityTbl[[#This Row],[Weighted Working day]],0)</f>
        <v>0</v>
      </c>
      <c r="L329" s="31" cm="1">
        <f t="array" ref="L329">INDEX(ProductivityBaseline[ProductivityBaseline],MATCH(capacityTbl[[#This Row],[Process]]&amp;capacityTbl[[#This Row],[Year]],ProductivityBaseline[Title]&amp;ProductivityBaseline[Year to use],0))</f>
        <v>0</v>
      </c>
      <c r="M329" s="32">
        <f>IFERROR(capacityTbl[[#This Row],[No. of Transaction]]/(capacityTbl[[#This Row],[Productivity Baseline (Transation/FTE/Day)]]*capacityTbl[[#This Row],[Weighted Working day]]),0)</f>
        <v>0</v>
      </c>
      <c r="N329" s="33">
        <f>IFERROR(capacityTbl[[#This Row],[No. of Transaction]]/capacityTbl[[#This Row],[Production Days]],0)</f>
        <v>0</v>
      </c>
    </row>
    <row r="330" spans="1:14" x14ac:dyDescent="0.25">
      <c r="A330" s="24">
        <v>2025</v>
      </c>
      <c r="B330" s="110" t="s">
        <v>21</v>
      </c>
      <c r="C330" s="111" t="s">
        <v>298</v>
      </c>
      <c r="D330" s="87"/>
      <c r="E330" s="88"/>
      <c r="F330" s="29" cm="1">
        <f t="array" ref="F33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0" s="30" cm="1">
        <f t="array" ref="G33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0" s="30" cm="1">
        <f t="array" ref="H330">INDEX(stdWorkingDays[],MATCH(capacityTbl[[#This Row],[Year]]&amp;capacityTbl[[#This Row],[Month]],stdWorkingDays[Year]&amp;stdWorkingDays[Month],0),MATCH("China",stdWorkingDays[#Headers],0))</f>
        <v>20</v>
      </c>
      <c r="I330" s="30" cm="1">
        <f t="array" ref="I330">INDEX(stdWorkingDays[],MATCH(capacityTbl[[#This Row],[Year]]&amp;capacityTbl[[#This Row],[Month]],stdWorkingDays[Year]&amp;stdWorkingDays[Month],0),MATCH("Philippine",stdWorkingDays[#Headers],0))</f>
        <v>19</v>
      </c>
      <c r="J33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0" s="35">
        <f>IFERROR(capacityTbl[[#This Row],[Production Days]]/capacityTbl[[#This Row],[Weighted Working day]],0)</f>
        <v>0</v>
      </c>
      <c r="L330" s="31" cm="1">
        <f t="array" ref="L330">INDEX(ProductivityBaseline[ProductivityBaseline],MATCH(capacityTbl[[#This Row],[Process]]&amp;capacityTbl[[#This Row],[Year]],ProductivityBaseline[Title]&amp;ProductivityBaseline[Year to use],0))</f>
        <v>0</v>
      </c>
      <c r="M330" s="32">
        <f>IFERROR(capacityTbl[[#This Row],[No. of Transaction]]/(capacityTbl[[#This Row],[Productivity Baseline (Transation/FTE/Day)]]*capacityTbl[[#This Row],[Weighted Working day]]),0)</f>
        <v>0</v>
      </c>
      <c r="N330" s="33">
        <f>IFERROR(capacityTbl[[#This Row],[No. of Transaction]]/capacityTbl[[#This Row],[Production Days]],0)</f>
        <v>0</v>
      </c>
    </row>
    <row r="331" spans="1:14" x14ac:dyDescent="0.25">
      <c r="A331" s="24">
        <v>2025</v>
      </c>
      <c r="B331" s="110" t="s">
        <v>22</v>
      </c>
      <c r="C331" s="111" t="s">
        <v>298</v>
      </c>
      <c r="D331" s="87"/>
      <c r="E331" s="88"/>
      <c r="F331" s="29" cm="1">
        <f t="array" ref="F33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1" s="30" cm="1">
        <f t="array" ref="G33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1" s="30" cm="1">
        <f t="array" ref="H331">INDEX(stdWorkingDays[],MATCH(capacityTbl[[#This Row],[Year]]&amp;capacityTbl[[#This Row],[Month]],stdWorkingDays[Year]&amp;stdWorkingDays[Month],0),MATCH("China",stdWorkingDays[#Headers],0))</f>
        <v>23</v>
      </c>
      <c r="I331" s="30" cm="1">
        <f t="array" ref="I331">INDEX(stdWorkingDays[],MATCH(capacityTbl[[#This Row],[Year]]&amp;capacityTbl[[#This Row],[Month]],stdWorkingDays[Year]&amp;stdWorkingDays[Month],0),MATCH("Philippine",stdWorkingDays[#Headers],0))</f>
        <v>23</v>
      </c>
      <c r="J33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1" s="35">
        <f>IFERROR(capacityTbl[[#This Row],[Production Days]]/capacityTbl[[#This Row],[Weighted Working day]],0)</f>
        <v>0</v>
      </c>
      <c r="L331" s="31" cm="1">
        <f t="array" ref="L331">INDEX(ProductivityBaseline[ProductivityBaseline],MATCH(capacityTbl[[#This Row],[Process]]&amp;capacityTbl[[#This Row],[Year]],ProductivityBaseline[Title]&amp;ProductivityBaseline[Year to use],0))</f>
        <v>0</v>
      </c>
      <c r="M331" s="32">
        <f>IFERROR(capacityTbl[[#This Row],[No. of Transaction]]/(capacityTbl[[#This Row],[Productivity Baseline (Transation/FTE/Day)]]*capacityTbl[[#This Row],[Weighted Working day]]),0)</f>
        <v>0</v>
      </c>
      <c r="N331" s="33">
        <f>IFERROR(capacityTbl[[#This Row],[No. of Transaction]]/capacityTbl[[#This Row],[Production Days]],0)</f>
        <v>0</v>
      </c>
    </row>
    <row r="332" spans="1:14" x14ac:dyDescent="0.25">
      <c r="A332" s="24">
        <v>2025</v>
      </c>
      <c r="B332" s="110" t="s">
        <v>46</v>
      </c>
      <c r="C332" s="111" t="s">
        <v>298</v>
      </c>
      <c r="D332" s="87"/>
      <c r="E332" s="88"/>
      <c r="F332" s="29" cm="1">
        <f t="array" ref="F33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2" s="30" cm="1">
        <f t="array" ref="G33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2" s="30" cm="1">
        <f t="array" ref="H332">INDEX(stdWorkingDays[],MATCH(capacityTbl[[#This Row],[Year]]&amp;capacityTbl[[#This Row],[Month]],stdWorkingDays[Year]&amp;stdWorkingDays[Month],0),MATCH("China",stdWorkingDays[#Headers],0))</f>
        <v>21</v>
      </c>
      <c r="I332" s="30" cm="1">
        <f t="array" ref="I332">INDEX(stdWorkingDays[],MATCH(capacityTbl[[#This Row],[Year]]&amp;capacityTbl[[#This Row],[Month]],stdWorkingDays[Year]&amp;stdWorkingDays[Month],0),MATCH("Philippine",stdWorkingDays[#Headers],0))</f>
        <v>19</v>
      </c>
      <c r="J33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2" s="35">
        <f>IFERROR(capacityTbl[[#This Row],[Production Days]]/capacityTbl[[#This Row],[Weighted Working day]],0)</f>
        <v>0</v>
      </c>
      <c r="L332" s="31" cm="1">
        <f t="array" ref="L332">INDEX(ProductivityBaseline[ProductivityBaseline],MATCH(capacityTbl[[#This Row],[Process]]&amp;capacityTbl[[#This Row],[Year]],ProductivityBaseline[Title]&amp;ProductivityBaseline[Year to use],0))</f>
        <v>0</v>
      </c>
      <c r="M332" s="32">
        <f>IFERROR(capacityTbl[[#This Row],[No. of Transaction]]/(capacityTbl[[#This Row],[Productivity Baseline (Transation/FTE/Day)]]*capacityTbl[[#This Row],[Weighted Working day]]),0)</f>
        <v>0</v>
      </c>
      <c r="N332" s="33">
        <f>IFERROR(capacityTbl[[#This Row],[No. of Transaction]]/capacityTbl[[#This Row],[Production Days]],0)</f>
        <v>0</v>
      </c>
    </row>
    <row r="333" spans="1:14" x14ac:dyDescent="0.25">
      <c r="A333" s="24">
        <v>2025</v>
      </c>
      <c r="B333" s="110" t="s">
        <v>33</v>
      </c>
      <c r="C333" s="111" t="s">
        <v>298</v>
      </c>
      <c r="D333" s="87"/>
      <c r="E333" s="88"/>
      <c r="F333" s="29" cm="1">
        <f t="array" ref="F33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3" s="30" cm="1">
        <f t="array" ref="G33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3" s="30" cm="1">
        <f t="array" ref="H333">INDEX(stdWorkingDays[],MATCH(capacityTbl[[#This Row],[Year]]&amp;capacityTbl[[#This Row],[Month]],stdWorkingDays[Year]&amp;stdWorkingDays[Month],0),MATCH("China",stdWorkingDays[#Headers],0))</f>
        <v>23</v>
      </c>
      <c r="I333" s="30" cm="1">
        <f t="array" ref="I333">INDEX(stdWorkingDays[],MATCH(capacityTbl[[#This Row],[Year]]&amp;capacityTbl[[#This Row],[Month]],stdWorkingDays[Year]&amp;stdWorkingDays[Month],0),MATCH("Philippine",stdWorkingDays[#Headers],0))</f>
        <v>22</v>
      </c>
      <c r="J33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3" s="35">
        <f>IFERROR(capacityTbl[[#This Row],[Production Days]]/capacityTbl[[#This Row],[Weighted Working day]],0)</f>
        <v>0</v>
      </c>
      <c r="L333" s="31" cm="1">
        <f t="array" ref="L333">INDEX(ProductivityBaseline[ProductivityBaseline],MATCH(capacityTbl[[#This Row],[Process]]&amp;capacityTbl[[#This Row],[Year]],ProductivityBaseline[Title]&amp;ProductivityBaseline[Year to use],0))</f>
        <v>0</v>
      </c>
      <c r="M333" s="32">
        <f>IFERROR(capacityTbl[[#This Row],[No. of Transaction]]/(capacityTbl[[#This Row],[Productivity Baseline (Transation/FTE/Day)]]*capacityTbl[[#This Row],[Weighted Working day]]),0)</f>
        <v>0</v>
      </c>
      <c r="N333" s="33">
        <f>IFERROR(capacityTbl[[#This Row],[No. of Transaction]]/capacityTbl[[#This Row],[Production Days]],0)</f>
        <v>0</v>
      </c>
    </row>
    <row r="334" spans="1:14" x14ac:dyDescent="0.25">
      <c r="A334" s="24">
        <v>2025</v>
      </c>
      <c r="B334" s="110" t="s">
        <v>25</v>
      </c>
      <c r="C334" s="111" t="s">
        <v>298</v>
      </c>
      <c r="D334" s="87"/>
      <c r="E334" s="88"/>
      <c r="F334" s="29" cm="1">
        <f t="array" ref="F33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4" s="30" cm="1">
        <f t="array" ref="G33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4" s="30" cm="1">
        <f t="array" ref="H334">INDEX(stdWorkingDays[],MATCH(capacityTbl[[#This Row],[Year]]&amp;capacityTbl[[#This Row],[Month]],stdWorkingDays[Year]&amp;stdWorkingDays[Month],0),MATCH("China",stdWorkingDays[#Headers],0))</f>
        <v>18</v>
      </c>
      <c r="I334" s="30" cm="1">
        <f t="array" ref="I334">INDEX(stdWorkingDays[],MATCH(capacityTbl[[#This Row],[Year]]&amp;capacityTbl[[#This Row],[Month]],stdWorkingDays[Year]&amp;stdWorkingDays[Month],0),MATCH("Philippine",stdWorkingDays[#Headers],0))</f>
        <v>22</v>
      </c>
      <c r="J33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4" s="35">
        <f>IFERROR(capacityTbl[[#This Row],[Production Days]]/capacityTbl[[#This Row],[Weighted Working day]],0)</f>
        <v>0</v>
      </c>
      <c r="L334" s="31" cm="1">
        <f t="array" ref="L334">INDEX(ProductivityBaseline[ProductivityBaseline],MATCH(capacityTbl[[#This Row],[Process]]&amp;capacityTbl[[#This Row],[Year]],ProductivityBaseline[Title]&amp;ProductivityBaseline[Year to use],0))</f>
        <v>0</v>
      </c>
      <c r="M334" s="32">
        <f>IFERROR(capacityTbl[[#This Row],[No. of Transaction]]/(capacityTbl[[#This Row],[Productivity Baseline (Transation/FTE/Day)]]*capacityTbl[[#This Row],[Weighted Working day]]),0)</f>
        <v>0</v>
      </c>
      <c r="N334" s="33">
        <f>IFERROR(capacityTbl[[#This Row],[No. of Transaction]]/capacityTbl[[#This Row],[Production Days]],0)</f>
        <v>0</v>
      </c>
    </row>
    <row r="335" spans="1:14" x14ac:dyDescent="0.25">
      <c r="A335" s="24">
        <v>2025</v>
      </c>
      <c r="B335" s="110" t="s">
        <v>26</v>
      </c>
      <c r="C335" s="111" t="s">
        <v>298</v>
      </c>
      <c r="D335" s="87"/>
      <c r="E335" s="88"/>
      <c r="F335" s="29" cm="1">
        <f t="array" ref="F33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5" s="30" cm="1">
        <f t="array" ref="G33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5" s="30" cm="1">
        <f t="array" ref="H335">INDEX(stdWorkingDays[],MATCH(capacityTbl[[#This Row],[Year]]&amp;capacityTbl[[#This Row],[Month]],stdWorkingDays[Year]&amp;stdWorkingDays[Month],0),MATCH("China",stdWorkingDays[#Headers],0))</f>
        <v>20</v>
      </c>
      <c r="I335" s="30" cm="1">
        <f t="array" ref="I335">INDEX(stdWorkingDays[],MATCH(capacityTbl[[#This Row],[Year]]&amp;capacityTbl[[#This Row],[Month]],stdWorkingDays[Year]&amp;stdWorkingDays[Month],0),MATCH("Philippine",stdWorkingDays[#Headers],0))</f>
        <v>20</v>
      </c>
      <c r="J33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5" s="35">
        <f>IFERROR(capacityTbl[[#This Row],[Production Days]]/capacityTbl[[#This Row],[Weighted Working day]],0)</f>
        <v>0</v>
      </c>
      <c r="L335" s="31" cm="1">
        <f t="array" ref="L335">INDEX(ProductivityBaseline[ProductivityBaseline],MATCH(capacityTbl[[#This Row],[Process]]&amp;capacityTbl[[#This Row],[Year]],ProductivityBaseline[Title]&amp;ProductivityBaseline[Year to use],0))</f>
        <v>0</v>
      </c>
      <c r="M335" s="32">
        <f>IFERROR(capacityTbl[[#This Row],[No. of Transaction]]/(capacityTbl[[#This Row],[Productivity Baseline (Transation/FTE/Day)]]*capacityTbl[[#This Row],[Weighted Working day]]),0)</f>
        <v>0</v>
      </c>
      <c r="N335" s="33">
        <f>IFERROR(capacityTbl[[#This Row],[No. of Transaction]]/capacityTbl[[#This Row],[Production Days]],0)</f>
        <v>0</v>
      </c>
    </row>
    <row r="336" spans="1:14" x14ac:dyDescent="0.25">
      <c r="A336" s="37">
        <v>2025</v>
      </c>
      <c r="B336" s="112" t="s">
        <v>27</v>
      </c>
      <c r="C336" s="113" t="s">
        <v>298</v>
      </c>
      <c r="D336" s="89"/>
      <c r="E336" s="90"/>
      <c r="F336" s="42" cm="1">
        <f t="array" ref="F33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36" s="43" cm="1">
        <f t="array" ref="G33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6" s="43" cm="1">
        <f t="array" ref="H336">INDEX(stdWorkingDays[],MATCH(capacityTbl[[#This Row],[Year]]&amp;capacityTbl[[#This Row],[Month]],stdWorkingDays[Year]&amp;stdWorkingDays[Month],0),MATCH("China",stdWorkingDays[#Headers],0))</f>
        <v>23</v>
      </c>
      <c r="I336" s="43" cm="1">
        <f t="array" ref="I336">INDEX(stdWorkingDays[],MATCH(capacityTbl[[#This Row],[Year]]&amp;capacityTbl[[#This Row],[Month]],stdWorkingDays[Year]&amp;stdWorkingDays[Month],0),MATCH("Philippine",stdWorkingDays[#Headers],0))</f>
        <v>18</v>
      </c>
      <c r="J336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36" s="45">
        <f>IFERROR(capacityTbl[[#This Row],[Production Days]]/capacityTbl[[#This Row],[Weighted Working day]],0)</f>
        <v>0</v>
      </c>
      <c r="L336" s="44" cm="1">
        <f t="array" ref="L336">INDEX(ProductivityBaseline[ProductivityBaseline],MATCH(capacityTbl[[#This Row],[Process]]&amp;capacityTbl[[#This Row],[Year]],ProductivityBaseline[Title]&amp;ProductivityBaseline[Year to use],0))</f>
        <v>0</v>
      </c>
      <c r="M336" s="46">
        <f>IFERROR(capacityTbl[[#This Row],[No. of Transaction]]/(capacityTbl[[#This Row],[Productivity Baseline (Transation/FTE/Day)]]*capacityTbl[[#This Row],[Weighted Working day]]),0)</f>
        <v>0</v>
      </c>
      <c r="N336" s="47">
        <f>IFERROR(capacityTbl[[#This Row],[No. of Transaction]]/capacityTbl[[#This Row],[Production Days]],0)</f>
        <v>0</v>
      </c>
    </row>
    <row r="337" spans="1:14" x14ac:dyDescent="0.25">
      <c r="A337" s="49">
        <v>2025</v>
      </c>
      <c r="B337" s="25" t="s">
        <v>14</v>
      </c>
      <c r="C337" s="34" t="s">
        <v>29</v>
      </c>
      <c r="D337" s="87">
        <v>87</v>
      </c>
      <c r="E337" s="88">
        <v>84.5</v>
      </c>
      <c r="F337" s="29" cm="1">
        <f t="array" ref="F337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37" s="30" cm="1">
        <f t="array" ref="G33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7" s="30" cm="1">
        <f t="array" ref="H337">INDEX(stdWorkingDays[],MATCH(capacityTbl[[#This Row],[Year]]&amp;capacityTbl[[#This Row],[Month]],stdWorkingDays[Year]&amp;stdWorkingDays[Month],0),MATCH("China",stdWorkingDays[#Headers],0))</f>
        <v>19</v>
      </c>
      <c r="I337" s="30" cm="1">
        <f t="array" ref="I337">INDEX(stdWorkingDays[],MATCH(capacityTbl[[#This Row],[Year]]&amp;capacityTbl[[#This Row],[Month]],stdWorkingDays[Year]&amp;stdWorkingDays[Month],0),MATCH("Philippine",stdWorkingDays[#Headers],0))</f>
        <v>21</v>
      </c>
      <c r="J337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337" s="31">
        <f>IFERROR(capacityTbl[[#This Row],[Production Days]]/capacityTbl[[#This Row],[Weighted Working day]],0)</f>
        <v>4.4473684210526319</v>
      </c>
      <c r="L337" s="31" cm="1">
        <f t="array" ref="L337">INDEX(ProductivityBaseline[ProductivityBaseline],MATCH(capacityTbl[[#This Row],[Process]]&amp;capacityTbl[[#This Row],[Year]],ProductivityBaseline[Title]&amp;ProductivityBaseline[Year to use],0))</f>
        <v>0.47195858498705778</v>
      </c>
      <c r="M337" s="32">
        <f>IFERROR(capacityTbl[[#This Row],[No. of Transaction]]/(capacityTbl[[#This Row],[Productivity Baseline (Transation/FTE/Day)]]*capacityTbl[[#This Row],[Weighted Working day]]),0)</f>
        <v>9.7020109689213889</v>
      </c>
      <c r="N337" s="33">
        <f>IFERROR(capacityTbl[[#This Row],[No. of Transaction]]/capacityTbl[[#This Row],[Production Days]],0)</f>
        <v>1.029585798816568</v>
      </c>
    </row>
    <row r="338" spans="1:14" x14ac:dyDescent="0.25">
      <c r="A338" s="49">
        <v>2025</v>
      </c>
      <c r="B338" s="25" t="s">
        <v>17</v>
      </c>
      <c r="C338" s="26" t="s">
        <v>29</v>
      </c>
      <c r="D338" s="87">
        <v>110</v>
      </c>
      <c r="E338" s="88">
        <v>96</v>
      </c>
      <c r="F338" s="29" cm="1">
        <f t="array" ref="F338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38" s="30" cm="1">
        <f t="array" ref="G33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8" s="30" cm="1">
        <f t="array" ref="H338">INDEX(stdWorkingDays[],MATCH(capacityTbl[[#This Row],[Year]]&amp;capacityTbl[[#This Row],[Month]],stdWorkingDays[Year]&amp;stdWorkingDays[Month],0),MATCH("China",stdWorkingDays[#Headers],0))</f>
        <v>19</v>
      </c>
      <c r="I338" s="30" cm="1">
        <f t="array" ref="I338">INDEX(stdWorkingDays[],MATCH(capacityTbl[[#This Row],[Year]]&amp;capacityTbl[[#This Row],[Month]],stdWorkingDays[Year]&amp;stdWorkingDays[Month],0),MATCH("Philippine",stdWorkingDays[#Headers],0))</f>
        <v>20</v>
      </c>
      <c r="J338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338" s="31">
        <f>IFERROR(capacityTbl[[#This Row],[Production Days]]/capacityTbl[[#This Row],[Weighted Working day]],0)</f>
        <v>5.0526315789473681</v>
      </c>
      <c r="L338" s="31" cm="1">
        <f t="array" ref="L338">INDEX(ProductivityBaseline[ProductivityBaseline],MATCH(capacityTbl[[#This Row],[Process]]&amp;capacityTbl[[#This Row],[Year]],ProductivityBaseline[Title]&amp;ProductivityBaseline[Year to use],0))</f>
        <v>0.47195858498705778</v>
      </c>
      <c r="M338" s="32">
        <f>IFERROR(capacityTbl[[#This Row],[No. of Transaction]]/(capacityTbl[[#This Row],[Productivity Baseline (Transation/FTE/Day)]]*capacityTbl[[#This Row],[Weighted Working day]]),0)</f>
        <v>12.26691042047532</v>
      </c>
      <c r="N338" s="33">
        <f>IFERROR(capacityTbl[[#This Row],[No. of Transaction]]/capacityTbl[[#This Row],[Production Days]],0)</f>
        <v>1.1458333333333333</v>
      </c>
    </row>
    <row r="339" spans="1:14" x14ac:dyDescent="0.25">
      <c r="A339" s="49">
        <v>2025</v>
      </c>
      <c r="B339" s="25" t="s">
        <v>18</v>
      </c>
      <c r="C339" s="26" t="s">
        <v>29</v>
      </c>
      <c r="D339" s="87">
        <v>130</v>
      </c>
      <c r="E339" s="88">
        <v>151</v>
      </c>
      <c r="F339" s="29" cm="1">
        <f t="array" ref="F339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39" s="30" cm="1">
        <f t="array" ref="G33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39" s="30" cm="1">
        <f t="array" ref="H339">INDEX(stdWorkingDays[],MATCH(capacityTbl[[#This Row],[Year]]&amp;capacityTbl[[#This Row],[Month]],stdWorkingDays[Year]&amp;stdWorkingDays[Month],0),MATCH("China",stdWorkingDays[#Headers],0))</f>
        <v>21</v>
      </c>
      <c r="I339" s="30" cm="1">
        <f t="array" ref="I339">INDEX(stdWorkingDays[],MATCH(capacityTbl[[#This Row],[Year]]&amp;capacityTbl[[#This Row],[Month]],stdWorkingDays[Year]&amp;stdWorkingDays[Month],0),MATCH("Philippine",stdWorkingDays[#Headers],0))</f>
        <v>21</v>
      </c>
      <c r="J339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39" s="31">
        <f>IFERROR(capacityTbl[[#This Row],[Production Days]]/capacityTbl[[#This Row],[Weighted Working day]],0)</f>
        <v>7.1904761904761907</v>
      </c>
      <c r="L339" s="31" cm="1">
        <f t="array" ref="L339">INDEX(ProductivityBaseline[ProductivityBaseline],MATCH(capacityTbl[[#This Row],[Process]]&amp;capacityTbl[[#This Row],[Year]],ProductivityBaseline[Title]&amp;ProductivityBaseline[Year to use],0))</f>
        <v>0.47195858498705778</v>
      </c>
      <c r="M339" s="32">
        <f>IFERROR(capacityTbl[[#This Row],[No. of Transaction]]/(capacityTbl[[#This Row],[Productivity Baseline (Transation/FTE/Day)]]*capacityTbl[[#This Row],[Weighted Working day]]),0)</f>
        <v>13.116566553495257</v>
      </c>
      <c r="N339" s="33">
        <f>IFERROR(capacityTbl[[#This Row],[No. of Transaction]]/capacityTbl[[#This Row],[Production Days]],0)</f>
        <v>0.86092715231788075</v>
      </c>
    </row>
    <row r="340" spans="1:14" x14ac:dyDescent="0.25">
      <c r="A340" s="49">
        <v>2025</v>
      </c>
      <c r="B340" s="25" t="s">
        <v>19</v>
      </c>
      <c r="C340" s="26" t="s">
        <v>29</v>
      </c>
      <c r="D340" s="87">
        <v>113</v>
      </c>
      <c r="E340" s="88">
        <v>114</v>
      </c>
      <c r="F340" s="29" cm="1">
        <f t="array" ref="F340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0" s="30" cm="1">
        <f t="array" ref="G34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0" s="30" cm="1">
        <f t="array" ref="H340">INDEX(stdWorkingDays[],MATCH(capacityTbl[[#This Row],[Year]]&amp;capacityTbl[[#This Row],[Month]],stdWorkingDays[Year]&amp;stdWorkingDays[Month],0),MATCH("China",stdWorkingDays[#Headers],0))</f>
        <v>22</v>
      </c>
      <c r="I340" s="30" cm="1">
        <f t="array" ref="I340">INDEX(stdWorkingDays[],MATCH(capacityTbl[[#This Row],[Year]]&amp;capacityTbl[[#This Row],[Month]],stdWorkingDays[Year]&amp;stdWorkingDays[Month],0),MATCH("Philippine",stdWorkingDays[#Headers],0))</f>
        <v>19</v>
      </c>
      <c r="J340" s="31">
        <f>IFERROR((capacityTbl[[#This Row],[FTE-WUHAN]]*capacityTbl[[#This Row],[CH-Standard Working Days]]+capacityTbl[[#This Row],[FTE-MNL]]*capacityTbl[[#This Row],[PH-Standard Working Days]])/SUM(capacityTbl[[#This Row],[FTE-WUHAN]:[FTE-MNL]]),0)</f>
        <v>22</v>
      </c>
      <c r="K340" s="31">
        <f>IFERROR(capacityTbl[[#This Row],[Production Days]]/capacityTbl[[#This Row],[Weighted Working day]],0)</f>
        <v>5.1818181818181817</v>
      </c>
      <c r="L340" s="31" cm="1">
        <f t="array" ref="L340">INDEX(ProductivityBaseline[ProductivityBaseline],MATCH(capacityTbl[[#This Row],[Process]]&amp;capacityTbl[[#This Row],[Year]],ProductivityBaseline[Title]&amp;ProductivityBaseline[Year to use],0))</f>
        <v>0.47195858498705778</v>
      </c>
      <c r="M340" s="32">
        <f>IFERROR(capacityTbl[[#This Row],[No. of Transaction]]/(capacityTbl[[#This Row],[Productivity Baseline (Transation/FTE/Day)]]*capacityTbl[[#This Row],[Weighted Working day]]),0)</f>
        <v>10.883081269735749</v>
      </c>
      <c r="N340" s="33">
        <f>IFERROR(capacityTbl[[#This Row],[No. of Transaction]]/capacityTbl[[#This Row],[Production Days]],0)</f>
        <v>0.99122807017543857</v>
      </c>
    </row>
    <row r="341" spans="1:14" x14ac:dyDescent="0.25">
      <c r="A341" s="49">
        <v>2025</v>
      </c>
      <c r="B341" s="25" t="s">
        <v>20</v>
      </c>
      <c r="C341" s="26" t="s">
        <v>29</v>
      </c>
      <c r="D341" s="87">
        <v>85</v>
      </c>
      <c r="E341" s="88">
        <v>89</v>
      </c>
      <c r="F341" s="29" cm="1">
        <f t="array" ref="F341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1" s="30" cm="1">
        <f t="array" ref="G34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1" s="30" cm="1">
        <f t="array" ref="H341">INDEX(stdWorkingDays[],MATCH(capacityTbl[[#This Row],[Year]]&amp;capacityTbl[[#This Row],[Month]],stdWorkingDays[Year]&amp;stdWorkingDays[Month],0),MATCH("China",stdWorkingDays[#Headers],0))</f>
        <v>19</v>
      </c>
      <c r="I341" s="30" cm="1">
        <f t="array" ref="I341">INDEX(stdWorkingDays[],MATCH(capacityTbl[[#This Row],[Year]]&amp;capacityTbl[[#This Row],[Month]],stdWorkingDays[Year]&amp;stdWorkingDays[Month],0),MATCH("Philippine",stdWorkingDays[#Headers],0))</f>
        <v>21</v>
      </c>
      <c r="J341" s="31">
        <f>IFERROR((capacityTbl[[#This Row],[FTE-WUHAN]]*capacityTbl[[#This Row],[CH-Standard Working Days]]+capacityTbl[[#This Row],[FTE-MNL]]*capacityTbl[[#This Row],[PH-Standard Working Days]])/SUM(capacityTbl[[#This Row],[FTE-WUHAN]:[FTE-MNL]]),0)</f>
        <v>19</v>
      </c>
      <c r="K341" s="31">
        <f>IFERROR(capacityTbl[[#This Row],[Production Days]]/capacityTbl[[#This Row],[Weighted Working day]],0)</f>
        <v>4.6842105263157894</v>
      </c>
      <c r="L341" s="31" cm="1">
        <f t="array" ref="L341">INDEX(ProductivityBaseline[ProductivityBaseline],MATCH(capacityTbl[[#This Row],[Process]]&amp;capacityTbl[[#This Row],[Year]],ProductivityBaseline[Title]&amp;ProductivityBaseline[Year to use],0))</f>
        <v>0.47195858498705778</v>
      </c>
      <c r="M341" s="32">
        <f>IFERROR(capacityTbl[[#This Row],[No. of Transaction]]/(capacityTbl[[#This Row],[Productivity Baseline (Transation/FTE/Day)]]*capacityTbl[[#This Row],[Weighted Working day]]),0)</f>
        <v>9.4789762340036567</v>
      </c>
      <c r="N341" s="33">
        <f>IFERROR(capacityTbl[[#This Row],[No. of Transaction]]/capacityTbl[[#This Row],[Production Days]],0)</f>
        <v>0.9550561797752809</v>
      </c>
    </row>
    <row r="342" spans="1:14" x14ac:dyDescent="0.25">
      <c r="A342" s="49">
        <v>2025</v>
      </c>
      <c r="B342" s="25" t="s">
        <v>21</v>
      </c>
      <c r="C342" s="26" t="s">
        <v>29</v>
      </c>
      <c r="D342" s="87">
        <v>67</v>
      </c>
      <c r="E342" s="88">
        <v>95</v>
      </c>
      <c r="F342" s="29" cm="1">
        <f t="array" ref="F342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2" s="30" cm="1">
        <f t="array" ref="G34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2" s="30" cm="1">
        <f t="array" ref="H342">INDEX(stdWorkingDays[],MATCH(capacityTbl[[#This Row],[Year]]&amp;capacityTbl[[#This Row],[Month]],stdWorkingDays[Year]&amp;stdWorkingDays[Month],0),MATCH("China",stdWorkingDays[#Headers],0))</f>
        <v>20</v>
      </c>
      <c r="I342" s="30" cm="1">
        <f t="array" ref="I342">INDEX(stdWorkingDays[],MATCH(capacityTbl[[#This Row],[Year]]&amp;capacityTbl[[#This Row],[Month]],stdWorkingDays[Year]&amp;stdWorkingDays[Month],0),MATCH("Philippine",stdWorkingDays[#Headers],0))</f>
        <v>19</v>
      </c>
      <c r="J342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42" s="31">
        <f>IFERROR(capacityTbl[[#This Row],[Production Days]]/capacityTbl[[#This Row],[Weighted Working day]],0)</f>
        <v>4.75</v>
      </c>
      <c r="L342" s="31" cm="1">
        <f t="array" ref="L342">INDEX(ProductivityBaseline[ProductivityBaseline],MATCH(capacityTbl[[#This Row],[Process]]&amp;capacityTbl[[#This Row],[Year]],ProductivityBaseline[Title]&amp;ProductivityBaseline[Year to use],0))</f>
        <v>0.47195858498705778</v>
      </c>
      <c r="M342" s="32">
        <f>IFERROR(capacityTbl[[#This Row],[No. of Transaction]]/(capacityTbl[[#This Row],[Productivity Baseline (Transation/FTE/Day)]]*capacityTbl[[#This Row],[Weighted Working day]]),0)</f>
        <v>7.0980804387568561</v>
      </c>
      <c r="N342" s="33">
        <f>IFERROR(capacityTbl[[#This Row],[No. of Transaction]]/capacityTbl[[#This Row],[Production Days]],0)</f>
        <v>0.70526315789473681</v>
      </c>
    </row>
    <row r="343" spans="1:14" x14ac:dyDescent="0.25">
      <c r="A343" s="49">
        <v>2025</v>
      </c>
      <c r="B343" s="25" t="s">
        <v>22</v>
      </c>
      <c r="C343" s="26" t="s">
        <v>29</v>
      </c>
      <c r="D343" s="87">
        <v>54</v>
      </c>
      <c r="E343" s="88">
        <v>101</v>
      </c>
      <c r="F343" s="29" cm="1">
        <f t="array" ref="F343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3" s="30" cm="1">
        <f t="array" ref="G34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3" s="30" cm="1">
        <f t="array" ref="H343">INDEX(stdWorkingDays[],MATCH(capacityTbl[[#This Row],[Year]]&amp;capacityTbl[[#This Row],[Month]],stdWorkingDays[Year]&amp;stdWorkingDays[Month],0),MATCH("China",stdWorkingDays[#Headers],0))</f>
        <v>23</v>
      </c>
      <c r="I343" s="30" cm="1">
        <f t="array" ref="I343">INDEX(stdWorkingDays[],MATCH(capacityTbl[[#This Row],[Year]]&amp;capacityTbl[[#This Row],[Month]],stdWorkingDays[Year]&amp;stdWorkingDays[Month],0),MATCH("Philippine",stdWorkingDays[#Headers],0))</f>
        <v>23</v>
      </c>
      <c r="J343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43" s="31">
        <f>IFERROR(capacityTbl[[#This Row],[Production Days]]/capacityTbl[[#This Row],[Weighted Working day]],0)</f>
        <v>4.3913043478260869</v>
      </c>
      <c r="L343" s="31" cm="1">
        <f t="array" ref="L343">INDEX(ProductivityBaseline[ProductivityBaseline],MATCH(capacityTbl[[#This Row],[Process]]&amp;capacityTbl[[#This Row],[Year]],ProductivityBaseline[Title]&amp;ProductivityBaseline[Year to use],0))</f>
        <v>0.47195858498705778</v>
      </c>
      <c r="M343" s="32">
        <f>IFERROR(capacityTbl[[#This Row],[No. of Transaction]]/(capacityTbl[[#This Row],[Productivity Baseline (Transation/FTE/Day)]]*capacityTbl[[#This Row],[Weighted Working day]]),0)</f>
        <v>4.9746443049042206</v>
      </c>
      <c r="N343" s="33">
        <f>IFERROR(capacityTbl[[#This Row],[No. of Transaction]]/capacityTbl[[#This Row],[Production Days]],0)</f>
        <v>0.53465346534653468</v>
      </c>
    </row>
    <row r="344" spans="1:14" x14ac:dyDescent="0.25">
      <c r="A344" s="49">
        <v>2025</v>
      </c>
      <c r="B344" s="25" t="s">
        <v>23</v>
      </c>
      <c r="C344" s="26" t="s">
        <v>29</v>
      </c>
      <c r="D344" s="87">
        <v>48</v>
      </c>
      <c r="E344" s="88">
        <v>84.5</v>
      </c>
      <c r="F344" s="29" cm="1">
        <f t="array" ref="F344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4" s="30" cm="1">
        <f t="array" ref="G34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4" s="30" cm="1">
        <f t="array" ref="H344">INDEX(stdWorkingDays[],MATCH(capacityTbl[[#This Row],[Year]]&amp;capacityTbl[[#This Row],[Month]],stdWorkingDays[Year]&amp;stdWorkingDays[Month],0),MATCH("China",stdWorkingDays[#Headers],0))</f>
        <v>21</v>
      </c>
      <c r="I344" s="30" cm="1">
        <f t="array" ref="I344">INDEX(stdWorkingDays[],MATCH(capacityTbl[[#This Row],[Year]]&amp;capacityTbl[[#This Row],[Month]],stdWorkingDays[Year]&amp;stdWorkingDays[Month],0),MATCH("Philippine",stdWorkingDays[#Headers],0))</f>
        <v>19</v>
      </c>
      <c r="J344" s="31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44" s="31">
        <f>IFERROR(capacityTbl[[#This Row],[Production Days]]/capacityTbl[[#This Row],[Weighted Working day]],0)</f>
        <v>4.0238095238095237</v>
      </c>
      <c r="L344" s="31" cm="1">
        <f t="array" ref="L344">INDEX(ProductivityBaseline[ProductivityBaseline],MATCH(capacityTbl[[#This Row],[Process]]&amp;capacityTbl[[#This Row],[Year]],ProductivityBaseline[Title]&amp;ProductivityBaseline[Year to use],0))</f>
        <v>0.47195858498705778</v>
      </c>
      <c r="M344" s="32">
        <f>IFERROR(capacityTbl[[#This Row],[No. of Transaction]]/(capacityTbl[[#This Row],[Productivity Baseline (Transation/FTE/Day)]]*capacityTbl[[#This Row],[Weighted Working day]]),0)</f>
        <v>4.8430399582136339</v>
      </c>
      <c r="N344" s="33">
        <f>IFERROR(capacityTbl[[#This Row],[No. of Transaction]]/capacityTbl[[#This Row],[Production Days]],0)</f>
        <v>0.56804733727810652</v>
      </c>
    </row>
    <row r="345" spans="1:14" x14ac:dyDescent="0.25">
      <c r="A345" s="49">
        <v>2025</v>
      </c>
      <c r="B345" s="25" t="s">
        <v>24</v>
      </c>
      <c r="C345" s="26" t="s">
        <v>29</v>
      </c>
      <c r="D345" s="87"/>
      <c r="E345" s="88"/>
      <c r="F345" s="29" cm="1">
        <f t="array" ref="F345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5" s="30" cm="1">
        <f t="array" ref="G34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5" s="30" cm="1">
        <f t="array" ref="H345">INDEX(stdWorkingDays[],MATCH(capacityTbl[[#This Row],[Year]]&amp;capacityTbl[[#This Row],[Month]],stdWorkingDays[Year]&amp;stdWorkingDays[Month],0),MATCH("China",stdWorkingDays[#Headers],0))</f>
        <v>23</v>
      </c>
      <c r="I345" s="30" cm="1">
        <f t="array" ref="I345">INDEX(stdWorkingDays[],MATCH(capacityTbl[[#This Row],[Year]]&amp;capacityTbl[[#This Row],[Month]],stdWorkingDays[Year]&amp;stdWorkingDays[Month],0),MATCH("Philippine",stdWorkingDays[#Headers],0))</f>
        <v>22</v>
      </c>
      <c r="J345" s="31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45" s="31">
        <f>IFERROR(capacityTbl[[#This Row],[Production Days]]/capacityTbl[[#This Row],[Weighted Working day]],0)</f>
        <v>0</v>
      </c>
      <c r="L345" s="31" cm="1">
        <f t="array" ref="L345">INDEX(ProductivityBaseline[ProductivityBaseline],MATCH(capacityTbl[[#This Row],[Process]]&amp;capacityTbl[[#This Row],[Year]],ProductivityBaseline[Title]&amp;ProductivityBaseline[Year to use],0))</f>
        <v>0.47195858498705778</v>
      </c>
      <c r="M345" s="32">
        <f>IFERROR(capacityTbl[[#This Row],[No. of Transaction]]/(capacityTbl[[#This Row],[Productivity Baseline (Transation/FTE/Day)]]*capacityTbl[[#This Row],[Weighted Working day]]),0)</f>
        <v>0</v>
      </c>
      <c r="N345" s="33">
        <f>IFERROR(capacityTbl[[#This Row],[No. of Transaction]]/capacityTbl[[#This Row],[Production Days]],0)</f>
        <v>0</v>
      </c>
    </row>
    <row r="346" spans="1:14" x14ac:dyDescent="0.25">
      <c r="A346" s="49">
        <v>2025</v>
      </c>
      <c r="B346" s="25" t="s">
        <v>30</v>
      </c>
      <c r="C346" s="26" t="s">
        <v>29</v>
      </c>
      <c r="D346" s="87"/>
      <c r="E346" s="88"/>
      <c r="F346" s="29" cm="1">
        <f t="array" ref="F346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6" s="30" cm="1">
        <f t="array" ref="G34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6" s="30" cm="1">
        <f t="array" ref="H346">INDEX(stdWorkingDays[],MATCH(capacityTbl[[#This Row],[Year]]&amp;capacityTbl[[#This Row],[Month]],stdWorkingDays[Year]&amp;stdWorkingDays[Month],0),MATCH("China",stdWorkingDays[#Headers],0))</f>
        <v>18</v>
      </c>
      <c r="I346" s="30" cm="1">
        <f t="array" ref="I346">INDEX(stdWorkingDays[],MATCH(capacityTbl[[#This Row],[Year]]&amp;capacityTbl[[#This Row],[Month]],stdWorkingDays[Year]&amp;stdWorkingDays[Month],0),MATCH("Philippine",stdWorkingDays[#Headers],0))</f>
        <v>22</v>
      </c>
      <c r="J346" s="31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346" s="31">
        <f>IFERROR(capacityTbl[[#This Row],[Production Days]]/capacityTbl[[#This Row],[Weighted Working day]],0)</f>
        <v>0</v>
      </c>
      <c r="L346" s="31" cm="1">
        <f t="array" ref="L346">INDEX(ProductivityBaseline[ProductivityBaseline],MATCH(capacityTbl[[#This Row],[Process]]&amp;capacityTbl[[#This Row],[Year]],ProductivityBaseline[Title]&amp;ProductivityBaseline[Year to use],0))</f>
        <v>0.47195858498705778</v>
      </c>
      <c r="M346" s="32">
        <f>IFERROR(capacityTbl[[#This Row],[No. of Transaction]]/(capacityTbl[[#This Row],[Productivity Baseline (Transation/FTE/Day)]]*capacityTbl[[#This Row],[Weighted Working day]]),0)</f>
        <v>0</v>
      </c>
      <c r="N346" s="33">
        <f>IFERROR(capacityTbl[[#This Row],[No. of Transaction]]/capacityTbl[[#This Row],[Production Days]],0)</f>
        <v>0</v>
      </c>
    </row>
    <row r="347" spans="1:14" x14ac:dyDescent="0.25">
      <c r="A347" s="49">
        <v>2025</v>
      </c>
      <c r="B347" s="25" t="s">
        <v>26</v>
      </c>
      <c r="C347" s="26" t="s">
        <v>29</v>
      </c>
      <c r="D347" s="87"/>
      <c r="E347" s="88"/>
      <c r="F347" s="29" cm="1">
        <f t="array" ref="F347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7" s="30" cm="1">
        <f t="array" ref="G34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7" s="30" cm="1">
        <f t="array" ref="H347">INDEX(stdWorkingDays[],MATCH(capacityTbl[[#This Row],[Year]]&amp;capacityTbl[[#This Row],[Month]],stdWorkingDays[Year]&amp;stdWorkingDays[Month],0),MATCH("China",stdWorkingDays[#Headers],0))</f>
        <v>20</v>
      </c>
      <c r="I347" s="30" cm="1">
        <f t="array" ref="I347">INDEX(stdWorkingDays[],MATCH(capacityTbl[[#This Row],[Year]]&amp;capacityTbl[[#This Row],[Month]],stdWorkingDays[Year]&amp;stdWorkingDays[Month],0),MATCH("Philippine",stdWorkingDays[#Headers],0))</f>
        <v>20</v>
      </c>
      <c r="J347" s="31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47" s="31">
        <f>IFERROR(capacityTbl[[#This Row],[Production Days]]/capacityTbl[[#This Row],[Weighted Working day]],0)</f>
        <v>0</v>
      </c>
      <c r="L347" s="31" cm="1">
        <f t="array" ref="L347">INDEX(ProductivityBaseline[ProductivityBaseline],MATCH(capacityTbl[[#This Row],[Process]]&amp;capacityTbl[[#This Row],[Year]],ProductivityBaseline[Title]&amp;ProductivityBaseline[Year to use],0))</f>
        <v>0.47195858498705778</v>
      </c>
      <c r="M347" s="32">
        <f>IFERROR(capacityTbl[[#This Row],[No. of Transaction]]/(capacityTbl[[#This Row],[Productivity Baseline (Transation/FTE/Day)]]*capacityTbl[[#This Row],[Weighted Working day]]),0)</f>
        <v>0</v>
      </c>
      <c r="N347" s="33">
        <f>IFERROR(capacityTbl[[#This Row],[No. of Transaction]]/capacityTbl[[#This Row],[Production Days]],0)</f>
        <v>0</v>
      </c>
    </row>
    <row r="348" spans="1:14" x14ac:dyDescent="0.25">
      <c r="A348" s="50">
        <v>2025</v>
      </c>
      <c r="B348" s="38" t="s">
        <v>27</v>
      </c>
      <c r="C348" s="39" t="s">
        <v>29</v>
      </c>
      <c r="D348" s="89"/>
      <c r="E348" s="90"/>
      <c r="F348" s="42" cm="1">
        <f t="array" ref="F348">IFERROR(INDEX(FTE_stdWD[FTE],MATCH(capacityTbl[[#This Row],[Process]]&amp;capacityTbl[[#This Row],[Month]]&amp;capacityTbl[[#This Row],[Year]]&amp;"WUH",FTE_stdWD[Service Description]&amp;FTE_stdWD[Month]&amp;FTE_stdWD[Year]&amp;FTE_stdWD[Country],0)),0)</f>
        <v>5</v>
      </c>
      <c r="G348" s="43" cm="1">
        <f t="array" ref="G34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8" s="43" cm="1">
        <f t="array" ref="H348">INDEX(stdWorkingDays[],MATCH(capacityTbl[[#This Row],[Year]]&amp;capacityTbl[[#This Row],[Month]],stdWorkingDays[Year]&amp;stdWorkingDays[Month],0),MATCH("China",stdWorkingDays[#Headers],0))</f>
        <v>23</v>
      </c>
      <c r="I348" s="43" cm="1">
        <f t="array" ref="I348">INDEX(stdWorkingDays[],MATCH(capacityTbl[[#This Row],[Year]]&amp;capacityTbl[[#This Row],[Month]],stdWorkingDays[Year]&amp;stdWorkingDays[Month],0),MATCH("Philippine",stdWorkingDays[#Headers],0))</f>
        <v>18</v>
      </c>
      <c r="J348" s="44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48" s="44">
        <f>IFERROR(capacityTbl[[#This Row],[Production Days]]/capacityTbl[[#This Row],[Weighted Working day]],0)</f>
        <v>0</v>
      </c>
      <c r="L348" s="44" cm="1">
        <f t="array" ref="L348">INDEX(ProductivityBaseline[ProductivityBaseline],MATCH(capacityTbl[[#This Row],[Process]]&amp;capacityTbl[[#This Row],[Year]],ProductivityBaseline[Title]&amp;ProductivityBaseline[Year to use],0))</f>
        <v>0.47195858498705778</v>
      </c>
      <c r="M348" s="46">
        <f>IFERROR(capacityTbl[[#This Row],[No. of Transaction]]/(capacityTbl[[#This Row],[Productivity Baseline (Transation/FTE/Day)]]*capacityTbl[[#This Row],[Weighted Working day]]),0)</f>
        <v>0</v>
      </c>
      <c r="N348" s="47">
        <f>IFERROR(capacityTbl[[#This Row],[No. of Transaction]]/capacityTbl[[#This Row],[Production Days]],0)</f>
        <v>0</v>
      </c>
    </row>
    <row r="349" spans="1:14" x14ac:dyDescent="0.25">
      <c r="A349" s="37">
        <v>2025</v>
      </c>
      <c r="B349" s="112" t="s">
        <v>14</v>
      </c>
      <c r="C349" s="113" t="s">
        <v>337</v>
      </c>
      <c r="D349" s="89">
        <f>69+N("from AU AF Operation")
+427+N("SG IMP-billing")
+253+N("SG Pre-alert")
+3+N("SG Arrival Notice")</f>
        <v>752</v>
      </c>
      <c r="E349" s="90">
        <f t="shared" ref="E349:E356" si="0">69+N("from AU AF Operation")
+427+N("SG IMP-billing")
+253+N("SG Pre-alert")
+3+N("SG Arrival Notice")</f>
        <v>752</v>
      </c>
      <c r="F349" s="42" cm="1">
        <f t="array" ref="F34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49" s="43" cm="1">
        <f t="array" ref="G34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49" s="43" cm="1">
        <f t="array" ref="H349">INDEX(stdWorkingDays[],MATCH(capacityTbl[[#This Row],[Year]]&amp;capacityTbl[[#This Row],[Month]],stdWorkingDays[Year]&amp;stdWorkingDays[Month],0),MATCH("China",stdWorkingDays[#Headers],0))</f>
        <v>19</v>
      </c>
      <c r="I349" s="43" cm="1">
        <f t="array" ref="I349">INDEX(stdWorkingDays[],MATCH(capacityTbl[[#This Row],[Year]]&amp;capacityTbl[[#This Row],[Month]],stdWorkingDays[Year]&amp;stdWorkingDays[Month],0),MATCH("Philippine",stdWorkingDays[#Headers],0))</f>
        <v>21</v>
      </c>
      <c r="J349" s="44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49" s="45">
        <f>IFERROR(capacityTbl[[#This Row],[Production Days]]/capacityTbl[[#This Row],[Weighted Working day]],0)</f>
        <v>0</v>
      </c>
      <c r="L349" s="44" cm="1">
        <f t="array" ref="L349">INDEX(ProductivityBaseline[ProductivityBaseline],MATCH(capacityTbl[[#This Row],[Process]]&amp;capacityTbl[[#This Row],[Year]],ProductivityBaseline[Title]&amp;ProductivityBaseline[Year to use],0))</f>
        <v>0</v>
      </c>
      <c r="M349" s="46">
        <f>IFERROR(capacityTbl[[#This Row],[No. of Transaction]]/(capacityTbl[[#This Row],[Productivity Baseline (Transation/FTE/Day)]]*capacityTbl[[#This Row],[Weighted Working day]]),0)</f>
        <v>0</v>
      </c>
      <c r="N349" s="47">
        <f>IFERROR(capacityTbl[[#This Row],[No. of Transaction]]/capacityTbl[[#This Row],[Production Days]],0)</f>
        <v>1</v>
      </c>
    </row>
    <row r="350" spans="1:14" x14ac:dyDescent="0.25">
      <c r="A350" s="24">
        <v>2025</v>
      </c>
      <c r="B350" s="110" t="s">
        <v>17</v>
      </c>
      <c r="C350" s="113" t="s">
        <v>337</v>
      </c>
      <c r="D350" s="87">
        <f>89+N("from AU AF Operation")
+372+N("SG IMP-billing")
+203+N("SG Pre-alert")
+5+N("SG Arrival Notice")</f>
        <v>669</v>
      </c>
      <c r="E350" s="88">
        <f t="shared" si="0"/>
        <v>752</v>
      </c>
      <c r="F350" s="29" cm="1">
        <f t="array" ref="F35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0" s="30" cm="1">
        <f t="array" ref="G35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0" s="30" cm="1">
        <f t="array" ref="H350">INDEX(stdWorkingDays[],MATCH(capacityTbl[[#This Row],[Year]]&amp;capacityTbl[[#This Row],[Month]],stdWorkingDays[Year]&amp;stdWorkingDays[Month],0),MATCH("China",stdWorkingDays[#Headers],0))</f>
        <v>19</v>
      </c>
      <c r="I350" s="30" cm="1">
        <f t="array" ref="I350">INDEX(stdWorkingDays[],MATCH(capacityTbl[[#This Row],[Year]]&amp;capacityTbl[[#This Row],[Month]],stdWorkingDays[Year]&amp;stdWorkingDays[Month],0),MATCH("Philippine",stdWorkingDays[#Headers],0))</f>
        <v>20</v>
      </c>
      <c r="J35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0" s="35">
        <f>IFERROR(capacityTbl[[#This Row],[Production Days]]/capacityTbl[[#This Row],[Weighted Working day]],0)</f>
        <v>0</v>
      </c>
      <c r="L350" s="31" cm="1">
        <f t="array" ref="L350">INDEX(ProductivityBaseline[ProductivityBaseline],MATCH(capacityTbl[[#This Row],[Process]]&amp;capacityTbl[[#This Row],[Year]],ProductivityBaseline[Title]&amp;ProductivityBaseline[Year to use],0))</f>
        <v>0</v>
      </c>
      <c r="M350" s="32">
        <f>IFERROR(capacityTbl[[#This Row],[No. of Transaction]]/(capacityTbl[[#This Row],[Productivity Baseline (Transation/FTE/Day)]]*capacityTbl[[#This Row],[Weighted Working day]]),0)</f>
        <v>0</v>
      </c>
      <c r="N350" s="33">
        <f>IFERROR(capacityTbl[[#This Row],[No. of Transaction]]/capacityTbl[[#This Row],[Production Days]],0)</f>
        <v>0.8896276595744681</v>
      </c>
    </row>
    <row r="351" spans="1:14" x14ac:dyDescent="0.25">
      <c r="A351" s="24">
        <v>2025</v>
      </c>
      <c r="B351" s="110" t="s">
        <v>18</v>
      </c>
      <c r="C351" s="113" t="s">
        <v>337</v>
      </c>
      <c r="D351" s="87">
        <f>103+N("from AU AF Operation")</f>
        <v>103</v>
      </c>
      <c r="E351" s="88">
        <f t="shared" si="0"/>
        <v>752</v>
      </c>
      <c r="F351" s="29" cm="1">
        <f t="array" ref="F35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1" s="30" cm="1">
        <f t="array" ref="G35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1" s="30" cm="1">
        <f t="array" ref="H351">INDEX(stdWorkingDays[],MATCH(capacityTbl[[#This Row],[Year]]&amp;capacityTbl[[#This Row],[Month]],stdWorkingDays[Year]&amp;stdWorkingDays[Month],0),MATCH("China",stdWorkingDays[#Headers],0))</f>
        <v>21</v>
      </c>
      <c r="I351" s="30" cm="1">
        <f t="array" ref="I351">INDEX(stdWorkingDays[],MATCH(capacityTbl[[#This Row],[Year]]&amp;capacityTbl[[#This Row],[Month]],stdWorkingDays[Year]&amp;stdWorkingDays[Month],0),MATCH("Philippine",stdWorkingDays[#Headers],0))</f>
        <v>21</v>
      </c>
      <c r="J351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1" s="35">
        <f>IFERROR(capacityTbl[[#This Row],[Production Days]]/capacityTbl[[#This Row],[Weighted Working day]],0)</f>
        <v>0</v>
      </c>
      <c r="L351" s="31" cm="1">
        <f t="array" ref="L351">INDEX(ProductivityBaseline[ProductivityBaseline],MATCH(capacityTbl[[#This Row],[Process]]&amp;capacityTbl[[#This Row],[Year]],ProductivityBaseline[Title]&amp;ProductivityBaseline[Year to use],0))</f>
        <v>0</v>
      </c>
      <c r="M351" s="32">
        <f>IFERROR(capacityTbl[[#This Row],[No. of Transaction]]/(capacityTbl[[#This Row],[Productivity Baseline (Transation/FTE/Day)]]*capacityTbl[[#This Row],[Weighted Working day]]),0)</f>
        <v>0</v>
      </c>
      <c r="N351" s="33">
        <f>IFERROR(capacityTbl[[#This Row],[No. of Transaction]]/capacityTbl[[#This Row],[Production Days]],0)</f>
        <v>0.13696808510638298</v>
      </c>
    </row>
    <row r="352" spans="1:14" x14ac:dyDescent="0.25">
      <c r="A352" s="24">
        <v>2025</v>
      </c>
      <c r="B352" s="110" t="s">
        <v>19</v>
      </c>
      <c r="C352" s="113" t="s">
        <v>337</v>
      </c>
      <c r="D352" s="87">
        <f>121+N("from AU AF Operation")</f>
        <v>121</v>
      </c>
      <c r="E352" s="88">
        <f t="shared" si="0"/>
        <v>752</v>
      </c>
      <c r="F352" s="29" cm="1">
        <f t="array" ref="F35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2" s="30" cm="1">
        <f t="array" ref="G35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2" s="30" cm="1">
        <f t="array" ref="H352">INDEX(stdWorkingDays[],MATCH(capacityTbl[[#This Row],[Year]]&amp;capacityTbl[[#This Row],[Month]],stdWorkingDays[Year]&amp;stdWorkingDays[Month],0),MATCH("China",stdWorkingDays[#Headers],0))</f>
        <v>22</v>
      </c>
      <c r="I352" s="30" cm="1">
        <f t="array" ref="I352">INDEX(stdWorkingDays[],MATCH(capacityTbl[[#This Row],[Year]]&amp;capacityTbl[[#This Row],[Month]],stdWorkingDays[Year]&amp;stdWorkingDays[Month],0),MATCH("Philippine",stdWorkingDays[#Headers],0))</f>
        <v>19</v>
      </c>
      <c r="J352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2" s="35">
        <f>IFERROR(capacityTbl[[#This Row],[Production Days]]/capacityTbl[[#This Row],[Weighted Working day]],0)</f>
        <v>0</v>
      </c>
      <c r="L352" s="31" cm="1">
        <f t="array" ref="L352">INDEX(ProductivityBaseline[ProductivityBaseline],MATCH(capacityTbl[[#This Row],[Process]]&amp;capacityTbl[[#This Row],[Year]],ProductivityBaseline[Title]&amp;ProductivityBaseline[Year to use],0))</f>
        <v>0</v>
      </c>
      <c r="M352" s="32">
        <f>IFERROR(capacityTbl[[#This Row],[No. of Transaction]]/(capacityTbl[[#This Row],[Productivity Baseline (Transation/FTE/Day)]]*capacityTbl[[#This Row],[Weighted Working day]]),0)</f>
        <v>0</v>
      </c>
      <c r="N352" s="33">
        <f>IFERROR(capacityTbl[[#This Row],[No. of Transaction]]/capacityTbl[[#This Row],[Production Days]],0)</f>
        <v>0.16090425531914893</v>
      </c>
    </row>
    <row r="353" spans="1:14" x14ac:dyDescent="0.25">
      <c r="A353" s="24">
        <v>2025</v>
      </c>
      <c r="B353" s="110" t="s">
        <v>20</v>
      </c>
      <c r="C353" s="113" t="s">
        <v>337</v>
      </c>
      <c r="D353" s="87">
        <f>211+N("from AU AF Operation")</f>
        <v>211</v>
      </c>
      <c r="E353" s="88">
        <f t="shared" si="0"/>
        <v>752</v>
      </c>
      <c r="F353" s="29" cm="1">
        <f t="array" ref="F35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3" s="30" cm="1">
        <f t="array" ref="G35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3" s="30" cm="1">
        <f t="array" ref="H353">INDEX(stdWorkingDays[],MATCH(capacityTbl[[#This Row],[Year]]&amp;capacityTbl[[#This Row],[Month]],stdWorkingDays[Year]&amp;stdWorkingDays[Month],0),MATCH("China",stdWorkingDays[#Headers],0))</f>
        <v>19</v>
      </c>
      <c r="I353" s="30" cm="1">
        <f t="array" ref="I353">INDEX(stdWorkingDays[],MATCH(capacityTbl[[#This Row],[Year]]&amp;capacityTbl[[#This Row],[Month]],stdWorkingDays[Year]&amp;stdWorkingDays[Month],0),MATCH("Philippine",stdWorkingDays[#Headers],0))</f>
        <v>21</v>
      </c>
      <c r="J353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3" s="35">
        <f>IFERROR(capacityTbl[[#This Row],[Production Days]]/capacityTbl[[#This Row],[Weighted Working day]],0)</f>
        <v>0</v>
      </c>
      <c r="L353" s="31" cm="1">
        <f t="array" ref="L353">INDEX(ProductivityBaseline[ProductivityBaseline],MATCH(capacityTbl[[#This Row],[Process]]&amp;capacityTbl[[#This Row],[Year]],ProductivityBaseline[Title]&amp;ProductivityBaseline[Year to use],0))</f>
        <v>0</v>
      </c>
      <c r="M353" s="32">
        <f>IFERROR(capacityTbl[[#This Row],[No. of Transaction]]/(capacityTbl[[#This Row],[Productivity Baseline (Transation/FTE/Day)]]*capacityTbl[[#This Row],[Weighted Working day]]),0)</f>
        <v>0</v>
      </c>
      <c r="N353" s="33">
        <f>IFERROR(capacityTbl[[#This Row],[No. of Transaction]]/capacityTbl[[#This Row],[Production Days]],0)</f>
        <v>0.28058510638297873</v>
      </c>
    </row>
    <row r="354" spans="1:14" x14ac:dyDescent="0.25">
      <c r="A354" s="24">
        <v>2025</v>
      </c>
      <c r="B354" s="110" t="s">
        <v>21</v>
      </c>
      <c r="C354" s="113" t="s">
        <v>337</v>
      </c>
      <c r="D354" s="87">
        <f>177+N("from AU AF Operation")</f>
        <v>177</v>
      </c>
      <c r="E354" s="88">
        <f t="shared" si="0"/>
        <v>752</v>
      </c>
      <c r="F354" s="29" cm="1">
        <f t="array" ref="F35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4" s="30" cm="1">
        <f t="array" ref="G35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4" s="30" cm="1">
        <f t="array" ref="H354">INDEX(stdWorkingDays[],MATCH(capacityTbl[[#This Row],[Year]]&amp;capacityTbl[[#This Row],[Month]],stdWorkingDays[Year]&amp;stdWorkingDays[Month],0),MATCH("China",stdWorkingDays[#Headers],0))</f>
        <v>20</v>
      </c>
      <c r="I354" s="30" cm="1">
        <f t="array" ref="I354">INDEX(stdWorkingDays[],MATCH(capacityTbl[[#This Row],[Year]]&amp;capacityTbl[[#This Row],[Month]],stdWorkingDays[Year]&amp;stdWorkingDays[Month],0),MATCH("Philippine",stdWorkingDays[#Headers],0))</f>
        <v>19</v>
      </c>
      <c r="J354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4" s="35">
        <f>IFERROR(capacityTbl[[#This Row],[Production Days]]/capacityTbl[[#This Row],[Weighted Working day]],0)</f>
        <v>0</v>
      </c>
      <c r="L354" s="31" cm="1">
        <f t="array" ref="L354">INDEX(ProductivityBaseline[ProductivityBaseline],MATCH(capacityTbl[[#This Row],[Process]]&amp;capacityTbl[[#This Row],[Year]],ProductivityBaseline[Title]&amp;ProductivityBaseline[Year to use],0))</f>
        <v>0</v>
      </c>
      <c r="M354" s="32">
        <f>IFERROR(capacityTbl[[#This Row],[No. of Transaction]]/(capacityTbl[[#This Row],[Productivity Baseline (Transation/FTE/Day)]]*capacityTbl[[#This Row],[Weighted Working day]]),0)</f>
        <v>0</v>
      </c>
      <c r="N354" s="33">
        <f>IFERROR(capacityTbl[[#This Row],[No. of Transaction]]/capacityTbl[[#This Row],[Production Days]],0)</f>
        <v>0.23537234042553193</v>
      </c>
    </row>
    <row r="355" spans="1:14" x14ac:dyDescent="0.25">
      <c r="A355" s="24">
        <v>2025</v>
      </c>
      <c r="B355" s="110" t="s">
        <v>22</v>
      </c>
      <c r="C355" s="113" t="s">
        <v>337</v>
      </c>
      <c r="D355" s="87">
        <f>131+N("from AU AF Operation")</f>
        <v>131</v>
      </c>
      <c r="E355" s="88">
        <f t="shared" si="0"/>
        <v>752</v>
      </c>
      <c r="F355" s="29" cm="1">
        <f t="array" ref="F35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5" s="30" cm="1">
        <f t="array" ref="G35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5" s="30" cm="1">
        <f t="array" ref="H355">INDEX(stdWorkingDays[],MATCH(capacityTbl[[#This Row],[Year]]&amp;capacityTbl[[#This Row],[Month]],stdWorkingDays[Year]&amp;stdWorkingDays[Month],0),MATCH("China",stdWorkingDays[#Headers],0))</f>
        <v>23</v>
      </c>
      <c r="I355" s="30" cm="1">
        <f t="array" ref="I355">INDEX(stdWorkingDays[],MATCH(capacityTbl[[#This Row],[Year]]&amp;capacityTbl[[#This Row],[Month]],stdWorkingDays[Year]&amp;stdWorkingDays[Month],0),MATCH("Philippine",stdWorkingDays[#Headers],0))</f>
        <v>23</v>
      </c>
      <c r="J355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5" s="35">
        <f>IFERROR(capacityTbl[[#This Row],[Production Days]]/capacityTbl[[#This Row],[Weighted Working day]],0)</f>
        <v>0</v>
      </c>
      <c r="L355" s="31" cm="1">
        <f t="array" ref="L355">INDEX(ProductivityBaseline[ProductivityBaseline],MATCH(capacityTbl[[#This Row],[Process]]&amp;capacityTbl[[#This Row],[Year]],ProductivityBaseline[Title]&amp;ProductivityBaseline[Year to use],0))</f>
        <v>0</v>
      </c>
      <c r="M355" s="32">
        <f>IFERROR(capacityTbl[[#This Row],[No. of Transaction]]/(capacityTbl[[#This Row],[Productivity Baseline (Transation/FTE/Day)]]*capacityTbl[[#This Row],[Weighted Working day]]),0)</f>
        <v>0</v>
      </c>
      <c r="N355" s="33">
        <f>IFERROR(capacityTbl[[#This Row],[No. of Transaction]]/capacityTbl[[#This Row],[Production Days]],0)</f>
        <v>0.17420212765957446</v>
      </c>
    </row>
    <row r="356" spans="1:14" x14ac:dyDescent="0.25">
      <c r="A356" s="24">
        <v>2025</v>
      </c>
      <c r="B356" s="110" t="s">
        <v>46</v>
      </c>
      <c r="C356" s="113" t="s">
        <v>337</v>
      </c>
      <c r="D356" s="87">
        <f>158+N("from AU AF Operation")</f>
        <v>158</v>
      </c>
      <c r="E356" s="88">
        <f t="shared" si="0"/>
        <v>752</v>
      </c>
      <c r="F356" s="29" cm="1">
        <f t="array" ref="F35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6" s="30" cm="1">
        <f t="array" ref="G35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6" s="30" cm="1">
        <f t="array" ref="H356">INDEX(stdWorkingDays[],MATCH(capacityTbl[[#This Row],[Year]]&amp;capacityTbl[[#This Row],[Month]],stdWorkingDays[Year]&amp;stdWorkingDays[Month],0),MATCH("China",stdWorkingDays[#Headers],0))</f>
        <v>21</v>
      </c>
      <c r="I356" s="30" cm="1">
        <f t="array" ref="I356">INDEX(stdWorkingDays[],MATCH(capacityTbl[[#This Row],[Year]]&amp;capacityTbl[[#This Row],[Month]],stdWorkingDays[Year]&amp;stdWorkingDays[Month],0),MATCH("Philippine",stdWorkingDays[#Headers],0))</f>
        <v>19</v>
      </c>
      <c r="J356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6" s="35">
        <f>IFERROR(capacityTbl[[#This Row],[Production Days]]/capacityTbl[[#This Row],[Weighted Working day]],0)</f>
        <v>0</v>
      </c>
      <c r="L356" s="31" cm="1">
        <f t="array" ref="L356">INDEX(ProductivityBaseline[ProductivityBaseline],MATCH(capacityTbl[[#This Row],[Process]]&amp;capacityTbl[[#This Row],[Year]],ProductivityBaseline[Title]&amp;ProductivityBaseline[Year to use],0))</f>
        <v>0</v>
      </c>
      <c r="M356" s="32">
        <f>IFERROR(capacityTbl[[#This Row],[No. of Transaction]]/(capacityTbl[[#This Row],[Productivity Baseline (Transation/FTE/Day)]]*capacityTbl[[#This Row],[Weighted Working day]]),0)</f>
        <v>0</v>
      </c>
      <c r="N356" s="33">
        <f>IFERROR(capacityTbl[[#This Row],[No. of Transaction]]/capacityTbl[[#This Row],[Production Days]],0)</f>
        <v>0.21010638297872342</v>
      </c>
    </row>
    <row r="357" spans="1:14" x14ac:dyDescent="0.25">
      <c r="A357" s="24">
        <v>2025</v>
      </c>
      <c r="B357" s="110" t="s">
        <v>33</v>
      </c>
      <c r="C357" s="113" t="s">
        <v>337</v>
      </c>
      <c r="D357" s="87"/>
      <c r="E357" s="88"/>
      <c r="F357" s="29" cm="1">
        <f t="array" ref="F35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7" s="30" cm="1">
        <f t="array" ref="G35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7" s="30" cm="1">
        <f t="array" ref="H357">INDEX(stdWorkingDays[],MATCH(capacityTbl[[#This Row],[Year]]&amp;capacityTbl[[#This Row],[Month]],stdWorkingDays[Year]&amp;stdWorkingDays[Month],0),MATCH("China",stdWorkingDays[#Headers],0))</f>
        <v>23</v>
      </c>
      <c r="I357" s="30" cm="1">
        <f t="array" ref="I357">INDEX(stdWorkingDays[],MATCH(capacityTbl[[#This Row],[Year]]&amp;capacityTbl[[#This Row],[Month]],stdWorkingDays[Year]&amp;stdWorkingDays[Month],0),MATCH("Philippine",stdWorkingDays[#Headers],0))</f>
        <v>22</v>
      </c>
      <c r="J357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7" s="35">
        <f>IFERROR(capacityTbl[[#This Row],[Production Days]]/capacityTbl[[#This Row],[Weighted Working day]],0)</f>
        <v>0</v>
      </c>
      <c r="L357" s="31" cm="1">
        <f t="array" ref="L357">INDEX(ProductivityBaseline[ProductivityBaseline],MATCH(capacityTbl[[#This Row],[Process]]&amp;capacityTbl[[#This Row],[Year]],ProductivityBaseline[Title]&amp;ProductivityBaseline[Year to use],0))</f>
        <v>0</v>
      </c>
      <c r="M357" s="32">
        <f>IFERROR(capacityTbl[[#This Row],[No. of Transaction]]/(capacityTbl[[#This Row],[Productivity Baseline (Transation/FTE/Day)]]*capacityTbl[[#This Row],[Weighted Working day]]),0)</f>
        <v>0</v>
      </c>
      <c r="N357" s="33">
        <f>IFERROR(capacityTbl[[#This Row],[No. of Transaction]]/capacityTbl[[#This Row],[Production Days]],0)</f>
        <v>0</v>
      </c>
    </row>
    <row r="358" spans="1:14" x14ac:dyDescent="0.25">
      <c r="A358" s="24">
        <v>2025</v>
      </c>
      <c r="B358" s="110" t="s">
        <v>25</v>
      </c>
      <c r="C358" s="113" t="s">
        <v>337</v>
      </c>
      <c r="D358" s="87"/>
      <c r="E358" s="88"/>
      <c r="F358" s="29" cm="1">
        <f t="array" ref="F35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8" s="30" cm="1">
        <f t="array" ref="G35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8" s="30" cm="1">
        <f t="array" ref="H358">INDEX(stdWorkingDays[],MATCH(capacityTbl[[#This Row],[Year]]&amp;capacityTbl[[#This Row],[Month]],stdWorkingDays[Year]&amp;stdWorkingDays[Month],0),MATCH("China",stdWorkingDays[#Headers],0))</f>
        <v>18</v>
      </c>
      <c r="I358" s="30" cm="1">
        <f t="array" ref="I358">INDEX(stdWorkingDays[],MATCH(capacityTbl[[#This Row],[Year]]&amp;capacityTbl[[#This Row],[Month]],stdWorkingDays[Year]&amp;stdWorkingDays[Month],0),MATCH("Philippine",stdWorkingDays[#Headers],0))</f>
        <v>22</v>
      </c>
      <c r="J358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8" s="35">
        <f>IFERROR(capacityTbl[[#This Row],[Production Days]]/capacityTbl[[#This Row],[Weighted Working day]],0)</f>
        <v>0</v>
      </c>
      <c r="L358" s="31" cm="1">
        <f t="array" ref="L358">INDEX(ProductivityBaseline[ProductivityBaseline],MATCH(capacityTbl[[#This Row],[Process]]&amp;capacityTbl[[#This Row],[Year]],ProductivityBaseline[Title]&amp;ProductivityBaseline[Year to use],0))</f>
        <v>0</v>
      </c>
      <c r="M358" s="32">
        <f>IFERROR(capacityTbl[[#This Row],[No. of Transaction]]/(capacityTbl[[#This Row],[Productivity Baseline (Transation/FTE/Day)]]*capacityTbl[[#This Row],[Weighted Working day]]),0)</f>
        <v>0</v>
      </c>
      <c r="N358" s="33">
        <f>IFERROR(capacityTbl[[#This Row],[No. of Transaction]]/capacityTbl[[#This Row],[Production Days]],0)</f>
        <v>0</v>
      </c>
    </row>
    <row r="359" spans="1:14" x14ac:dyDescent="0.25">
      <c r="A359" s="24">
        <v>2025</v>
      </c>
      <c r="B359" s="110" t="s">
        <v>26</v>
      </c>
      <c r="C359" s="113" t="s">
        <v>337</v>
      </c>
      <c r="D359" s="87"/>
      <c r="E359" s="88"/>
      <c r="F359" s="29" cm="1">
        <f t="array" ref="F35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59" s="30" cm="1">
        <f t="array" ref="G35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59" s="30" cm="1">
        <f t="array" ref="H359">INDEX(stdWorkingDays[],MATCH(capacityTbl[[#This Row],[Year]]&amp;capacityTbl[[#This Row],[Month]],stdWorkingDays[Year]&amp;stdWorkingDays[Month],0),MATCH("China",stdWorkingDays[#Headers],0))</f>
        <v>20</v>
      </c>
      <c r="I359" s="30" cm="1">
        <f t="array" ref="I359">INDEX(stdWorkingDays[],MATCH(capacityTbl[[#This Row],[Year]]&amp;capacityTbl[[#This Row],[Month]],stdWorkingDays[Year]&amp;stdWorkingDays[Month],0),MATCH("Philippine",stdWorkingDays[#Headers],0))</f>
        <v>20</v>
      </c>
      <c r="J359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59" s="35">
        <f>IFERROR(capacityTbl[[#This Row],[Production Days]]/capacityTbl[[#This Row],[Weighted Working day]],0)</f>
        <v>0</v>
      </c>
      <c r="L359" s="31" cm="1">
        <f t="array" ref="L359">INDEX(ProductivityBaseline[ProductivityBaseline],MATCH(capacityTbl[[#This Row],[Process]]&amp;capacityTbl[[#This Row],[Year]],ProductivityBaseline[Title]&amp;ProductivityBaseline[Year to use],0))</f>
        <v>0</v>
      </c>
      <c r="M359" s="32">
        <f>IFERROR(capacityTbl[[#This Row],[No. of Transaction]]/(capacityTbl[[#This Row],[Productivity Baseline (Transation/FTE/Day)]]*capacityTbl[[#This Row],[Weighted Working day]]),0)</f>
        <v>0</v>
      </c>
      <c r="N359" s="33">
        <f>IFERROR(capacityTbl[[#This Row],[No. of Transaction]]/capacityTbl[[#This Row],[Production Days]],0)</f>
        <v>0</v>
      </c>
    </row>
    <row r="360" spans="1:14" x14ac:dyDescent="0.25">
      <c r="A360" s="24">
        <v>2025</v>
      </c>
      <c r="B360" s="110" t="s">
        <v>27</v>
      </c>
      <c r="C360" s="113" t="s">
        <v>337</v>
      </c>
      <c r="D360" s="87"/>
      <c r="E360" s="88"/>
      <c r="F360" s="29" cm="1">
        <f t="array" ref="F36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0" s="30" cm="1">
        <f t="array" ref="G36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0" s="30" cm="1">
        <f t="array" ref="H360">INDEX(stdWorkingDays[],MATCH(capacityTbl[[#This Row],[Year]]&amp;capacityTbl[[#This Row],[Month]],stdWorkingDays[Year]&amp;stdWorkingDays[Month],0),MATCH("China",stdWorkingDays[#Headers],0))</f>
        <v>23</v>
      </c>
      <c r="I360" s="30" cm="1">
        <f t="array" ref="I360">INDEX(stdWorkingDays[],MATCH(capacityTbl[[#This Row],[Year]]&amp;capacityTbl[[#This Row],[Month]],stdWorkingDays[Year]&amp;stdWorkingDays[Month],0),MATCH("Philippine",stdWorkingDays[#Headers],0))</f>
        <v>18</v>
      </c>
      <c r="J360" s="3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0" s="35">
        <f>IFERROR(capacityTbl[[#This Row],[Production Days]]/capacityTbl[[#This Row],[Weighted Working day]],0)</f>
        <v>0</v>
      </c>
      <c r="L360" s="31" cm="1">
        <f t="array" ref="L360">INDEX(ProductivityBaseline[ProductivityBaseline],MATCH(capacityTbl[[#This Row],[Process]]&amp;capacityTbl[[#This Row],[Year]],ProductivityBaseline[Title]&amp;ProductivityBaseline[Year to use],0))</f>
        <v>0</v>
      </c>
      <c r="M360" s="32">
        <f>IFERROR(capacityTbl[[#This Row],[No. of Transaction]]/(capacityTbl[[#This Row],[Productivity Baseline (Transation/FTE/Day)]]*capacityTbl[[#This Row],[Weighted Working day]]),0)</f>
        <v>0</v>
      </c>
      <c r="N360" s="33">
        <f>IFERROR(capacityTbl[[#This Row],[No. of Transaction]]/capacityTbl[[#This Row],[Production Days]],0)</f>
        <v>0</v>
      </c>
    </row>
    <row r="361" spans="1:14" x14ac:dyDescent="0.25">
      <c r="A361" s="176">
        <v>2025</v>
      </c>
      <c r="B361" s="177" t="s">
        <v>14</v>
      </c>
      <c r="C361" s="178" t="s">
        <v>342</v>
      </c>
      <c r="D361" s="89">
        <v>475</v>
      </c>
      <c r="E361" s="90">
        <v>119.9</v>
      </c>
      <c r="F361" s="179" cm="1">
        <f t="array" ref="F36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1" s="180" cm="1">
        <f t="array" ref="G36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1" s="180" cm="1">
        <f t="array" ref="H361">INDEX(stdWorkingDays[],MATCH(capacityTbl[[#This Row],[Year]]&amp;capacityTbl[[#This Row],[Month]],stdWorkingDays[Year]&amp;stdWorkingDays[Month],0),MATCH("China",stdWorkingDays[#Headers],0))</f>
        <v>19</v>
      </c>
      <c r="I361" s="180" cm="1">
        <f t="array" ref="I361">INDEX(stdWorkingDays[],MATCH(capacityTbl[[#This Row],[Year]]&amp;capacityTbl[[#This Row],[Month]],stdWorkingDays[Year]&amp;stdWorkingDays[Month],0),MATCH("Philippine",stdWorkingDays[#Headers],0))</f>
        <v>21</v>
      </c>
      <c r="J361" s="181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1" s="182">
        <f>IFERROR(capacityTbl[[#This Row],[Production Days]]/capacityTbl[[#This Row],[Weighted Working day]],0)</f>
        <v>0</v>
      </c>
      <c r="L361" s="181" cm="1">
        <f t="array" ref="L361">INDEX(ProductivityBaseline[ProductivityBaseline],MATCH(capacityTbl[[#This Row],[Process]]&amp;capacityTbl[[#This Row],[Year]],ProductivityBaseline[Title]&amp;ProductivityBaseline[Year to use],0))</f>
        <v>12.846180566520351</v>
      </c>
      <c r="M361" s="183">
        <f>IFERROR(capacityTbl[[#This Row],[No. of Transaction]]/(capacityTbl[[#This Row],[Productivity Baseline (Transation/FTE/Day)]]*capacityTbl[[#This Row],[Weighted Working day]]),0)</f>
        <v>0</v>
      </c>
      <c r="N361" s="184">
        <f>IFERROR(capacityTbl[[#This Row],[No. of Transaction]]/capacityTbl[[#This Row],[Production Days]],0)</f>
        <v>3.9616346955796495</v>
      </c>
    </row>
    <row r="362" spans="1:14" x14ac:dyDescent="0.25">
      <c r="A362" s="168">
        <v>2025</v>
      </c>
      <c r="B362" s="169" t="s">
        <v>17</v>
      </c>
      <c r="C362" s="178" t="s">
        <v>342</v>
      </c>
      <c r="D362" s="87">
        <v>583</v>
      </c>
      <c r="E362" s="88">
        <v>111.8</v>
      </c>
      <c r="F362" s="170" cm="1">
        <f t="array" ref="F36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2" s="171" cm="1">
        <f t="array" ref="G36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2" s="171" cm="1">
        <f t="array" ref="H362">INDEX(stdWorkingDays[],MATCH(capacityTbl[[#This Row],[Year]]&amp;capacityTbl[[#This Row],[Month]],stdWorkingDays[Year]&amp;stdWorkingDays[Month],0),MATCH("China",stdWorkingDays[#Headers],0))</f>
        <v>19</v>
      </c>
      <c r="I362" s="171" cm="1">
        <f t="array" ref="I362">INDEX(stdWorkingDays[],MATCH(capacityTbl[[#This Row],[Year]]&amp;capacityTbl[[#This Row],[Month]],stdWorkingDays[Year]&amp;stdWorkingDays[Month],0),MATCH("Philippine",stdWorkingDays[#Headers],0))</f>
        <v>20</v>
      </c>
      <c r="J362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2" s="173">
        <f>IFERROR(capacityTbl[[#This Row],[Production Days]]/capacityTbl[[#This Row],[Weighted Working day]],0)</f>
        <v>0</v>
      </c>
      <c r="L362" s="172" cm="1">
        <f t="array" ref="L362">INDEX(ProductivityBaseline[ProductivityBaseline],MATCH(capacityTbl[[#This Row],[Process]]&amp;capacityTbl[[#This Row],[Year]],ProductivityBaseline[Title]&amp;ProductivityBaseline[Year to use],0))</f>
        <v>12.846180566520351</v>
      </c>
      <c r="M362" s="174">
        <f>IFERROR(capacityTbl[[#This Row],[No. of Transaction]]/(capacityTbl[[#This Row],[Productivity Baseline (Transation/FTE/Day)]]*capacityTbl[[#This Row],[Weighted Working day]]),0)</f>
        <v>0</v>
      </c>
      <c r="N362" s="175">
        <f>IFERROR(capacityTbl[[#This Row],[No. of Transaction]]/capacityTbl[[#This Row],[Production Days]],0)</f>
        <v>5.2146690518783547</v>
      </c>
    </row>
    <row r="363" spans="1:14" x14ac:dyDescent="0.25">
      <c r="A363" s="168">
        <v>2025</v>
      </c>
      <c r="B363" s="169" t="s">
        <v>18</v>
      </c>
      <c r="C363" s="178" t="s">
        <v>342</v>
      </c>
      <c r="D363" s="87">
        <v>1041</v>
      </c>
      <c r="E363" s="88">
        <v>115.7</v>
      </c>
      <c r="F363" s="170" cm="1">
        <f t="array" ref="F363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3" s="171" cm="1">
        <f t="array" ref="G36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3" s="171" cm="1">
        <f t="array" ref="H363">INDEX(stdWorkingDays[],MATCH(capacityTbl[[#This Row],[Year]]&amp;capacityTbl[[#This Row],[Month]],stdWorkingDays[Year]&amp;stdWorkingDays[Month],0),MATCH("China",stdWorkingDays[#Headers],0))</f>
        <v>21</v>
      </c>
      <c r="I363" s="171" cm="1">
        <f t="array" ref="I363">INDEX(stdWorkingDays[],MATCH(capacityTbl[[#This Row],[Year]]&amp;capacityTbl[[#This Row],[Month]],stdWorkingDays[Year]&amp;stdWorkingDays[Month],0),MATCH("Philippine",stdWorkingDays[#Headers],0))</f>
        <v>21</v>
      </c>
      <c r="J363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3" s="173">
        <f>IFERROR(capacityTbl[[#This Row],[Production Days]]/capacityTbl[[#This Row],[Weighted Working day]],0)</f>
        <v>0</v>
      </c>
      <c r="L363" s="172" cm="1">
        <f t="array" ref="L363">INDEX(ProductivityBaseline[ProductivityBaseline],MATCH(capacityTbl[[#This Row],[Process]]&amp;capacityTbl[[#This Row],[Year]],ProductivityBaseline[Title]&amp;ProductivityBaseline[Year to use],0))</f>
        <v>12.846180566520351</v>
      </c>
      <c r="M363" s="174">
        <f>IFERROR(capacityTbl[[#This Row],[No. of Transaction]]/(capacityTbl[[#This Row],[Productivity Baseline (Transation/FTE/Day)]]*capacityTbl[[#This Row],[Weighted Working day]]),0)</f>
        <v>0</v>
      </c>
      <c r="N363" s="175">
        <f>IFERROR(capacityTbl[[#This Row],[No. of Transaction]]/capacityTbl[[#This Row],[Production Days]],0)</f>
        <v>8.9974070872947269</v>
      </c>
    </row>
    <row r="364" spans="1:14" x14ac:dyDescent="0.25">
      <c r="A364" s="168">
        <v>2025</v>
      </c>
      <c r="B364" s="169" t="s">
        <v>19</v>
      </c>
      <c r="C364" s="178" t="s">
        <v>342</v>
      </c>
      <c r="D364" s="87">
        <v>1306</v>
      </c>
      <c r="E364" s="88">
        <v>106.4</v>
      </c>
      <c r="F364" s="170" cm="1">
        <f t="array" ref="F364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4" s="171" cm="1">
        <f t="array" ref="G36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4" s="171" cm="1">
        <f t="array" ref="H364">INDEX(stdWorkingDays[],MATCH(capacityTbl[[#This Row],[Year]]&amp;capacityTbl[[#This Row],[Month]],stdWorkingDays[Year]&amp;stdWorkingDays[Month],0),MATCH("China",stdWorkingDays[#Headers],0))</f>
        <v>22</v>
      </c>
      <c r="I364" s="171" cm="1">
        <f t="array" ref="I364">INDEX(stdWorkingDays[],MATCH(capacityTbl[[#This Row],[Year]]&amp;capacityTbl[[#This Row],[Month]],stdWorkingDays[Year]&amp;stdWorkingDays[Month],0),MATCH("Philippine",stdWorkingDays[#Headers],0))</f>
        <v>19</v>
      </c>
      <c r="J364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4" s="173">
        <f>IFERROR(capacityTbl[[#This Row],[Production Days]]/capacityTbl[[#This Row],[Weighted Working day]],0)</f>
        <v>0</v>
      </c>
      <c r="L364" s="172" cm="1">
        <f t="array" ref="L364">INDEX(ProductivityBaseline[ProductivityBaseline],MATCH(capacityTbl[[#This Row],[Process]]&amp;capacityTbl[[#This Row],[Year]],ProductivityBaseline[Title]&amp;ProductivityBaseline[Year to use],0))</f>
        <v>12.846180566520351</v>
      </c>
      <c r="M364" s="174">
        <f>IFERROR(capacityTbl[[#This Row],[No. of Transaction]]/(capacityTbl[[#This Row],[Productivity Baseline (Transation/FTE/Day)]]*capacityTbl[[#This Row],[Weighted Working day]]),0)</f>
        <v>0</v>
      </c>
      <c r="N364" s="175">
        <f>IFERROR(capacityTbl[[#This Row],[No. of Transaction]]/capacityTbl[[#This Row],[Production Days]],0)</f>
        <v>12.274436090225564</v>
      </c>
    </row>
    <row r="365" spans="1:14" x14ac:dyDescent="0.25">
      <c r="A365" s="168">
        <v>2025</v>
      </c>
      <c r="B365" s="169" t="s">
        <v>20</v>
      </c>
      <c r="C365" s="178" t="s">
        <v>342</v>
      </c>
      <c r="D365" s="87">
        <v>1871</v>
      </c>
      <c r="E365" s="88">
        <v>100.7</v>
      </c>
      <c r="F365" s="170" cm="1">
        <f t="array" ref="F365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5" s="171" cm="1">
        <f t="array" ref="G365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5" s="171" cm="1">
        <f t="array" ref="H365">INDEX(stdWorkingDays[],MATCH(capacityTbl[[#This Row],[Year]]&amp;capacityTbl[[#This Row],[Month]],stdWorkingDays[Year]&amp;stdWorkingDays[Month],0),MATCH("China",stdWorkingDays[#Headers],0))</f>
        <v>19</v>
      </c>
      <c r="I365" s="171" cm="1">
        <f t="array" ref="I365">INDEX(stdWorkingDays[],MATCH(capacityTbl[[#This Row],[Year]]&amp;capacityTbl[[#This Row],[Month]],stdWorkingDays[Year]&amp;stdWorkingDays[Month],0),MATCH("Philippine",stdWorkingDays[#Headers],0))</f>
        <v>21</v>
      </c>
      <c r="J365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5" s="173">
        <f>IFERROR(capacityTbl[[#This Row],[Production Days]]/capacityTbl[[#This Row],[Weighted Working day]],0)</f>
        <v>0</v>
      </c>
      <c r="L365" s="172" cm="1">
        <f t="array" ref="L365">INDEX(ProductivityBaseline[ProductivityBaseline],MATCH(capacityTbl[[#This Row],[Process]]&amp;capacityTbl[[#This Row],[Year]],ProductivityBaseline[Title]&amp;ProductivityBaseline[Year to use],0))</f>
        <v>12.846180566520351</v>
      </c>
      <c r="M365" s="174">
        <f>IFERROR(capacityTbl[[#This Row],[No. of Transaction]]/(capacityTbl[[#This Row],[Productivity Baseline (Transation/FTE/Day)]]*capacityTbl[[#This Row],[Weighted Working day]]),0)</f>
        <v>0</v>
      </c>
      <c r="N365" s="175">
        <f>IFERROR(capacityTbl[[#This Row],[No. of Transaction]]/capacityTbl[[#This Row],[Production Days]],0)</f>
        <v>18.579940417080437</v>
      </c>
    </row>
    <row r="366" spans="1:14" x14ac:dyDescent="0.25">
      <c r="A366" s="168">
        <v>2025</v>
      </c>
      <c r="B366" s="169" t="s">
        <v>21</v>
      </c>
      <c r="C366" s="178" t="s">
        <v>342</v>
      </c>
      <c r="D366" s="87">
        <v>2860</v>
      </c>
      <c r="E366" s="88">
        <v>78.900000000000006</v>
      </c>
      <c r="F366" s="170" cm="1">
        <f t="array" ref="F366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6" s="171" cm="1">
        <f t="array" ref="G366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6" s="171" cm="1">
        <f t="array" ref="H366">INDEX(stdWorkingDays[],MATCH(capacityTbl[[#This Row],[Year]]&amp;capacityTbl[[#This Row],[Month]],stdWorkingDays[Year]&amp;stdWorkingDays[Month],0),MATCH("China",stdWorkingDays[#Headers],0))</f>
        <v>20</v>
      </c>
      <c r="I366" s="171" cm="1">
        <f t="array" ref="I366">INDEX(stdWorkingDays[],MATCH(capacityTbl[[#This Row],[Year]]&amp;capacityTbl[[#This Row],[Month]],stdWorkingDays[Year]&amp;stdWorkingDays[Month],0),MATCH("Philippine",stdWorkingDays[#Headers],0))</f>
        <v>19</v>
      </c>
      <c r="J366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6" s="173">
        <f>IFERROR(capacityTbl[[#This Row],[Production Days]]/capacityTbl[[#This Row],[Weighted Working day]],0)</f>
        <v>0</v>
      </c>
      <c r="L366" s="172" cm="1">
        <f t="array" ref="L366">INDEX(ProductivityBaseline[ProductivityBaseline],MATCH(capacityTbl[[#This Row],[Process]]&amp;capacityTbl[[#This Row],[Year]],ProductivityBaseline[Title]&amp;ProductivityBaseline[Year to use],0))</f>
        <v>12.846180566520351</v>
      </c>
      <c r="M366" s="174">
        <f>IFERROR(capacityTbl[[#This Row],[No. of Transaction]]/(capacityTbl[[#This Row],[Productivity Baseline (Transation/FTE/Day)]]*capacityTbl[[#This Row],[Weighted Working day]]),0)</f>
        <v>0</v>
      </c>
      <c r="N366" s="175">
        <f>IFERROR(capacityTbl[[#This Row],[No. of Transaction]]/capacityTbl[[#This Row],[Production Days]],0)</f>
        <v>36.248415716096325</v>
      </c>
    </row>
    <row r="367" spans="1:14" x14ac:dyDescent="0.25">
      <c r="A367" s="168">
        <v>2025</v>
      </c>
      <c r="B367" s="169" t="s">
        <v>22</v>
      </c>
      <c r="C367" s="178" t="s">
        <v>342</v>
      </c>
      <c r="D367" s="87">
        <v>3454</v>
      </c>
      <c r="E367" s="88">
        <v>88.3</v>
      </c>
      <c r="F367" s="170" cm="1">
        <f t="array" ref="F367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7" s="171" cm="1">
        <f t="array" ref="G367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7" s="171" cm="1">
        <f t="array" ref="H367">INDEX(stdWorkingDays[],MATCH(capacityTbl[[#This Row],[Year]]&amp;capacityTbl[[#This Row],[Month]],stdWorkingDays[Year]&amp;stdWorkingDays[Month],0),MATCH("China",stdWorkingDays[#Headers],0))</f>
        <v>23</v>
      </c>
      <c r="I367" s="171" cm="1">
        <f t="array" ref="I367">INDEX(stdWorkingDays[],MATCH(capacityTbl[[#This Row],[Year]]&amp;capacityTbl[[#This Row],[Month]],stdWorkingDays[Year]&amp;stdWorkingDays[Month],0),MATCH("Philippine",stdWorkingDays[#Headers],0))</f>
        <v>23</v>
      </c>
      <c r="J367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7" s="173">
        <f>IFERROR(capacityTbl[[#This Row],[Production Days]]/capacityTbl[[#This Row],[Weighted Working day]],0)</f>
        <v>0</v>
      </c>
      <c r="L367" s="172" cm="1">
        <f t="array" ref="L367">INDEX(ProductivityBaseline[ProductivityBaseline],MATCH(capacityTbl[[#This Row],[Process]]&amp;capacityTbl[[#This Row],[Year]],ProductivityBaseline[Title]&amp;ProductivityBaseline[Year to use],0))</f>
        <v>12.846180566520351</v>
      </c>
      <c r="M367" s="174">
        <f>IFERROR(capacityTbl[[#This Row],[No. of Transaction]]/(capacityTbl[[#This Row],[Productivity Baseline (Transation/FTE/Day)]]*capacityTbl[[#This Row],[Weighted Working day]]),0)</f>
        <v>0</v>
      </c>
      <c r="N367" s="175">
        <f>IFERROR(capacityTbl[[#This Row],[No. of Transaction]]/capacityTbl[[#This Row],[Production Days]],0)</f>
        <v>39.116647791619478</v>
      </c>
    </row>
    <row r="368" spans="1:14" x14ac:dyDescent="0.25">
      <c r="A368" s="168">
        <v>2025</v>
      </c>
      <c r="B368" s="169" t="s">
        <v>46</v>
      </c>
      <c r="C368" s="178" t="s">
        <v>342</v>
      </c>
      <c r="D368" s="87">
        <v>2894</v>
      </c>
      <c r="E368" s="88">
        <v>72</v>
      </c>
      <c r="F368" s="170" cm="1">
        <f t="array" ref="F368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8" s="171" cm="1">
        <f t="array" ref="G36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8" s="171" cm="1">
        <f t="array" ref="H368">INDEX(stdWorkingDays[],MATCH(capacityTbl[[#This Row],[Year]]&amp;capacityTbl[[#This Row],[Month]],stdWorkingDays[Year]&amp;stdWorkingDays[Month],0),MATCH("China",stdWorkingDays[#Headers],0))</f>
        <v>21</v>
      </c>
      <c r="I368" s="171" cm="1">
        <f t="array" ref="I368">INDEX(stdWorkingDays[],MATCH(capacityTbl[[#This Row],[Year]]&amp;capacityTbl[[#This Row],[Month]],stdWorkingDays[Year]&amp;stdWorkingDays[Month],0),MATCH("Philippine",stdWorkingDays[#Headers],0))</f>
        <v>19</v>
      </c>
      <c r="J368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8" s="173">
        <f>IFERROR(capacityTbl[[#This Row],[Production Days]]/capacityTbl[[#This Row],[Weighted Working day]],0)</f>
        <v>0</v>
      </c>
      <c r="L368" s="172" cm="1">
        <f t="array" ref="L368">INDEX(ProductivityBaseline[ProductivityBaseline],MATCH(capacityTbl[[#This Row],[Process]]&amp;capacityTbl[[#This Row],[Year]],ProductivityBaseline[Title]&amp;ProductivityBaseline[Year to use],0))</f>
        <v>12.846180566520351</v>
      </c>
      <c r="M368" s="174">
        <f>IFERROR(capacityTbl[[#This Row],[No. of Transaction]]/(capacityTbl[[#This Row],[Productivity Baseline (Transation/FTE/Day)]]*capacityTbl[[#This Row],[Weighted Working day]]),0)</f>
        <v>0</v>
      </c>
      <c r="N368" s="175">
        <f>IFERROR(capacityTbl[[#This Row],[No. of Transaction]]/capacityTbl[[#This Row],[Production Days]],0)</f>
        <v>40.194444444444443</v>
      </c>
    </row>
    <row r="369" spans="1:14" x14ac:dyDescent="0.25">
      <c r="A369" s="168">
        <v>2025</v>
      </c>
      <c r="B369" s="169" t="s">
        <v>33</v>
      </c>
      <c r="C369" s="178" t="s">
        <v>342</v>
      </c>
      <c r="D369" s="87"/>
      <c r="E369" s="88"/>
      <c r="F369" s="170" cm="1">
        <f t="array" ref="F369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69" s="171" cm="1">
        <f t="array" ref="G36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69" s="171" cm="1">
        <f t="array" ref="H369">INDEX(stdWorkingDays[],MATCH(capacityTbl[[#This Row],[Year]]&amp;capacityTbl[[#This Row],[Month]],stdWorkingDays[Year]&amp;stdWorkingDays[Month],0),MATCH("China",stdWorkingDays[#Headers],0))</f>
        <v>23</v>
      </c>
      <c r="I369" s="171" cm="1">
        <f t="array" ref="I369">INDEX(stdWorkingDays[],MATCH(capacityTbl[[#This Row],[Year]]&amp;capacityTbl[[#This Row],[Month]],stdWorkingDays[Year]&amp;stdWorkingDays[Month],0),MATCH("Philippine",stdWorkingDays[#Headers],0))</f>
        <v>22</v>
      </c>
      <c r="J369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69" s="173">
        <f>IFERROR(capacityTbl[[#This Row],[Production Days]]/capacityTbl[[#This Row],[Weighted Working day]],0)</f>
        <v>0</v>
      </c>
      <c r="L369" s="172" cm="1">
        <f t="array" ref="L369">INDEX(ProductivityBaseline[ProductivityBaseline],MATCH(capacityTbl[[#This Row],[Process]]&amp;capacityTbl[[#This Row],[Year]],ProductivityBaseline[Title]&amp;ProductivityBaseline[Year to use],0))</f>
        <v>12.846180566520351</v>
      </c>
      <c r="M369" s="174">
        <f>IFERROR(capacityTbl[[#This Row],[No. of Transaction]]/(capacityTbl[[#This Row],[Productivity Baseline (Transation/FTE/Day)]]*capacityTbl[[#This Row],[Weighted Working day]]),0)</f>
        <v>0</v>
      </c>
      <c r="N369" s="175">
        <f>IFERROR(capacityTbl[[#This Row],[No. of Transaction]]/capacityTbl[[#This Row],[Production Days]],0)</f>
        <v>0</v>
      </c>
    </row>
    <row r="370" spans="1:14" x14ac:dyDescent="0.25">
      <c r="A370" s="168">
        <v>2025</v>
      </c>
      <c r="B370" s="169" t="s">
        <v>25</v>
      </c>
      <c r="C370" s="178" t="s">
        <v>342</v>
      </c>
      <c r="D370" s="87"/>
      <c r="E370" s="88"/>
      <c r="F370" s="170" cm="1">
        <f t="array" ref="F370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0" s="171" cm="1">
        <f t="array" ref="G37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0" s="171" cm="1">
        <f t="array" ref="H370">INDEX(stdWorkingDays[],MATCH(capacityTbl[[#This Row],[Year]]&amp;capacityTbl[[#This Row],[Month]],stdWorkingDays[Year]&amp;stdWorkingDays[Month],0),MATCH("China",stdWorkingDays[#Headers],0))</f>
        <v>18</v>
      </c>
      <c r="I370" s="171" cm="1">
        <f t="array" ref="I370">INDEX(stdWorkingDays[],MATCH(capacityTbl[[#This Row],[Year]]&amp;capacityTbl[[#This Row],[Month]],stdWorkingDays[Year]&amp;stdWorkingDays[Month],0),MATCH("Philippine",stdWorkingDays[#Headers],0))</f>
        <v>22</v>
      </c>
      <c r="J370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0" s="173">
        <f>IFERROR(capacityTbl[[#This Row],[Production Days]]/capacityTbl[[#This Row],[Weighted Working day]],0)</f>
        <v>0</v>
      </c>
      <c r="L370" s="172" cm="1">
        <f t="array" ref="L370">INDEX(ProductivityBaseline[ProductivityBaseline],MATCH(capacityTbl[[#This Row],[Process]]&amp;capacityTbl[[#This Row],[Year]],ProductivityBaseline[Title]&amp;ProductivityBaseline[Year to use],0))</f>
        <v>12.846180566520351</v>
      </c>
      <c r="M370" s="174">
        <f>IFERROR(capacityTbl[[#This Row],[No. of Transaction]]/(capacityTbl[[#This Row],[Productivity Baseline (Transation/FTE/Day)]]*capacityTbl[[#This Row],[Weighted Working day]]),0)</f>
        <v>0</v>
      </c>
      <c r="N370" s="175">
        <f>IFERROR(capacityTbl[[#This Row],[No. of Transaction]]/capacityTbl[[#This Row],[Production Days]],0)</f>
        <v>0</v>
      </c>
    </row>
    <row r="371" spans="1:14" x14ac:dyDescent="0.25">
      <c r="A371" s="168">
        <v>2025</v>
      </c>
      <c r="B371" s="169" t="s">
        <v>26</v>
      </c>
      <c r="C371" s="178" t="s">
        <v>342</v>
      </c>
      <c r="D371" s="87"/>
      <c r="E371" s="88"/>
      <c r="F371" s="170" cm="1">
        <f t="array" ref="F371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1" s="171" cm="1">
        <f t="array" ref="G37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1" s="171" cm="1">
        <f t="array" ref="H371">INDEX(stdWorkingDays[],MATCH(capacityTbl[[#This Row],[Year]]&amp;capacityTbl[[#This Row],[Month]],stdWorkingDays[Year]&amp;stdWorkingDays[Month],0),MATCH("China",stdWorkingDays[#Headers],0))</f>
        <v>20</v>
      </c>
      <c r="I371" s="171" cm="1">
        <f t="array" ref="I371">INDEX(stdWorkingDays[],MATCH(capacityTbl[[#This Row],[Year]]&amp;capacityTbl[[#This Row],[Month]],stdWorkingDays[Year]&amp;stdWorkingDays[Month],0),MATCH("Philippine",stdWorkingDays[#Headers],0))</f>
        <v>20</v>
      </c>
      <c r="J371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1" s="173">
        <f>IFERROR(capacityTbl[[#This Row],[Production Days]]/capacityTbl[[#This Row],[Weighted Working day]],0)</f>
        <v>0</v>
      </c>
      <c r="L371" s="172" cm="1">
        <f t="array" ref="L371">INDEX(ProductivityBaseline[ProductivityBaseline],MATCH(capacityTbl[[#This Row],[Process]]&amp;capacityTbl[[#This Row],[Year]],ProductivityBaseline[Title]&amp;ProductivityBaseline[Year to use],0))</f>
        <v>12.846180566520351</v>
      </c>
      <c r="M371" s="174">
        <f>IFERROR(capacityTbl[[#This Row],[No. of Transaction]]/(capacityTbl[[#This Row],[Productivity Baseline (Transation/FTE/Day)]]*capacityTbl[[#This Row],[Weighted Working day]]),0)</f>
        <v>0</v>
      </c>
      <c r="N371" s="175">
        <f>IFERROR(capacityTbl[[#This Row],[No. of Transaction]]/capacityTbl[[#This Row],[Production Days]],0)</f>
        <v>0</v>
      </c>
    </row>
    <row r="372" spans="1:14" x14ac:dyDescent="0.25">
      <c r="A372" s="168">
        <v>2025</v>
      </c>
      <c r="B372" s="169" t="s">
        <v>27</v>
      </c>
      <c r="C372" s="178" t="s">
        <v>342</v>
      </c>
      <c r="D372" s="87"/>
      <c r="E372" s="88"/>
      <c r="F372" s="170" cm="1">
        <f t="array" ref="F372">IFERROR(INDEX(FTE_stdWD[FTE],MATCH(capacityTbl[[#This Row],[Process]]&amp;capacityTbl[[#This Row],[Month]]&amp;capacityTbl[[#This Row],[Year]]&amp;"WUH",FTE_stdWD[Service Description]&amp;FTE_stdWD[Month]&amp;FTE_stdWD[Year]&amp;FTE_stdWD[Country],0)),0)</f>
        <v>0</v>
      </c>
      <c r="G372" s="171" cm="1">
        <f t="array" ref="G37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2" s="171" cm="1">
        <f t="array" ref="H372">INDEX(stdWorkingDays[],MATCH(capacityTbl[[#This Row],[Year]]&amp;capacityTbl[[#This Row],[Month]],stdWorkingDays[Year]&amp;stdWorkingDays[Month],0),MATCH("China",stdWorkingDays[#Headers],0))</f>
        <v>23</v>
      </c>
      <c r="I372" s="171" cm="1">
        <f t="array" ref="I372">INDEX(stdWorkingDays[],MATCH(capacityTbl[[#This Row],[Year]]&amp;capacityTbl[[#This Row],[Month]],stdWorkingDays[Year]&amp;stdWorkingDays[Month],0),MATCH("Philippine",stdWorkingDays[#Headers],0))</f>
        <v>18</v>
      </c>
      <c r="J372" s="172">
        <f>IFERROR((capacityTbl[[#This Row],[FTE-WUHAN]]*capacityTbl[[#This Row],[CH-Standard Working Days]]+capacityTbl[[#This Row],[FTE-MNL]]*capacityTbl[[#This Row],[PH-Standard Working Days]])/SUM(capacityTbl[[#This Row],[FTE-WUHAN]:[FTE-MNL]]),0)</f>
        <v>0</v>
      </c>
      <c r="K372" s="173">
        <f>IFERROR(capacityTbl[[#This Row],[Production Days]]/capacityTbl[[#This Row],[Weighted Working day]],0)</f>
        <v>0</v>
      </c>
      <c r="L372" s="172" cm="1">
        <f t="array" ref="L372">INDEX(ProductivityBaseline[ProductivityBaseline],MATCH(capacityTbl[[#This Row],[Process]]&amp;capacityTbl[[#This Row],[Year]],ProductivityBaseline[Title]&amp;ProductivityBaseline[Year to use],0))</f>
        <v>12.846180566520351</v>
      </c>
      <c r="M372" s="174">
        <f>IFERROR(capacityTbl[[#This Row],[No. of Transaction]]/(capacityTbl[[#This Row],[Productivity Baseline (Transation/FTE/Day)]]*capacityTbl[[#This Row],[Weighted Working day]]),0)</f>
        <v>0</v>
      </c>
      <c r="N372" s="175">
        <f>IFERROR(capacityTbl[[#This Row],[No. of Transaction]]/capacityTbl[[#This Row],[Production Days]],0)</f>
        <v>0</v>
      </c>
    </row>
    <row r="373" spans="1:14" x14ac:dyDescent="0.25">
      <c r="A373" s="176">
        <v>2025</v>
      </c>
      <c r="B373" s="177" t="s">
        <v>14</v>
      </c>
      <c r="C373" s="178" t="s">
        <v>343</v>
      </c>
      <c r="D373" s="89">
        <v>12382</v>
      </c>
      <c r="E373" s="90">
        <v>269.5</v>
      </c>
      <c r="F373" s="179" cm="1">
        <f t="array" ref="F373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3" s="180" cm="1">
        <f t="array" ref="G373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373" s="180" cm="1">
        <f t="array" ref="H373">INDEX(stdWorkingDays[],MATCH(capacityTbl[[#This Row],[Year]]&amp;capacityTbl[[#This Row],[Month]],stdWorkingDays[Year]&amp;stdWorkingDays[Month],0),MATCH("China",stdWorkingDays[#Headers],0))</f>
        <v>19</v>
      </c>
      <c r="I373" s="180" cm="1">
        <f t="array" ref="I373">INDEX(stdWorkingDays[],MATCH(capacityTbl[[#This Row],[Year]]&amp;capacityTbl[[#This Row],[Month]],stdWorkingDays[Year]&amp;stdWorkingDays[Month],0),MATCH("Philippine",stdWorkingDays[#Headers],0))</f>
        <v>21</v>
      </c>
      <c r="J373" s="181">
        <f>IFERROR((capacityTbl[[#This Row],[FTE-WUHAN]]*capacityTbl[[#This Row],[CH-Standard Working Days]]+capacityTbl[[#This Row],[FTE-MNL]]*capacityTbl[[#This Row],[PH-Standard Working Days]])/SUM(capacityTbl[[#This Row],[FTE-WUHAN]:[FTE-MNL]]),0)</f>
        <v>20.857142857142858</v>
      </c>
      <c r="K373" s="182">
        <f>IFERROR(capacityTbl[[#This Row],[Production Days]]/capacityTbl[[#This Row],[Weighted Working day]],0)</f>
        <v>12.921232876712329</v>
      </c>
      <c r="L373" s="181" cm="1">
        <f t="array" ref="L373">INDEX(ProductivityBaseline[ProductivityBaseline],MATCH(capacityTbl[[#This Row],[Process]]&amp;capacityTbl[[#This Row],[Year]],ProductivityBaseline[Title]&amp;ProductivityBaseline[Year to use],0))</f>
        <v>55.578644016381013</v>
      </c>
      <c r="M373" s="183">
        <f>IFERROR(capacityTbl[[#This Row],[No. of Transaction]]/(capacityTbl[[#This Row],[Productivity Baseline (Transation/FTE/Day)]]*capacityTbl[[#This Row],[Weighted Working day]]),0)</f>
        <v>10.681396510350329</v>
      </c>
      <c r="N373" s="184">
        <f>IFERROR(capacityTbl[[#This Row],[No. of Transaction]]/capacityTbl[[#This Row],[Production Days]],0)</f>
        <v>45.944341372912803</v>
      </c>
    </row>
    <row r="374" spans="1:14" x14ac:dyDescent="0.25">
      <c r="A374" s="168">
        <v>2025</v>
      </c>
      <c r="B374" s="169" t="s">
        <v>17</v>
      </c>
      <c r="C374" s="178" t="s">
        <v>343</v>
      </c>
      <c r="D374" s="87">
        <v>11915</v>
      </c>
      <c r="E374" s="88">
        <v>254.5</v>
      </c>
      <c r="F374" s="170" cm="1">
        <f t="array" ref="F374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4" s="171" cm="1">
        <f t="array" ref="G374">IFERROR(INDEX(FTE_stdWD[FTE],MATCH(capacityTbl[[#This Row],[Process]]&amp;capacityTbl[[#This Row],[Month]]&amp;capacityTbl[[#This Row],[Year]]&amp;"MNL",FTE_stdWD[Service Description]&amp;FTE_stdWD[Month]&amp;FTE_stdWD[Year]&amp;FTE_stdWD[Country],0)),0)</f>
        <v>13</v>
      </c>
      <c r="H374" s="171" cm="1">
        <f t="array" ref="H374">INDEX(stdWorkingDays[],MATCH(capacityTbl[[#This Row],[Year]]&amp;capacityTbl[[#This Row],[Month]],stdWorkingDays[Year]&amp;stdWorkingDays[Month],0),MATCH("China",stdWorkingDays[#Headers],0))</f>
        <v>19</v>
      </c>
      <c r="I374" s="171" cm="1">
        <f t="array" ref="I374">INDEX(stdWorkingDays[],MATCH(capacityTbl[[#This Row],[Year]]&amp;capacityTbl[[#This Row],[Month]],stdWorkingDays[Year]&amp;stdWorkingDays[Month],0),MATCH("Philippine",stdWorkingDays[#Headers],0))</f>
        <v>20</v>
      </c>
      <c r="J374" s="172">
        <f>IFERROR((capacityTbl[[#This Row],[FTE-WUHAN]]*capacityTbl[[#This Row],[CH-Standard Working Days]]+capacityTbl[[#This Row],[FTE-MNL]]*capacityTbl[[#This Row],[PH-Standard Working Days]])/SUM(capacityTbl[[#This Row],[FTE-WUHAN]:[FTE-MNL]]),0)</f>
        <v>19.928571428571427</v>
      </c>
      <c r="K374" s="173">
        <f>IFERROR(capacityTbl[[#This Row],[Production Days]]/capacityTbl[[#This Row],[Weighted Working day]],0)</f>
        <v>12.770609318996417</v>
      </c>
      <c r="L374" s="172" cm="1">
        <f t="array" ref="L374">INDEX(ProductivityBaseline[ProductivityBaseline],MATCH(capacityTbl[[#This Row],[Process]]&amp;capacityTbl[[#This Row],[Year]],ProductivityBaseline[Title]&amp;ProductivityBaseline[Year to use],0))</f>
        <v>55.578644016381013</v>
      </c>
      <c r="M374" s="174">
        <f>IFERROR(capacityTbl[[#This Row],[No. of Transaction]]/(capacityTbl[[#This Row],[Productivity Baseline (Transation/FTE/Day)]]*capacityTbl[[#This Row],[Weighted Working day]]),0)</f>
        <v>10.757464764402675</v>
      </c>
      <c r="N374" s="175">
        <f>IFERROR(capacityTbl[[#This Row],[No. of Transaction]]/capacityTbl[[#This Row],[Production Days]],0)</f>
        <v>46.817288801571706</v>
      </c>
    </row>
    <row r="375" spans="1:14" x14ac:dyDescent="0.25">
      <c r="A375" s="168">
        <v>2025</v>
      </c>
      <c r="B375" s="169" t="s">
        <v>18</v>
      </c>
      <c r="C375" s="178" t="s">
        <v>343</v>
      </c>
      <c r="D375" s="87">
        <v>12425</v>
      </c>
      <c r="E375" s="88">
        <v>248.5</v>
      </c>
      <c r="F375" s="170" cm="1">
        <f t="array" ref="F375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5" s="171" cm="1">
        <f t="array" ref="G375">IFERROR(INDEX(FTE_stdWD[FTE],MATCH(capacityTbl[[#This Row],[Process]]&amp;capacityTbl[[#This Row],[Month]]&amp;capacityTbl[[#This Row],[Year]]&amp;"MNL",FTE_stdWD[Service Description]&amp;FTE_stdWD[Month]&amp;FTE_stdWD[Year]&amp;FTE_stdWD[Country],0)),0)</f>
        <v>11</v>
      </c>
      <c r="H375" s="171" cm="1">
        <f t="array" ref="H375">INDEX(stdWorkingDays[],MATCH(capacityTbl[[#This Row],[Year]]&amp;capacityTbl[[#This Row],[Month]],stdWorkingDays[Year]&amp;stdWorkingDays[Month],0),MATCH("China",stdWorkingDays[#Headers],0))</f>
        <v>21</v>
      </c>
      <c r="I375" s="171" cm="1">
        <f t="array" ref="I375">INDEX(stdWorkingDays[],MATCH(capacityTbl[[#This Row],[Year]]&amp;capacityTbl[[#This Row],[Month]],stdWorkingDays[Year]&amp;stdWorkingDays[Month],0),MATCH("Philippine",stdWorkingDays[#Headers],0))</f>
        <v>21</v>
      </c>
      <c r="J375" s="172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75" s="173">
        <f>IFERROR(capacityTbl[[#This Row],[Production Days]]/capacityTbl[[#This Row],[Weighted Working day]],0)</f>
        <v>11.833333333333334</v>
      </c>
      <c r="L375" s="172" cm="1">
        <f t="array" ref="L375">INDEX(ProductivityBaseline[ProductivityBaseline],MATCH(capacityTbl[[#This Row],[Process]]&amp;capacityTbl[[#This Row],[Year]],ProductivityBaseline[Title]&amp;ProductivityBaseline[Year to use],0))</f>
        <v>55.578644016381013</v>
      </c>
      <c r="M375" s="174">
        <f>IFERROR(capacityTbl[[#This Row],[No. of Transaction]]/(capacityTbl[[#This Row],[Productivity Baseline (Transation/FTE/Day)]]*capacityTbl[[#This Row],[Weighted Working day]]),0)</f>
        <v>10.6455757807312</v>
      </c>
      <c r="N375" s="175">
        <f>IFERROR(capacityTbl[[#This Row],[No. of Transaction]]/capacityTbl[[#This Row],[Production Days]],0)</f>
        <v>50</v>
      </c>
    </row>
    <row r="376" spans="1:14" x14ac:dyDescent="0.25">
      <c r="A376" s="168">
        <v>2025</v>
      </c>
      <c r="B376" s="169" t="s">
        <v>19</v>
      </c>
      <c r="C376" s="178" t="s">
        <v>343</v>
      </c>
      <c r="D376" s="87">
        <v>11712</v>
      </c>
      <c r="E376" s="88">
        <v>256.39999999999998</v>
      </c>
      <c r="F376" s="170" cm="1">
        <f t="array" ref="F376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6" s="171" cm="1">
        <f t="array" ref="G376">IFERROR(INDEX(FTE_stdWD[FTE],MATCH(capacityTbl[[#This Row],[Process]]&amp;capacityTbl[[#This Row],[Month]]&amp;capacityTbl[[#This Row],[Year]]&amp;"MNL",FTE_stdWD[Service Description]&amp;FTE_stdWD[Month]&amp;FTE_stdWD[Year]&amp;FTE_stdWD[Country],0)),0)</f>
        <v>10</v>
      </c>
      <c r="H376" s="171" cm="1">
        <f t="array" ref="H376">INDEX(stdWorkingDays[],MATCH(capacityTbl[[#This Row],[Year]]&amp;capacityTbl[[#This Row],[Month]],stdWorkingDays[Year]&amp;stdWorkingDays[Month],0),MATCH("China",stdWorkingDays[#Headers],0))</f>
        <v>22</v>
      </c>
      <c r="I376" s="171" cm="1">
        <f t="array" ref="I376">INDEX(stdWorkingDays[],MATCH(capacityTbl[[#This Row],[Year]]&amp;capacityTbl[[#This Row],[Month]],stdWorkingDays[Year]&amp;stdWorkingDays[Month],0),MATCH("Philippine",stdWorkingDays[#Headers],0))</f>
        <v>19</v>
      </c>
      <c r="J376" s="172">
        <f>IFERROR((capacityTbl[[#This Row],[FTE-WUHAN]]*capacityTbl[[#This Row],[CH-Standard Working Days]]+capacityTbl[[#This Row],[FTE-MNL]]*capacityTbl[[#This Row],[PH-Standard Working Days]])/SUM(capacityTbl[[#This Row],[FTE-WUHAN]:[FTE-MNL]]),0)</f>
        <v>19.272727272727273</v>
      </c>
      <c r="K376" s="173">
        <f>IFERROR(capacityTbl[[#This Row],[Production Days]]/capacityTbl[[#This Row],[Weighted Working day]],0)</f>
        <v>13.30377358490566</v>
      </c>
      <c r="L376" s="172" cm="1">
        <f t="array" ref="L376">INDEX(ProductivityBaseline[ProductivityBaseline],MATCH(capacityTbl[[#This Row],[Process]]&amp;capacityTbl[[#This Row],[Year]],ProductivityBaseline[Title]&amp;ProductivityBaseline[Year to use],0))</f>
        <v>55.578644016381013</v>
      </c>
      <c r="M376" s="174">
        <f>IFERROR(capacityTbl[[#This Row],[No. of Transaction]]/(capacityTbl[[#This Row],[Productivity Baseline (Transation/FTE/Day)]]*capacityTbl[[#This Row],[Weighted Working day]]),0)</f>
        <v>10.934021942464749</v>
      </c>
      <c r="N376" s="175">
        <f>IFERROR(capacityTbl[[#This Row],[No. of Transaction]]/capacityTbl[[#This Row],[Production Days]],0)</f>
        <v>45.678627145085805</v>
      </c>
    </row>
    <row r="377" spans="1:14" x14ac:dyDescent="0.25">
      <c r="A377" s="168">
        <v>2025</v>
      </c>
      <c r="B377" s="169" t="s">
        <v>20</v>
      </c>
      <c r="C377" s="178" t="s">
        <v>343</v>
      </c>
      <c r="D377" s="87">
        <v>12043</v>
      </c>
      <c r="E377" s="88">
        <v>183</v>
      </c>
      <c r="F377" s="170" cm="1">
        <f t="array" ref="F377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7" s="171" cm="1">
        <f t="array" ref="G377">IFERROR(INDEX(FTE_stdWD[FTE],MATCH(capacityTbl[[#This Row],[Process]]&amp;capacityTbl[[#This Row],[Month]]&amp;capacityTbl[[#This Row],[Year]]&amp;"MNL",FTE_stdWD[Service Description]&amp;FTE_stdWD[Month]&amp;FTE_stdWD[Year]&amp;FTE_stdWD[Country],0)),0)</f>
        <v>9</v>
      </c>
      <c r="H377" s="171" cm="1">
        <f t="array" ref="H377">INDEX(stdWorkingDays[],MATCH(capacityTbl[[#This Row],[Year]]&amp;capacityTbl[[#This Row],[Month]],stdWorkingDays[Year]&amp;stdWorkingDays[Month],0),MATCH("China",stdWorkingDays[#Headers],0))</f>
        <v>19</v>
      </c>
      <c r="I377" s="171" cm="1">
        <f t="array" ref="I377">INDEX(stdWorkingDays[],MATCH(capacityTbl[[#This Row],[Year]]&amp;capacityTbl[[#This Row],[Month]],stdWorkingDays[Year]&amp;stdWorkingDays[Month],0),MATCH("Philippine",stdWorkingDays[#Headers],0))</f>
        <v>21</v>
      </c>
      <c r="J377" s="172">
        <f>IFERROR((capacityTbl[[#This Row],[FTE-WUHAN]]*capacityTbl[[#This Row],[CH-Standard Working Days]]+capacityTbl[[#This Row],[FTE-MNL]]*capacityTbl[[#This Row],[PH-Standard Working Days]])/SUM(capacityTbl[[#This Row],[FTE-WUHAN]:[FTE-MNL]]),0)</f>
        <v>20.8</v>
      </c>
      <c r="K377" s="173">
        <f>IFERROR(capacityTbl[[#This Row],[Production Days]]/capacityTbl[[#This Row],[Weighted Working day]],0)</f>
        <v>8.7980769230769234</v>
      </c>
      <c r="L377" s="172" cm="1">
        <f t="array" ref="L377">INDEX(ProductivityBaseline[ProductivityBaseline],MATCH(capacityTbl[[#This Row],[Process]]&amp;capacityTbl[[#This Row],[Year]],ProductivityBaseline[Title]&amp;ProductivityBaseline[Year to use],0))</f>
        <v>55.578644016381013</v>
      </c>
      <c r="M377" s="174">
        <f>IFERROR(capacityTbl[[#This Row],[No. of Transaction]]/(capacityTbl[[#This Row],[Productivity Baseline (Transation/FTE/Day)]]*capacityTbl[[#This Row],[Weighted Working day]]),0)</f>
        <v>10.417497491387797</v>
      </c>
      <c r="N377" s="175">
        <f>IFERROR(capacityTbl[[#This Row],[No. of Transaction]]/capacityTbl[[#This Row],[Production Days]],0)</f>
        <v>65.808743169398909</v>
      </c>
    </row>
    <row r="378" spans="1:14" x14ac:dyDescent="0.25">
      <c r="A378" s="168">
        <v>2025</v>
      </c>
      <c r="B378" s="169" t="s">
        <v>21</v>
      </c>
      <c r="C378" s="178" t="s">
        <v>343</v>
      </c>
      <c r="D378" s="87">
        <v>11994</v>
      </c>
      <c r="E378" s="88">
        <v>148</v>
      </c>
      <c r="F378" s="170" cm="1">
        <f t="array" ref="F378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8" s="171" cm="1">
        <f t="array" ref="G378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8" s="171" cm="1">
        <f t="array" ref="H378">INDEX(stdWorkingDays[],MATCH(capacityTbl[[#This Row],[Year]]&amp;capacityTbl[[#This Row],[Month]],stdWorkingDays[Year]&amp;stdWorkingDays[Month],0),MATCH("China",stdWorkingDays[#Headers],0))</f>
        <v>20</v>
      </c>
      <c r="I378" s="171" cm="1">
        <f t="array" ref="I378">INDEX(stdWorkingDays[],MATCH(capacityTbl[[#This Row],[Year]]&amp;capacityTbl[[#This Row],[Month]],stdWorkingDays[Year]&amp;stdWorkingDays[Month],0),MATCH("Philippine",stdWorkingDays[#Headers],0))</f>
        <v>19</v>
      </c>
      <c r="J378" s="172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78" s="173">
        <f>IFERROR(capacityTbl[[#This Row],[Production Days]]/capacityTbl[[#This Row],[Weighted Working day]],0)</f>
        <v>7.4</v>
      </c>
      <c r="L378" s="172" cm="1">
        <f t="array" ref="L378">INDEX(ProductivityBaseline[ProductivityBaseline],MATCH(capacityTbl[[#This Row],[Process]]&amp;capacityTbl[[#This Row],[Year]],ProductivityBaseline[Title]&amp;ProductivityBaseline[Year to use],0))</f>
        <v>55.578644016381013</v>
      </c>
      <c r="M378" s="174">
        <f>IFERROR(capacityTbl[[#This Row],[No. of Transaction]]/(capacityTbl[[#This Row],[Productivity Baseline (Transation/FTE/Day)]]*capacityTbl[[#This Row],[Weighted Working day]]),0)</f>
        <v>10.790115711049859</v>
      </c>
      <c r="N378" s="175">
        <f>IFERROR(capacityTbl[[#This Row],[No. of Transaction]]/capacityTbl[[#This Row],[Production Days]],0)</f>
        <v>81.040540540540547</v>
      </c>
    </row>
    <row r="379" spans="1:14" x14ac:dyDescent="0.25">
      <c r="A379" s="168">
        <v>2025</v>
      </c>
      <c r="B379" s="169" t="s">
        <v>22</v>
      </c>
      <c r="C379" s="178" t="s">
        <v>343</v>
      </c>
      <c r="D379" s="87">
        <v>13449</v>
      </c>
      <c r="E379" s="88">
        <v>175.5</v>
      </c>
      <c r="F379" s="170" cm="1">
        <f t="array" ref="F379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79" s="171" cm="1">
        <f t="array" ref="G379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79" s="171" cm="1">
        <f t="array" ref="H379">INDEX(stdWorkingDays[],MATCH(capacityTbl[[#This Row],[Year]]&amp;capacityTbl[[#This Row],[Month]],stdWorkingDays[Year]&amp;stdWorkingDays[Month],0),MATCH("China",stdWorkingDays[#Headers],0))</f>
        <v>23</v>
      </c>
      <c r="I379" s="171" cm="1">
        <f t="array" ref="I379">INDEX(stdWorkingDays[],MATCH(capacityTbl[[#This Row],[Year]]&amp;capacityTbl[[#This Row],[Month]],stdWorkingDays[Year]&amp;stdWorkingDays[Month],0),MATCH("Philippine",stdWorkingDays[#Headers],0))</f>
        <v>23</v>
      </c>
      <c r="J379" s="172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79" s="173">
        <f>IFERROR(capacityTbl[[#This Row],[Production Days]]/capacityTbl[[#This Row],[Weighted Working day]],0)</f>
        <v>7.6304347826086953</v>
      </c>
      <c r="L379" s="172" cm="1">
        <f t="array" ref="L379">INDEX(ProductivityBaseline[ProductivityBaseline],MATCH(capacityTbl[[#This Row],[Process]]&amp;capacityTbl[[#This Row],[Year]],ProductivityBaseline[Title]&amp;ProductivityBaseline[Year to use],0))</f>
        <v>55.578644016381013</v>
      </c>
      <c r="M379" s="174">
        <f>IFERROR(capacityTbl[[#This Row],[No. of Transaction]]/(capacityTbl[[#This Row],[Productivity Baseline (Transation/FTE/Day)]]*capacityTbl[[#This Row],[Weighted Working day]]),0)</f>
        <v>10.520931929581424</v>
      </c>
      <c r="N379" s="175">
        <f>IFERROR(capacityTbl[[#This Row],[No. of Transaction]]/capacityTbl[[#This Row],[Production Days]],0)</f>
        <v>76.632478632478637</v>
      </c>
    </row>
    <row r="380" spans="1:14" x14ac:dyDescent="0.25">
      <c r="A380" s="168">
        <v>2025</v>
      </c>
      <c r="B380" s="169" t="s">
        <v>46</v>
      </c>
      <c r="C380" s="178" t="s">
        <v>343</v>
      </c>
      <c r="D380" s="87">
        <v>13562</v>
      </c>
      <c r="E380" s="88">
        <v>174.5</v>
      </c>
      <c r="F380" s="170" cm="1">
        <f t="array" ref="F380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0" s="171" cm="1">
        <f t="array" ref="G380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0" s="171" cm="1">
        <f t="array" ref="H380">INDEX(stdWorkingDays[],MATCH(capacityTbl[[#This Row],[Year]]&amp;capacityTbl[[#This Row],[Month]],stdWorkingDays[Year]&amp;stdWorkingDays[Month],0),MATCH("China",stdWorkingDays[#Headers],0))</f>
        <v>21</v>
      </c>
      <c r="I380" s="171" cm="1">
        <f t="array" ref="I380">INDEX(stdWorkingDays[],MATCH(capacityTbl[[#This Row],[Year]]&amp;capacityTbl[[#This Row],[Month]],stdWorkingDays[Year]&amp;stdWorkingDays[Month],0),MATCH("Philippine",stdWorkingDays[#Headers],0))</f>
        <v>19</v>
      </c>
      <c r="J380" s="172">
        <f>IFERROR((capacityTbl[[#This Row],[FTE-WUHAN]]*capacityTbl[[#This Row],[CH-Standard Working Days]]+capacityTbl[[#This Row],[FTE-MNL]]*capacityTbl[[#This Row],[PH-Standard Working Days]])/SUM(capacityTbl[[#This Row],[FTE-WUHAN]:[FTE-MNL]]),0)</f>
        <v>21</v>
      </c>
      <c r="K380" s="173">
        <f>IFERROR(capacityTbl[[#This Row],[Production Days]]/capacityTbl[[#This Row],[Weighted Working day]],0)</f>
        <v>8.3095238095238102</v>
      </c>
      <c r="L380" s="172" cm="1">
        <f t="array" ref="L380">INDEX(ProductivityBaseline[ProductivityBaseline],MATCH(capacityTbl[[#This Row],[Process]]&amp;capacityTbl[[#This Row],[Year]],ProductivityBaseline[Title]&amp;ProductivityBaseline[Year to use],0))</f>
        <v>55.578644016381013</v>
      </c>
      <c r="M380" s="174">
        <f>IFERROR(capacityTbl[[#This Row],[No. of Transaction]]/(capacityTbl[[#This Row],[Productivity Baseline (Transation/FTE/Day)]]*capacityTbl[[#This Row],[Weighted Working day]]),0)</f>
        <v>11.619742353181209</v>
      </c>
      <c r="N380" s="175">
        <f>IFERROR(capacityTbl[[#This Row],[No. of Transaction]]/capacityTbl[[#This Row],[Production Days]],0)</f>
        <v>77.719197707736384</v>
      </c>
    </row>
    <row r="381" spans="1:14" x14ac:dyDescent="0.25">
      <c r="A381" s="168">
        <v>2025</v>
      </c>
      <c r="B381" s="169" t="s">
        <v>33</v>
      </c>
      <c r="C381" s="178" t="s">
        <v>343</v>
      </c>
      <c r="D381" s="87"/>
      <c r="E381" s="88"/>
      <c r="F381" s="170" cm="1">
        <f t="array" ref="F381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1" s="171" cm="1">
        <f t="array" ref="G381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1" s="171" cm="1">
        <f t="array" ref="H381">INDEX(stdWorkingDays[],MATCH(capacityTbl[[#This Row],[Year]]&amp;capacityTbl[[#This Row],[Month]],stdWorkingDays[Year]&amp;stdWorkingDays[Month],0),MATCH("China",stdWorkingDays[#Headers],0))</f>
        <v>23</v>
      </c>
      <c r="I381" s="171" cm="1">
        <f t="array" ref="I381">INDEX(stdWorkingDays[],MATCH(capacityTbl[[#This Row],[Year]]&amp;capacityTbl[[#This Row],[Month]],stdWorkingDays[Year]&amp;stdWorkingDays[Month],0),MATCH("Philippine",stdWorkingDays[#Headers],0))</f>
        <v>22</v>
      </c>
      <c r="J381" s="172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81" s="173">
        <f>IFERROR(capacityTbl[[#This Row],[Production Days]]/capacityTbl[[#This Row],[Weighted Working day]],0)</f>
        <v>0</v>
      </c>
      <c r="L381" s="172" cm="1">
        <f t="array" ref="L381">INDEX(ProductivityBaseline[ProductivityBaseline],MATCH(capacityTbl[[#This Row],[Process]]&amp;capacityTbl[[#This Row],[Year]],ProductivityBaseline[Title]&amp;ProductivityBaseline[Year to use],0))</f>
        <v>55.578644016381013</v>
      </c>
      <c r="M381" s="174">
        <f>IFERROR(capacityTbl[[#This Row],[No. of Transaction]]/(capacityTbl[[#This Row],[Productivity Baseline (Transation/FTE/Day)]]*capacityTbl[[#This Row],[Weighted Working day]]),0)</f>
        <v>0</v>
      </c>
      <c r="N381" s="175">
        <f>IFERROR(capacityTbl[[#This Row],[No. of Transaction]]/capacityTbl[[#This Row],[Production Days]],0)</f>
        <v>0</v>
      </c>
    </row>
    <row r="382" spans="1:14" x14ac:dyDescent="0.25">
      <c r="A382" s="168">
        <v>2025</v>
      </c>
      <c r="B382" s="169" t="s">
        <v>25</v>
      </c>
      <c r="C382" s="178" t="s">
        <v>343</v>
      </c>
      <c r="D382" s="87"/>
      <c r="E382" s="88"/>
      <c r="F382" s="170" cm="1">
        <f t="array" ref="F382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2" s="171" cm="1">
        <f t="array" ref="G382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2" s="171" cm="1">
        <f t="array" ref="H382">INDEX(stdWorkingDays[],MATCH(capacityTbl[[#This Row],[Year]]&amp;capacityTbl[[#This Row],[Month]],stdWorkingDays[Year]&amp;stdWorkingDays[Month],0),MATCH("China",stdWorkingDays[#Headers],0))</f>
        <v>18</v>
      </c>
      <c r="I382" s="171" cm="1">
        <f t="array" ref="I382">INDEX(stdWorkingDays[],MATCH(capacityTbl[[#This Row],[Year]]&amp;capacityTbl[[#This Row],[Month]],stdWorkingDays[Year]&amp;stdWorkingDays[Month],0),MATCH("Philippine",stdWorkingDays[#Headers],0))</f>
        <v>22</v>
      </c>
      <c r="J382" s="172">
        <f>IFERROR((capacityTbl[[#This Row],[FTE-WUHAN]]*capacityTbl[[#This Row],[CH-Standard Working Days]]+capacityTbl[[#This Row],[FTE-MNL]]*capacityTbl[[#This Row],[PH-Standard Working Days]])/SUM(capacityTbl[[#This Row],[FTE-WUHAN]:[FTE-MNL]]),0)</f>
        <v>18</v>
      </c>
      <c r="K382" s="173">
        <f>IFERROR(capacityTbl[[#This Row],[Production Days]]/capacityTbl[[#This Row],[Weighted Working day]],0)</f>
        <v>0</v>
      </c>
      <c r="L382" s="172" cm="1">
        <f t="array" ref="L382">INDEX(ProductivityBaseline[ProductivityBaseline],MATCH(capacityTbl[[#This Row],[Process]]&amp;capacityTbl[[#This Row],[Year]],ProductivityBaseline[Title]&amp;ProductivityBaseline[Year to use],0))</f>
        <v>55.578644016381013</v>
      </c>
      <c r="M382" s="174">
        <f>IFERROR(capacityTbl[[#This Row],[No. of Transaction]]/(capacityTbl[[#This Row],[Productivity Baseline (Transation/FTE/Day)]]*capacityTbl[[#This Row],[Weighted Working day]]),0)</f>
        <v>0</v>
      </c>
      <c r="N382" s="175">
        <f>IFERROR(capacityTbl[[#This Row],[No. of Transaction]]/capacityTbl[[#This Row],[Production Days]],0)</f>
        <v>0</v>
      </c>
    </row>
    <row r="383" spans="1:14" x14ac:dyDescent="0.25">
      <c r="A383" s="168">
        <v>2025</v>
      </c>
      <c r="B383" s="169" t="s">
        <v>26</v>
      </c>
      <c r="C383" s="178" t="s">
        <v>343</v>
      </c>
      <c r="D383" s="87"/>
      <c r="E383" s="88"/>
      <c r="F383" s="170" cm="1">
        <f t="array" ref="F383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3" s="171" cm="1">
        <f t="array" ref="G383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3" s="171" cm="1">
        <f t="array" ref="H383">INDEX(stdWorkingDays[],MATCH(capacityTbl[[#This Row],[Year]]&amp;capacityTbl[[#This Row],[Month]],stdWorkingDays[Year]&amp;stdWorkingDays[Month],0),MATCH("China",stdWorkingDays[#Headers],0))</f>
        <v>20</v>
      </c>
      <c r="I383" s="171" cm="1">
        <f t="array" ref="I383">INDEX(stdWorkingDays[],MATCH(capacityTbl[[#This Row],[Year]]&amp;capacityTbl[[#This Row],[Month]],stdWorkingDays[Year]&amp;stdWorkingDays[Month],0),MATCH("Philippine",stdWorkingDays[#Headers],0))</f>
        <v>20</v>
      </c>
      <c r="J383" s="172">
        <f>IFERROR((capacityTbl[[#This Row],[FTE-WUHAN]]*capacityTbl[[#This Row],[CH-Standard Working Days]]+capacityTbl[[#This Row],[FTE-MNL]]*capacityTbl[[#This Row],[PH-Standard Working Days]])/SUM(capacityTbl[[#This Row],[FTE-WUHAN]:[FTE-MNL]]),0)</f>
        <v>20</v>
      </c>
      <c r="K383" s="173">
        <f>IFERROR(capacityTbl[[#This Row],[Production Days]]/capacityTbl[[#This Row],[Weighted Working day]],0)</f>
        <v>0</v>
      </c>
      <c r="L383" s="172" cm="1">
        <f t="array" ref="L383">INDEX(ProductivityBaseline[ProductivityBaseline],MATCH(capacityTbl[[#This Row],[Process]]&amp;capacityTbl[[#This Row],[Year]],ProductivityBaseline[Title]&amp;ProductivityBaseline[Year to use],0))</f>
        <v>55.578644016381013</v>
      </c>
      <c r="M383" s="174">
        <f>IFERROR(capacityTbl[[#This Row],[No. of Transaction]]/(capacityTbl[[#This Row],[Productivity Baseline (Transation/FTE/Day)]]*capacityTbl[[#This Row],[Weighted Working day]]),0)</f>
        <v>0</v>
      </c>
      <c r="N383" s="175">
        <f>IFERROR(capacityTbl[[#This Row],[No. of Transaction]]/capacityTbl[[#This Row],[Production Days]],0)</f>
        <v>0</v>
      </c>
    </row>
    <row r="384" spans="1:14" x14ac:dyDescent="0.25">
      <c r="A384" s="168">
        <v>2025</v>
      </c>
      <c r="B384" s="169" t="s">
        <v>27</v>
      </c>
      <c r="C384" s="178" t="s">
        <v>343</v>
      </c>
      <c r="D384" s="87"/>
      <c r="E384" s="88"/>
      <c r="F384" s="170" cm="1">
        <f t="array" ref="F384">IFERROR(INDEX(FTE_stdWD[FTE],MATCH(capacityTbl[[#This Row],[Process]]&amp;capacityTbl[[#This Row],[Month]]&amp;capacityTbl[[#This Row],[Year]]&amp;"WUH",FTE_stdWD[Service Description]&amp;FTE_stdWD[Month]&amp;FTE_stdWD[Year]&amp;FTE_stdWD[Country],0)),0)</f>
        <v>1</v>
      </c>
      <c r="G384" s="171" cm="1">
        <f t="array" ref="G384">IFERROR(INDEX(FTE_stdWD[FTE],MATCH(capacityTbl[[#This Row],[Process]]&amp;capacityTbl[[#This Row],[Month]]&amp;capacityTbl[[#This Row],[Year]]&amp;"MNL",FTE_stdWD[Service Description]&amp;FTE_stdWD[Month]&amp;FTE_stdWD[Year]&amp;FTE_stdWD[Country],0)),0)</f>
        <v>0</v>
      </c>
      <c r="H384" s="171" cm="1">
        <f t="array" ref="H384">INDEX(stdWorkingDays[],MATCH(capacityTbl[[#This Row],[Year]]&amp;capacityTbl[[#This Row],[Month]],stdWorkingDays[Year]&amp;stdWorkingDays[Month],0),MATCH("China",stdWorkingDays[#Headers],0))</f>
        <v>23</v>
      </c>
      <c r="I384" s="171" cm="1">
        <f t="array" ref="I384">INDEX(stdWorkingDays[],MATCH(capacityTbl[[#This Row],[Year]]&amp;capacityTbl[[#This Row],[Month]],stdWorkingDays[Year]&amp;stdWorkingDays[Month],0),MATCH("Philippine",stdWorkingDays[#Headers],0))</f>
        <v>18</v>
      </c>
      <c r="J384" s="172">
        <f>IFERROR((capacityTbl[[#This Row],[FTE-WUHAN]]*capacityTbl[[#This Row],[CH-Standard Working Days]]+capacityTbl[[#This Row],[FTE-MNL]]*capacityTbl[[#This Row],[PH-Standard Working Days]])/SUM(capacityTbl[[#This Row],[FTE-WUHAN]:[FTE-MNL]]),0)</f>
        <v>23</v>
      </c>
      <c r="K384" s="173">
        <f>IFERROR(capacityTbl[[#This Row],[Production Days]]/capacityTbl[[#This Row],[Weighted Working day]],0)</f>
        <v>0</v>
      </c>
      <c r="L384" s="172" cm="1">
        <f t="array" ref="L384">INDEX(ProductivityBaseline[ProductivityBaseline],MATCH(capacityTbl[[#This Row],[Process]]&amp;capacityTbl[[#This Row],[Year]],ProductivityBaseline[Title]&amp;ProductivityBaseline[Year to use],0))</f>
        <v>55.578644016381013</v>
      </c>
      <c r="M384" s="174">
        <f>IFERROR(capacityTbl[[#This Row],[No. of Transaction]]/(capacityTbl[[#This Row],[Productivity Baseline (Transation/FTE/Day)]]*capacityTbl[[#This Row],[Weighted Working day]]),0)</f>
        <v>0</v>
      </c>
      <c r="N384" s="175">
        <f>IFERROR(capacityTbl[[#This Row],[No. of Transaction]]/capacityTbl[[#This Row],[Production Days]],0)</f>
        <v>0</v>
      </c>
    </row>
  </sheetData>
  <conditionalFormatting sqref="A1:N1048576">
    <cfRule type="expression" dxfId="29" priority="1">
      <formula>$B1="January"</formula>
    </cfRule>
    <cfRule type="expression" dxfId="28" priority="2">
      <formula>AND(TEXT(DATE(YEAR(TODAY()),MONTH(TODAY()),-1),"MMMM")=$B1,YEAR(TODAY())=$A1)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F98D-B98F-431F-BA9E-6470F1AF4F23}">
  <sheetPr>
    <tabColor theme="9" tint="0.39997558519241921"/>
  </sheetPr>
  <dimension ref="A1:I421"/>
  <sheetViews>
    <sheetView showGridLines="0" zoomScaleNormal="100"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E433" sqref="E433"/>
    </sheetView>
    <sheetView showGridLines="0" zoomScale="85" zoomScaleNormal="85" workbookViewId="1">
      <selection activeCell="E204" sqref="E204"/>
    </sheetView>
  </sheetViews>
  <sheetFormatPr defaultColWidth="9.140625" defaultRowHeight="15" x14ac:dyDescent="0.25"/>
  <cols>
    <col min="1" max="1" width="33.5703125" style="54" customWidth="1"/>
    <col min="2" max="2" width="14.28515625" style="54" customWidth="1"/>
    <col min="3" max="3" width="18.42578125" style="54" customWidth="1"/>
    <col min="4" max="4" width="28.5703125" style="54" customWidth="1"/>
    <col min="5" max="5" width="9.140625" style="54"/>
    <col min="6" max="6" width="21.140625" style="54" customWidth="1"/>
    <col min="7" max="7" width="3.42578125" style="54" hidden="1" customWidth="1"/>
    <col min="8" max="8" width="31.85546875" style="54" customWidth="1"/>
    <col min="9" max="9" width="26.85546875" style="54" customWidth="1"/>
    <col min="10" max="16384" width="9.140625" style="54"/>
  </cols>
  <sheetData>
    <row r="1" spans="1:9" x14ac:dyDescent="0.25">
      <c r="A1" s="55" t="s">
        <v>40</v>
      </c>
      <c r="B1" s="55" t="s">
        <v>41</v>
      </c>
      <c r="C1" s="55" t="s">
        <v>42</v>
      </c>
      <c r="D1" s="55" t="s">
        <v>1</v>
      </c>
      <c r="E1" s="55" t="s">
        <v>43</v>
      </c>
      <c r="F1" s="55" t="s">
        <v>44</v>
      </c>
      <c r="G1" s="55" t="s">
        <v>286</v>
      </c>
      <c r="H1" s="55" t="s">
        <v>304</v>
      </c>
      <c r="I1" s="55" t="s">
        <v>305</v>
      </c>
    </row>
    <row r="2" spans="1:9" hidden="1" x14ac:dyDescent="0.25">
      <c r="A2" s="57" t="s">
        <v>34</v>
      </c>
      <c r="B2" s="58" t="s">
        <v>45</v>
      </c>
      <c r="C2" s="58">
        <v>2025</v>
      </c>
      <c r="D2" s="58" t="s">
        <v>14</v>
      </c>
      <c r="E2" s="62">
        <v>2</v>
      </c>
      <c r="F2" s="58" t="str">
        <f>INDEX(functionInfo[Service Lead],MATCH(FTE_stdWD[[#This Row],[Service Description]],functionInfo[Service Description For Invoicing &amp; SLA],0))</f>
        <v>Sasha Yan</v>
      </c>
      <c r="G2" s="58" t="str">
        <f>FTE_stdWD[[#This Row],[Service Description]]&amp;FTE_stdWD[[#This Row],[Country]]&amp;FTE_stdWD[[#This Row],[Year]]&amp;FTE_stdWD[[#This Row],[Month]]</f>
        <v>Finance - Master Data ManagementWUH2025January</v>
      </c>
      <c r="H2" s="58" t="str">
        <f>INDEX(functionInfo[Daily Dashboard Set-up],MATCH(FTE_stdWD[[#This Row],[Service Description]],functionInfo[Service Description For Invoicing &amp; SLA],0))</f>
        <v>No</v>
      </c>
      <c r="I2" s="56" t="str">
        <f>INDEX(functionInfo[Monthly Dashboard],MATCH(FTE_stdWD[[#This Row],[Service Description]],functionInfo[Service Description For Invoicing &amp; SLA],0))</f>
        <v>Yes</v>
      </c>
    </row>
    <row r="3" spans="1:9" hidden="1" x14ac:dyDescent="0.25">
      <c r="A3" s="57" t="s">
        <v>34</v>
      </c>
      <c r="B3" s="58" t="s">
        <v>45</v>
      </c>
      <c r="C3" s="58">
        <v>2025</v>
      </c>
      <c r="D3" s="58" t="s">
        <v>17</v>
      </c>
      <c r="E3" s="62">
        <v>2</v>
      </c>
      <c r="F3" s="58" t="str">
        <f>INDEX(functionInfo[Service Lead],MATCH(FTE_stdWD[[#This Row],[Service Description]],functionInfo[Service Description For Invoicing &amp; SLA],0))</f>
        <v>Sasha Yan</v>
      </c>
      <c r="G3" s="58" t="str">
        <f>FTE_stdWD[[#This Row],[Service Description]]&amp;FTE_stdWD[[#This Row],[Country]]&amp;FTE_stdWD[[#This Row],[Year]]&amp;FTE_stdWD[[#This Row],[Month]]</f>
        <v>Finance - Master Data ManagementWUH2025February</v>
      </c>
      <c r="H3" s="58" t="str">
        <f>INDEX(functionInfo[Daily Dashboard Set-up],MATCH(FTE_stdWD[[#This Row],[Service Description]],functionInfo[Service Description For Invoicing &amp; SLA],0))</f>
        <v>No</v>
      </c>
      <c r="I3" s="56" t="str">
        <f>INDEX(functionInfo[Monthly Dashboard],MATCH(FTE_stdWD[[#This Row],[Service Description]],functionInfo[Service Description For Invoicing &amp; SLA],0))</f>
        <v>Yes</v>
      </c>
    </row>
    <row r="4" spans="1:9" hidden="1" x14ac:dyDescent="0.25">
      <c r="A4" s="57" t="s">
        <v>34</v>
      </c>
      <c r="B4" s="58" t="s">
        <v>45</v>
      </c>
      <c r="C4" s="58">
        <v>2025</v>
      </c>
      <c r="D4" s="58" t="s">
        <v>18</v>
      </c>
      <c r="E4" s="62">
        <v>2</v>
      </c>
      <c r="F4" s="58" t="str">
        <f>INDEX(functionInfo[Service Lead],MATCH(FTE_stdWD[[#This Row],[Service Description]],functionInfo[Service Description For Invoicing &amp; SLA],0))</f>
        <v>Sasha Yan</v>
      </c>
      <c r="G4" s="58" t="str">
        <f>FTE_stdWD[[#This Row],[Service Description]]&amp;FTE_stdWD[[#This Row],[Country]]&amp;FTE_stdWD[[#This Row],[Year]]&amp;FTE_stdWD[[#This Row],[Month]]</f>
        <v>Finance - Master Data ManagementWUH2025March</v>
      </c>
      <c r="H4" s="58" t="str">
        <f>INDEX(functionInfo[Daily Dashboard Set-up],MATCH(FTE_stdWD[[#This Row],[Service Description]],functionInfo[Service Description For Invoicing &amp; SLA],0))</f>
        <v>No</v>
      </c>
      <c r="I4" s="56" t="str">
        <f>INDEX(functionInfo[Monthly Dashboard],MATCH(FTE_stdWD[[#This Row],[Service Description]],functionInfo[Service Description For Invoicing &amp; SLA],0))</f>
        <v>Yes</v>
      </c>
    </row>
    <row r="5" spans="1:9" hidden="1" x14ac:dyDescent="0.25">
      <c r="A5" s="57" t="s">
        <v>34</v>
      </c>
      <c r="B5" s="58" t="s">
        <v>45</v>
      </c>
      <c r="C5" s="58">
        <v>2025</v>
      </c>
      <c r="D5" s="58" t="s">
        <v>19</v>
      </c>
      <c r="E5" s="62">
        <v>2</v>
      </c>
      <c r="F5" s="58" t="str">
        <f>INDEX(functionInfo[Service Lead],MATCH(FTE_stdWD[[#This Row],[Service Description]],functionInfo[Service Description For Invoicing &amp; SLA],0))</f>
        <v>Sasha Yan</v>
      </c>
      <c r="G5" s="58" t="str">
        <f>FTE_stdWD[[#This Row],[Service Description]]&amp;FTE_stdWD[[#This Row],[Country]]&amp;FTE_stdWD[[#This Row],[Year]]&amp;FTE_stdWD[[#This Row],[Month]]</f>
        <v>Finance - Master Data ManagementWUH2025April</v>
      </c>
      <c r="H5" s="58" t="str">
        <f>INDEX(functionInfo[Daily Dashboard Set-up],MATCH(FTE_stdWD[[#This Row],[Service Description]],functionInfo[Service Description For Invoicing &amp; SLA],0))</f>
        <v>No</v>
      </c>
      <c r="I5" s="56" t="str">
        <f>INDEX(functionInfo[Monthly Dashboard],MATCH(FTE_stdWD[[#This Row],[Service Description]],functionInfo[Service Description For Invoicing &amp; SLA],0))</f>
        <v>Yes</v>
      </c>
    </row>
    <row r="6" spans="1:9" hidden="1" x14ac:dyDescent="0.25">
      <c r="A6" s="57" t="s">
        <v>34</v>
      </c>
      <c r="B6" s="58" t="s">
        <v>45</v>
      </c>
      <c r="C6" s="58">
        <v>2025</v>
      </c>
      <c r="D6" s="58" t="s">
        <v>20</v>
      </c>
      <c r="E6" s="62">
        <v>2</v>
      </c>
      <c r="F6" s="58" t="str">
        <f>INDEX(functionInfo[Service Lead],MATCH(FTE_stdWD[[#This Row],[Service Description]],functionInfo[Service Description For Invoicing &amp; SLA],0))</f>
        <v>Sasha Yan</v>
      </c>
      <c r="G6" s="58" t="str">
        <f>FTE_stdWD[[#This Row],[Service Description]]&amp;FTE_stdWD[[#This Row],[Country]]&amp;FTE_stdWD[[#This Row],[Year]]&amp;FTE_stdWD[[#This Row],[Month]]</f>
        <v>Finance - Master Data ManagementWUH2025May</v>
      </c>
      <c r="H6" s="58" t="str">
        <f>INDEX(functionInfo[Daily Dashboard Set-up],MATCH(FTE_stdWD[[#This Row],[Service Description]],functionInfo[Service Description For Invoicing &amp; SLA],0))</f>
        <v>No</v>
      </c>
      <c r="I6" s="56" t="str">
        <f>INDEX(functionInfo[Monthly Dashboard],MATCH(FTE_stdWD[[#This Row],[Service Description]],functionInfo[Service Description For Invoicing &amp; SLA],0))</f>
        <v>Yes</v>
      </c>
    </row>
    <row r="7" spans="1:9" hidden="1" x14ac:dyDescent="0.25">
      <c r="A7" s="57" t="s">
        <v>34</v>
      </c>
      <c r="B7" s="58" t="s">
        <v>45</v>
      </c>
      <c r="C7" s="58">
        <v>2025</v>
      </c>
      <c r="D7" s="58" t="s">
        <v>21</v>
      </c>
      <c r="E7" s="62">
        <v>2</v>
      </c>
      <c r="F7" s="58" t="str">
        <f>INDEX(functionInfo[Service Lead],MATCH(FTE_stdWD[[#This Row],[Service Description]],functionInfo[Service Description For Invoicing &amp; SLA],0))</f>
        <v>Sasha Yan</v>
      </c>
      <c r="G7" s="58" t="str">
        <f>FTE_stdWD[[#This Row],[Service Description]]&amp;FTE_stdWD[[#This Row],[Country]]&amp;FTE_stdWD[[#This Row],[Year]]&amp;FTE_stdWD[[#This Row],[Month]]</f>
        <v>Finance - Master Data ManagementWUH2025June</v>
      </c>
      <c r="H7" s="58" t="str">
        <f>INDEX(functionInfo[Daily Dashboard Set-up],MATCH(FTE_stdWD[[#This Row],[Service Description]],functionInfo[Service Description For Invoicing &amp; SLA],0))</f>
        <v>No</v>
      </c>
      <c r="I7" s="56" t="str">
        <f>INDEX(functionInfo[Monthly Dashboard],MATCH(FTE_stdWD[[#This Row],[Service Description]],functionInfo[Service Description For Invoicing &amp; SLA],0))</f>
        <v>Yes</v>
      </c>
    </row>
    <row r="8" spans="1:9" hidden="1" x14ac:dyDescent="0.25">
      <c r="A8" s="57" t="s">
        <v>34</v>
      </c>
      <c r="B8" s="58" t="s">
        <v>45</v>
      </c>
      <c r="C8" s="58">
        <v>2025</v>
      </c>
      <c r="D8" s="58" t="s">
        <v>22</v>
      </c>
      <c r="E8" s="62">
        <v>2</v>
      </c>
      <c r="F8" s="58" t="str">
        <f>INDEX(functionInfo[Service Lead],MATCH(FTE_stdWD[[#This Row],[Service Description]],functionInfo[Service Description For Invoicing &amp; SLA],0))</f>
        <v>Sasha Yan</v>
      </c>
      <c r="G8" s="58" t="str">
        <f>FTE_stdWD[[#This Row],[Service Description]]&amp;FTE_stdWD[[#This Row],[Country]]&amp;FTE_stdWD[[#This Row],[Year]]&amp;FTE_stdWD[[#This Row],[Month]]</f>
        <v>Finance - Master Data ManagementWUH2025July</v>
      </c>
      <c r="H8" s="58" t="str">
        <f>INDEX(functionInfo[Daily Dashboard Set-up],MATCH(FTE_stdWD[[#This Row],[Service Description]],functionInfo[Service Description For Invoicing &amp; SLA],0))</f>
        <v>No</v>
      </c>
      <c r="I8" s="56" t="str">
        <f>INDEX(functionInfo[Monthly Dashboard],MATCH(FTE_stdWD[[#This Row],[Service Description]],functionInfo[Service Description For Invoicing &amp; SLA],0))</f>
        <v>Yes</v>
      </c>
    </row>
    <row r="9" spans="1:9" hidden="1" x14ac:dyDescent="0.25">
      <c r="A9" s="57" t="s">
        <v>34</v>
      </c>
      <c r="B9" s="58" t="s">
        <v>45</v>
      </c>
      <c r="C9" s="58">
        <v>2025</v>
      </c>
      <c r="D9" s="58" t="s">
        <v>46</v>
      </c>
      <c r="E9" s="62">
        <v>2</v>
      </c>
      <c r="F9" s="58" t="str">
        <f>INDEX(functionInfo[Service Lead],MATCH(FTE_stdWD[[#This Row],[Service Description]],functionInfo[Service Description For Invoicing &amp; SLA],0))</f>
        <v>Sasha Yan</v>
      </c>
      <c r="G9" s="58" t="str">
        <f>FTE_stdWD[[#This Row],[Service Description]]&amp;FTE_stdWD[[#This Row],[Country]]&amp;FTE_stdWD[[#This Row],[Year]]&amp;FTE_stdWD[[#This Row],[Month]]</f>
        <v>Finance - Master Data ManagementWUH2025August</v>
      </c>
      <c r="H9" s="58" t="str">
        <f>INDEX(functionInfo[Daily Dashboard Set-up],MATCH(FTE_stdWD[[#This Row],[Service Description]],functionInfo[Service Description For Invoicing &amp; SLA],0))</f>
        <v>No</v>
      </c>
      <c r="I9" s="56" t="str">
        <f>INDEX(functionInfo[Monthly Dashboard],MATCH(FTE_stdWD[[#This Row],[Service Description]],functionInfo[Service Description For Invoicing &amp; SLA],0))</f>
        <v>Yes</v>
      </c>
    </row>
    <row r="10" spans="1:9" hidden="1" x14ac:dyDescent="0.25">
      <c r="A10" s="57" t="s">
        <v>34</v>
      </c>
      <c r="B10" s="58" t="s">
        <v>45</v>
      </c>
      <c r="C10" s="58">
        <v>2025</v>
      </c>
      <c r="D10" s="58" t="s">
        <v>33</v>
      </c>
      <c r="E10" s="62">
        <v>2</v>
      </c>
      <c r="F10" s="58" t="str">
        <f>INDEX(functionInfo[Service Lead],MATCH(FTE_stdWD[[#This Row],[Service Description]],functionInfo[Service Description For Invoicing &amp; SLA],0))</f>
        <v>Sasha Yan</v>
      </c>
      <c r="G10" s="58" t="str">
        <f>FTE_stdWD[[#This Row],[Service Description]]&amp;FTE_stdWD[[#This Row],[Country]]&amp;FTE_stdWD[[#This Row],[Year]]&amp;FTE_stdWD[[#This Row],[Month]]</f>
        <v>Finance - Master Data ManagementWUH2025September</v>
      </c>
      <c r="H10" s="58" t="str">
        <f>INDEX(functionInfo[Daily Dashboard Set-up],MATCH(FTE_stdWD[[#This Row],[Service Description]],functionInfo[Service Description For Invoicing &amp; SLA],0))</f>
        <v>No</v>
      </c>
      <c r="I10" s="56" t="str">
        <f>INDEX(functionInfo[Monthly Dashboard],MATCH(FTE_stdWD[[#This Row],[Service Description]],functionInfo[Service Description For Invoicing &amp; SLA],0))</f>
        <v>Yes</v>
      </c>
    </row>
    <row r="11" spans="1:9" hidden="1" x14ac:dyDescent="0.25">
      <c r="A11" s="57" t="s">
        <v>34</v>
      </c>
      <c r="B11" s="58" t="s">
        <v>45</v>
      </c>
      <c r="C11" s="58">
        <v>2025</v>
      </c>
      <c r="D11" s="58" t="s">
        <v>25</v>
      </c>
      <c r="E11" s="62">
        <v>2</v>
      </c>
      <c r="F11" s="58" t="str">
        <f>INDEX(functionInfo[Service Lead],MATCH(FTE_stdWD[[#This Row],[Service Description]],functionInfo[Service Description For Invoicing &amp; SLA],0))</f>
        <v>Sasha Yan</v>
      </c>
      <c r="G11" s="58" t="str">
        <f>FTE_stdWD[[#This Row],[Service Description]]&amp;FTE_stdWD[[#This Row],[Country]]&amp;FTE_stdWD[[#This Row],[Year]]&amp;FTE_stdWD[[#This Row],[Month]]</f>
        <v>Finance - Master Data ManagementWUH2025October</v>
      </c>
      <c r="H11" s="58" t="str">
        <f>INDEX(functionInfo[Daily Dashboard Set-up],MATCH(FTE_stdWD[[#This Row],[Service Description]],functionInfo[Service Description For Invoicing &amp; SLA],0))</f>
        <v>No</v>
      </c>
      <c r="I11" s="56" t="str">
        <f>INDEX(functionInfo[Monthly Dashboard],MATCH(FTE_stdWD[[#This Row],[Service Description]],functionInfo[Service Description For Invoicing &amp; SLA],0))</f>
        <v>Yes</v>
      </c>
    </row>
    <row r="12" spans="1:9" hidden="1" x14ac:dyDescent="0.25">
      <c r="A12" s="57" t="s">
        <v>34</v>
      </c>
      <c r="B12" s="58" t="s">
        <v>45</v>
      </c>
      <c r="C12" s="58">
        <v>2025</v>
      </c>
      <c r="D12" s="58" t="s">
        <v>26</v>
      </c>
      <c r="E12" s="62">
        <v>2</v>
      </c>
      <c r="F12" s="58" t="str">
        <f>INDEX(functionInfo[Service Lead],MATCH(FTE_stdWD[[#This Row],[Service Description]],functionInfo[Service Description For Invoicing &amp; SLA],0))</f>
        <v>Sasha Yan</v>
      </c>
      <c r="G12" s="58" t="str">
        <f>FTE_stdWD[[#This Row],[Service Description]]&amp;FTE_stdWD[[#This Row],[Country]]&amp;FTE_stdWD[[#This Row],[Year]]&amp;FTE_stdWD[[#This Row],[Month]]</f>
        <v>Finance - Master Data ManagementWUH2025November</v>
      </c>
      <c r="H12" s="58" t="str">
        <f>INDEX(functionInfo[Daily Dashboard Set-up],MATCH(FTE_stdWD[[#This Row],[Service Description]],functionInfo[Service Description For Invoicing &amp; SLA],0))</f>
        <v>No</v>
      </c>
      <c r="I12" s="56" t="str">
        <f>INDEX(functionInfo[Monthly Dashboard],MATCH(FTE_stdWD[[#This Row],[Service Description]],functionInfo[Service Description For Invoicing &amp; SLA],0))</f>
        <v>Yes</v>
      </c>
    </row>
    <row r="13" spans="1:9" hidden="1" x14ac:dyDescent="0.25">
      <c r="A13" s="57" t="s">
        <v>34</v>
      </c>
      <c r="B13" s="58" t="s">
        <v>45</v>
      </c>
      <c r="C13" s="58">
        <v>2025</v>
      </c>
      <c r="D13" s="58" t="s">
        <v>27</v>
      </c>
      <c r="E13" s="62">
        <v>2</v>
      </c>
      <c r="F13" s="58" t="str">
        <f>INDEX(functionInfo[Service Lead],MATCH(FTE_stdWD[[#This Row],[Service Description]],functionInfo[Service Description For Invoicing &amp; SLA],0))</f>
        <v>Sasha Yan</v>
      </c>
      <c r="G13" s="58" t="str">
        <f>FTE_stdWD[[#This Row],[Service Description]]&amp;FTE_stdWD[[#This Row],[Country]]&amp;FTE_stdWD[[#This Row],[Year]]&amp;FTE_stdWD[[#This Row],[Month]]</f>
        <v>Finance - Master Data ManagementWUH2025December</v>
      </c>
      <c r="H13" s="58" t="str">
        <f>INDEX(functionInfo[Daily Dashboard Set-up],MATCH(FTE_stdWD[[#This Row],[Service Description]],functionInfo[Service Description For Invoicing &amp; SLA],0))</f>
        <v>No</v>
      </c>
      <c r="I13" s="56" t="str">
        <f>INDEX(functionInfo[Monthly Dashboard],MATCH(FTE_stdWD[[#This Row],[Service Description]],functionInfo[Service Description For Invoicing &amp; SLA],0))</f>
        <v>Yes</v>
      </c>
    </row>
    <row r="14" spans="1:9" hidden="1" x14ac:dyDescent="0.25">
      <c r="A14" s="57" t="s">
        <v>34</v>
      </c>
      <c r="B14" s="58" t="s">
        <v>47</v>
      </c>
      <c r="C14" s="58">
        <v>2025</v>
      </c>
      <c r="D14" s="58" t="s">
        <v>14</v>
      </c>
      <c r="E14" s="62">
        <v>2</v>
      </c>
      <c r="F14" s="58" t="str">
        <f>INDEX(functionInfo[Service Lead],MATCH(FTE_stdWD[[#This Row],[Service Description]],functionInfo[Service Description For Invoicing &amp; SLA],0))</f>
        <v>Sasha Yan</v>
      </c>
      <c r="G14" s="58" t="str">
        <f>FTE_stdWD[[#This Row],[Service Description]]&amp;FTE_stdWD[[#This Row],[Country]]&amp;FTE_stdWD[[#This Row],[Year]]&amp;FTE_stdWD[[#This Row],[Month]]</f>
        <v>Finance - Master Data ManagementMNL2025January</v>
      </c>
      <c r="H14" s="58" t="str">
        <f>INDEX(functionInfo[Daily Dashboard Set-up],MATCH(FTE_stdWD[[#This Row],[Service Description]],functionInfo[Service Description For Invoicing &amp; SLA],0))</f>
        <v>No</v>
      </c>
      <c r="I14" s="56" t="str">
        <f>INDEX(functionInfo[Monthly Dashboard],MATCH(FTE_stdWD[[#This Row],[Service Description]],functionInfo[Service Description For Invoicing &amp; SLA],0))</f>
        <v>Yes</v>
      </c>
    </row>
    <row r="15" spans="1:9" hidden="1" x14ac:dyDescent="0.25">
      <c r="A15" s="57" t="s">
        <v>34</v>
      </c>
      <c r="B15" s="58" t="s">
        <v>47</v>
      </c>
      <c r="C15" s="58">
        <v>2025</v>
      </c>
      <c r="D15" s="58" t="s">
        <v>17</v>
      </c>
      <c r="E15" s="62">
        <v>2</v>
      </c>
      <c r="F15" s="58" t="str">
        <f>INDEX(functionInfo[Service Lead],MATCH(FTE_stdWD[[#This Row],[Service Description]],functionInfo[Service Description For Invoicing &amp; SLA],0))</f>
        <v>Sasha Yan</v>
      </c>
      <c r="G15" s="58" t="str">
        <f>FTE_stdWD[[#This Row],[Service Description]]&amp;FTE_stdWD[[#This Row],[Country]]&amp;FTE_stdWD[[#This Row],[Year]]&amp;FTE_stdWD[[#This Row],[Month]]</f>
        <v>Finance - Master Data ManagementMNL2025February</v>
      </c>
      <c r="H15" s="58" t="str">
        <f>INDEX(functionInfo[Daily Dashboard Set-up],MATCH(FTE_stdWD[[#This Row],[Service Description]],functionInfo[Service Description For Invoicing &amp; SLA],0))</f>
        <v>No</v>
      </c>
      <c r="I15" s="56" t="str">
        <f>INDEX(functionInfo[Monthly Dashboard],MATCH(FTE_stdWD[[#This Row],[Service Description]],functionInfo[Service Description For Invoicing &amp; SLA],0))</f>
        <v>Yes</v>
      </c>
    </row>
    <row r="16" spans="1:9" hidden="1" x14ac:dyDescent="0.25">
      <c r="A16" s="57" t="s">
        <v>34</v>
      </c>
      <c r="B16" s="58" t="s">
        <v>47</v>
      </c>
      <c r="C16" s="58">
        <v>2025</v>
      </c>
      <c r="D16" s="58" t="s">
        <v>18</v>
      </c>
      <c r="E16" s="62">
        <v>2</v>
      </c>
      <c r="F16" s="58" t="str">
        <f>INDEX(functionInfo[Service Lead],MATCH(FTE_stdWD[[#This Row],[Service Description]],functionInfo[Service Description For Invoicing &amp; SLA],0))</f>
        <v>Sasha Yan</v>
      </c>
      <c r="G16" s="58" t="str">
        <f>FTE_stdWD[[#This Row],[Service Description]]&amp;FTE_stdWD[[#This Row],[Country]]&amp;FTE_stdWD[[#This Row],[Year]]&amp;FTE_stdWD[[#This Row],[Month]]</f>
        <v>Finance - Master Data ManagementMNL2025March</v>
      </c>
      <c r="H16" s="58" t="str">
        <f>INDEX(functionInfo[Daily Dashboard Set-up],MATCH(FTE_stdWD[[#This Row],[Service Description]],functionInfo[Service Description For Invoicing &amp; SLA],0))</f>
        <v>No</v>
      </c>
      <c r="I16" s="56" t="str">
        <f>INDEX(functionInfo[Monthly Dashboard],MATCH(FTE_stdWD[[#This Row],[Service Description]],functionInfo[Service Description For Invoicing &amp; SLA],0))</f>
        <v>Yes</v>
      </c>
    </row>
    <row r="17" spans="1:9" hidden="1" x14ac:dyDescent="0.25">
      <c r="A17" s="57" t="s">
        <v>34</v>
      </c>
      <c r="B17" s="58" t="s">
        <v>47</v>
      </c>
      <c r="C17" s="58">
        <v>2025</v>
      </c>
      <c r="D17" s="58" t="s">
        <v>19</v>
      </c>
      <c r="E17" s="62">
        <v>2</v>
      </c>
      <c r="F17" s="58" t="str">
        <f>INDEX(functionInfo[Service Lead],MATCH(FTE_stdWD[[#This Row],[Service Description]],functionInfo[Service Description For Invoicing &amp; SLA],0))</f>
        <v>Sasha Yan</v>
      </c>
      <c r="G17" s="58" t="str">
        <f>FTE_stdWD[[#This Row],[Service Description]]&amp;FTE_stdWD[[#This Row],[Country]]&amp;FTE_stdWD[[#This Row],[Year]]&amp;FTE_stdWD[[#This Row],[Month]]</f>
        <v>Finance - Master Data ManagementMNL2025April</v>
      </c>
      <c r="H17" s="58" t="str">
        <f>INDEX(functionInfo[Daily Dashboard Set-up],MATCH(FTE_stdWD[[#This Row],[Service Description]],functionInfo[Service Description For Invoicing &amp; SLA],0))</f>
        <v>No</v>
      </c>
      <c r="I17" s="56" t="str">
        <f>INDEX(functionInfo[Monthly Dashboard],MATCH(FTE_stdWD[[#This Row],[Service Description]],functionInfo[Service Description For Invoicing &amp; SLA],0))</f>
        <v>Yes</v>
      </c>
    </row>
    <row r="18" spans="1:9" hidden="1" x14ac:dyDescent="0.25">
      <c r="A18" s="57" t="s">
        <v>34</v>
      </c>
      <c r="B18" s="58" t="s">
        <v>47</v>
      </c>
      <c r="C18" s="58">
        <v>2025</v>
      </c>
      <c r="D18" s="58" t="s">
        <v>20</v>
      </c>
      <c r="E18" s="62">
        <v>2</v>
      </c>
      <c r="F18" s="58" t="str">
        <f>INDEX(functionInfo[Service Lead],MATCH(FTE_stdWD[[#This Row],[Service Description]],functionInfo[Service Description For Invoicing &amp; SLA],0))</f>
        <v>Sasha Yan</v>
      </c>
      <c r="G18" s="58" t="str">
        <f>FTE_stdWD[[#This Row],[Service Description]]&amp;FTE_stdWD[[#This Row],[Country]]&amp;FTE_stdWD[[#This Row],[Year]]&amp;FTE_stdWD[[#This Row],[Month]]</f>
        <v>Finance - Master Data ManagementMNL2025May</v>
      </c>
      <c r="H18" s="58" t="str">
        <f>INDEX(functionInfo[Daily Dashboard Set-up],MATCH(FTE_stdWD[[#This Row],[Service Description]],functionInfo[Service Description For Invoicing &amp; SLA],0))</f>
        <v>No</v>
      </c>
      <c r="I18" s="56" t="str">
        <f>INDEX(functionInfo[Monthly Dashboard],MATCH(FTE_stdWD[[#This Row],[Service Description]],functionInfo[Service Description For Invoicing &amp; SLA],0))</f>
        <v>Yes</v>
      </c>
    </row>
    <row r="19" spans="1:9" hidden="1" x14ac:dyDescent="0.25">
      <c r="A19" s="57" t="s">
        <v>34</v>
      </c>
      <c r="B19" s="58" t="s">
        <v>47</v>
      </c>
      <c r="C19" s="58">
        <v>2025</v>
      </c>
      <c r="D19" s="58" t="s">
        <v>21</v>
      </c>
      <c r="E19" s="62">
        <v>2</v>
      </c>
      <c r="F19" s="58" t="str">
        <f>INDEX(functionInfo[Service Lead],MATCH(FTE_stdWD[[#This Row],[Service Description]],functionInfo[Service Description For Invoicing &amp; SLA],0))</f>
        <v>Sasha Yan</v>
      </c>
      <c r="G19" s="58" t="str">
        <f>FTE_stdWD[[#This Row],[Service Description]]&amp;FTE_stdWD[[#This Row],[Country]]&amp;FTE_stdWD[[#This Row],[Year]]&amp;FTE_stdWD[[#This Row],[Month]]</f>
        <v>Finance - Master Data ManagementMNL2025June</v>
      </c>
      <c r="H19" s="58" t="str">
        <f>INDEX(functionInfo[Daily Dashboard Set-up],MATCH(FTE_stdWD[[#This Row],[Service Description]],functionInfo[Service Description For Invoicing &amp; SLA],0))</f>
        <v>No</v>
      </c>
      <c r="I19" s="56" t="str">
        <f>INDEX(functionInfo[Monthly Dashboard],MATCH(FTE_stdWD[[#This Row],[Service Description]],functionInfo[Service Description For Invoicing &amp; SLA],0))</f>
        <v>Yes</v>
      </c>
    </row>
    <row r="20" spans="1:9" hidden="1" x14ac:dyDescent="0.25">
      <c r="A20" s="57" t="s">
        <v>34</v>
      </c>
      <c r="B20" s="58" t="s">
        <v>47</v>
      </c>
      <c r="C20" s="58">
        <v>2025</v>
      </c>
      <c r="D20" s="58" t="s">
        <v>22</v>
      </c>
      <c r="E20" s="62">
        <v>2</v>
      </c>
      <c r="F20" s="58" t="str">
        <f>INDEX(functionInfo[Service Lead],MATCH(FTE_stdWD[[#This Row],[Service Description]],functionInfo[Service Description For Invoicing &amp; SLA],0))</f>
        <v>Sasha Yan</v>
      </c>
      <c r="G20" s="58" t="str">
        <f>FTE_stdWD[[#This Row],[Service Description]]&amp;FTE_stdWD[[#This Row],[Country]]&amp;FTE_stdWD[[#This Row],[Year]]&amp;FTE_stdWD[[#This Row],[Month]]</f>
        <v>Finance - Master Data ManagementMNL2025July</v>
      </c>
      <c r="H20" s="58" t="str">
        <f>INDEX(functionInfo[Daily Dashboard Set-up],MATCH(FTE_stdWD[[#This Row],[Service Description]],functionInfo[Service Description For Invoicing &amp; SLA],0))</f>
        <v>No</v>
      </c>
      <c r="I20" s="56" t="str">
        <f>INDEX(functionInfo[Monthly Dashboard],MATCH(FTE_stdWD[[#This Row],[Service Description]],functionInfo[Service Description For Invoicing &amp; SLA],0))</f>
        <v>Yes</v>
      </c>
    </row>
    <row r="21" spans="1:9" hidden="1" x14ac:dyDescent="0.25">
      <c r="A21" s="57" t="s">
        <v>34</v>
      </c>
      <c r="B21" s="58" t="s">
        <v>47</v>
      </c>
      <c r="C21" s="58">
        <v>2025</v>
      </c>
      <c r="D21" s="58" t="s">
        <v>46</v>
      </c>
      <c r="E21" s="62">
        <v>2</v>
      </c>
      <c r="F21" s="58" t="str">
        <f>INDEX(functionInfo[Service Lead],MATCH(FTE_stdWD[[#This Row],[Service Description]],functionInfo[Service Description For Invoicing &amp; SLA],0))</f>
        <v>Sasha Yan</v>
      </c>
      <c r="G21" s="58" t="str">
        <f>FTE_stdWD[[#This Row],[Service Description]]&amp;FTE_stdWD[[#This Row],[Country]]&amp;FTE_stdWD[[#This Row],[Year]]&amp;FTE_stdWD[[#This Row],[Month]]</f>
        <v>Finance - Master Data ManagementMNL2025August</v>
      </c>
      <c r="H21" s="58" t="str">
        <f>INDEX(functionInfo[Daily Dashboard Set-up],MATCH(FTE_stdWD[[#This Row],[Service Description]],functionInfo[Service Description For Invoicing &amp; SLA],0))</f>
        <v>No</v>
      </c>
      <c r="I21" s="56" t="str">
        <f>INDEX(functionInfo[Monthly Dashboard],MATCH(FTE_stdWD[[#This Row],[Service Description]],functionInfo[Service Description For Invoicing &amp; SLA],0))</f>
        <v>Yes</v>
      </c>
    </row>
    <row r="22" spans="1:9" hidden="1" x14ac:dyDescent="0.25">
      <c r="A22" s="57" t="s">
        <v>34</v>
      </c>
      <c r="B22" s="58" t="s">
        <v>47</v>
      </c>
      <c r="C22" s="58">
        <v>2025</v>
      </c>
      <c r="D22" s="58" t="s">
        <v>33</v>
      </c>
      <c r="E22" s="62">
        <v>2</v>
      </c>
      <c r="F22" s="58" t="str">
        <f>INDEX(functionInfo[Service Lead],MATCH(FTE_stdWD[[#This Row],[Service Description]],functionInfo[Service Description For Invoicing &amp; SLA],0))</f>
        <v>Sasha Yan</v>
      </c>
      <c r="G22" s="58" t="str">
        <f>FTE_stdWD[[#This Row],[Service Description]]&amp;FTE_stdWD[[#This Row],[Country]]&amp;FTE_stdWD[[#This Row],[Year]]&amp;FTE_stdWD[[#This Row],[Month]]</f>
        <v>Finance - Master Data ManagementMNL2025September</v>
      </c>
      <c r="H22" s="58" t="str">
        <f>INDEX(functionInfo[Daily Dashboard Set-up],MATCH(FTE_stdWD[[#This Row],[Service Description]],functionInfo[Service Description For Invoicing &amp; SLA],0))</f>
        <v>No</v>
      </c>
      <c r="I22" s="56" t="str">
        <f>INDEX(functionInfo[Monthly Dashboard],MATCH(FTE_stdWD[[#This Row],[Service Description]],functionInfo[Service Description For Invoicing &amp; SLA],0))</f>
        <v>Yes</v>
      </c>
    </row>
    <row r="23" spans="1:9" hidden="1" x14ac:dyDescent="0.25">
      <c r="A23" s="57" t="s">
        <v>34</v>
      </c>
      <c r="B23" s="58" t="s">
        <v>47</v>
      </c>
      <c r="C23" s="58">
        <v>2025</v>
      </c>
      <c r="D23" s="58" t="s">
        <v>25</v>
      </c>
      <c r="E23" s="62">
        <v>2</v>
      </c>
      <c r="F23" s="58" t="str">
        <f>INDEX(functionInfo[Service Lead],MATCH(FTE_stdWD[[#This Row],[Service Description]],functionInfo[Service Description For Invoicing &amp; SLA],0))</f>
        <v>Sasha Yan</v>
      </c>
      <c r="G23" s="58" t="str">
        <f>FTE_stdWD[[#This Row],[Service Description]]&amp;FTE_stdWD[[#This Row],[Country]]&amp;FTE_stdWD[[#This Row],[Year]]&amp;FTE_stdWD[[#This Row],[Month]]</f>
        <v>Finance - Master Data ManagementMNL2025October</v>
      </c>
      <c r="H23" s="58" t="str">
        <f>INDEX(functionInfo[Daily Dashboard Set-up],MATCH(FTE_stdWD[[#This Row],[Service Description]],functionInfo[Service Description For Invoicing &amp; SLA],0))</f>
        <v>No</v>
      </c>
      <c r="I23" s="56" t="str">
        <f>INDEX(functionInfo[Monthly Dashboard],MATCH(FTE_stdWD[[#This Row],[Service Description]],functionInfo[Service Description For Invoicing &amp; SLA],0))</f>
        <v>Yes</v>
      </c>
    </row>
    <row r="24" spans="1:9" hidden="1" x14ac:dyDescent="0.25">
      <c r="A24" s="57" t="s">
        <v>34</v>
      </c>
      <c r="B24" s="58" t="s">
        <v>47</v>
      </c>
      <c r="C24" s="58">
        <v>2025</v>
      </c>
      <c r="D24" s="58" t="s">
        <v>26</v>
      </c>
      <c r="E24" s="62">
        <v>2</v>
      </c>
      <c r="F24" s="58" t="str">
        <f>INDEX(functionInfo[Service Lead],MATCH(FTE_stdWD[[#This Row],[Service Description]],functionInfo[Service Description For Invoicing &amp; SLA],0))</f>
        <v>Sasha Yan</v>
      </c>
      <c r="G24" s="58" t="str">
        <f>FTE_stdWD[[#This Row],[Service Description]]&amp;FTE_stdWD[[#This Row],[Country]]&amp;FTE_stdWD[[#This Row],[Year]]&amp;FTE_stdWD[[#This Row],[Month]]</f>
        <v>Finance - Master Data ManagementMNL2025November</v>
      </c>
      <c r="H24" s="58" t="str">
        <f>INDEX(functionInfo[Daily Dashboard Set-up],MATCH(FTE_stdWD[[#This Row],[Service Description]],functionInfo[Service Description For Invoicing &amp; SLA],0))</f>
        <v>No</v>
      </c>
      <c r="I24" s="56" t="str">
        <f>INDEX(functionInfo[Monthly Dashboard],MATCH(FTE_stdWD[[#This Row],[Service Description]],functionInfo[Service Description For Invoicing &amp; SLA],0))</f>
        <v>Yes</v>
      </c>
    </row>
    <row r="25" spans="1:9" hidden="1" x14ac:dyDescent="0.25">
      <c r="A25" s="57" t="s">
        <v>34</v>
      </c>
      <c r="B25" s="58" t="s">
        <v>47</v>
      </c>
      <c r="C25" s="58">
        <v>2025</v>
      </c>
      <c r="D25" s="58" t="s">
        <v>27</v>
      </c>
      <c r="E25" s="62">
        <v>2</v>
      </c>
      <c r="F25" s="58" t="str">
        <f>INDEX(functionInfo[Service Lead],MATCH(FTE_stdWD[[#This Row],[Service Description]],functionInfo[Service Description For Invoicing &amp; SLA],0))</f>
        <v>Sasha Yan</v>
      </c>
      <c r="G25" s="58" t="str">
        <f>FTE_stdWD[[#This Row],[Service Description]]&amp;FTE_stdWD[[#This Row],[Country]]&amp;FTE_stdWD[[#This Row],[Year]]&amp;FTE_stdWD[[#This Row],[Month]]</f>
        <v>Finance - Master Data ManagementMNL2025December</v>
      </c>
      <c r="H25" s="58" t="str">
        <f>INDEX(functionInfo[Daily Dashboard Set-up],MATCH(FTE_stdWD[[#This Row],[Service Description]],functionInfo[Service Description For Invoicing &amp; SLA],0))</f>
        <v>No</v>
      </c>
      <c r="I25" s="56" t="str">
        <f>INDEX(functionInfo[Monthly Dashboard],MATCH(FTE_stdWD[[#This Row],[Service Description]],functionInfo[Service Description For Invoicing &amp; SLA],0))</f>
        <v>Yes</v>
      </c>
    </row>
    <row r="26" spans="1:9" hidden="1" x14ac:dyDescent="0.25">
      <c r="A26" s="57" t="s">
        <v>36</v>
      </c>
      <c r="B26" s="58" t="s">
        <v>45</v>
      </c>
      <c r="C26" s="58">
        <v>2025</v>
      </c>
      <c r="D26" s="58" t="s">
        <v>14</v>
      </c>
      <c r="E26" s="62">
        <v>3</v>
      </c>
      <c r="F26" s="58" t="str">
        <f>INDEX(functionInfo[Service Lead],MATCH(FTE_stdWD[[#This Row],[Service Description]],functionInfo[Service Description For Invoicing &amp; SLA],0))</f>
        <v>Sasha Yan</v>
      </c>
      <c r="G26" s="58" t="str">
        <f>FTE_stdWD[[#This Row],[Service Description]]&amp;FTE_stdWD[[#This Row],[Country]]&amp;FTE_stdWD[[#This Row],[Year]]&amp;FTE_stdWD[[#This Row],[Month]]</f>
        <v>Sea Freight - Invoicing &amp; BillingWUH2025January</v>
      </c>
      <c r="H26" s="58">
        <f>INDEX(functionInfo[Daily Dashboard Set-up],MATCH(FTE_stdWD[[#This Row],[Service Description]],functionInfo[Service Description For Invoicing &amp; SLA],0))</f>
        <v>0</v>
      </c>
      <c r="I26" s="56" t="str">
        <f>INDEX(functionInfo[Monthly Dashboard],MATCH(FTE_stdWD[[#This Row],[Service Description]],functionInfo[Service Description For Invoicing &amp; SLA],0))</f>
        <v>Yes</v>
      </c>
    </row>
    <row r="27" spans="1:9" hidden="1" x14ac:dyDescent="0.25">
      <c r="A27" s="57" t="s">
        <v>36</v>
      </c>
      <c r="B27" s="58" t="s">
        <v>45</v>
      </c>
      <c r="C27" s="58">
        <v>2025</v>
      </c>
      <c r="D27" s="58" t="s">
        <v>17</v>
      </c>
      <c r="E27" s="62">
        <v>3</v>
      </c>
      <c r="F27" s="58" t="str">
        <f>INDEX(functionInfo[Service Lead],MATCH(FTE_stdWD[[#This Row],[Service Description]],functionInfo[Service Description For Invoicing &amp; SLA],0))</f>
        <v>Sasha Yan</v>
      </c>
      <c r="G27" s="58" t="str">
        <f>FTE_stdWD[[#This Row],[Service Description]]&amp;FTE_stdWD[[#This Row],[Country]]&amp;FTE_stdWD[[#This Row],[Year]]&amp;FTE_stdWD[[#This Row],[Month]]</f>
        <v>Sea Freight - Invoicing &amp; BillingWUH2025February</v>
      </c>
      <c r="H27" s="58">
        <f>INDEX(functionInfo[Daily Dashboard Set-up],MATCH(FTE_stdWD[[#This Row],[Service Description]],functionInfo[Service Description For Invoicing &amp; SLA],0))</f>
        <v>0</v>
      </c>
      <c r="I27" s="56" t="str">
        <f>INDEX(functionInfo[Monthly Dashboard],MATCH(FTE_stdWD[[#This Row],[Service Description]],functionInfo[Service Description For Invoicing &amp; SLA],0))</f>
        <v>Yes</v>
      </c>
    </row>
    <row r="28" spans="1:9" hidden="1" x14ac:dyDescent="0.25">
      <c r="A28" s="57" t="s">
        <v>36</v>
      </c>
      <c r="B28" s="58" t="s">
        <v>45</v>
      </c>
      <c r="C28" s="58">
        <v>2025</v>
      </c>
      <c r="D28" s="58" t="s">
        <v>18</v>
      </c>
      <c r="E28" s="62">
        <v>3</v>
      </c>
      <c r="F28" s="58" t="str">
        <f>INDEX(functionInfo[Service Lead],MATCH(FTE_stdWD[[#This Row],[Service Description]],functionInfo[Service Description For Invoicing &amp; SLA],0))</f>
        <v>Sasha Yan</v>
      </c>
      <c r="G28" s="58" t="str">
        <f>FTE_stdWD[[#This Row],[Service Description]]&amp;FTE_stdWD[[#This Row],[Country]]&amp;FTE_stdWD[[#This Row],[Year]]&amp;FTE_stdWD[[#This Row],[Month]]</f>
        <v>Sea Freight - Invoicing &amp; BillingWUH2025March</v>
      </c>
      <c r="H28" s="58">
        <f>INDEX(functionInfo[Daily Dashboard Set-up],MATCH(FTE_stdWD[[#This Row],[Service Description]],functionInfo[Service Description For Invoicing &amp; SLA],0))</f>
        <v>0</v>
      </c>
      <c r="I28" s="56" t="str">
        <f>INDEX(functionInfo[Monthly Dashboard],MATCH(FTE_stdWD[[#This Row],[Service Description]],functionInfo[Service Description For Invoicing &amp; SLA],0))</f>
        <v>Yes</v>
      </c>
    </row>
    <row r="29" spans="1:9" hidden="1" x14ac:dyDescent="0.25">
      <c r="A29" s="57" t="s">
        <v>36</v>
      </c>
      <c r="B29" s="58" t="s">
        <v>45</v>
      </c>
      <c r="C29" s="58">
        <v>2025</v>
      </c>
      <c r="D29" s="58" t="s">
        <v>19</v>
      </c>
      <c r="E29" s="62">
        <v>3</v>
      </c>
      <c r="F29" s="58" t="str">
        <f>INDEX(functionInfo[Service Lead],MATCH(FTE_stdWD[[#This Row],[Service Description]],functionInfo[Service Description For Invoicing &amp; SLA],0))</f>
        <v>Sasha Yan</v>
      </c>
      <c r="G29" s="58" t="str">
        <f>FTE_stdWD[[#This Row],[Service Description]]&amp;FTE_stdWD[[#This Row],[Country]]&amp;FTE_stdWD[[#This Row],[Year]]&amp;FTE_stdWD[[#This Row],[Month]]</f>
        <v>Sea Freight - Invoicing &amp; BillingWUH2025April</v>
      </c>
      <c r="H29" s="58">
        <f>INDEX(functionInfo[Daily Dashboard Set-up],MATCH(FTE_stdWD[[#This Row],[Service Description]],functionInfo[Service Description For Invoicing &amp; SLA],0))</f>
        <v>0</v>
      </c>
      <c r="I29" s="56" t="str">
        <f>INDEX(functionInfo[Monthly Dashboard],MATCH(FTE_stdWD[[#This Row],[Service Description]],functionInfo[Service Description For Invoicing &amp; SLA],0))</f>
        <v>Yes</v>
      </c>
    </row>
    <row r="30" spans="1:9" hidden="1" x14ac:dyDescent="0.25">
      <c r="A30" s="57" t="s">
        <v>36</v>
      </c>
      <c r="B30" s="58" t="s">
        <v>45</v>
      </c>
      <c r="C30" s="58">
        <v>2025</v>
      </c>
      <c r="D30" s="58" t="s">
        <v>20</v>
      </c>
      <c r="E30" s="62">
        <v>3</v>
      </c>
      <c r="F30" s="58" t="str">
        <f>INDEX(functionInfo[Service Lead],MATCH(FTE_stdWD[[#This Row],[Service Description]],functionInfo[Service Description For Invoicing &amp; SLA],0))</f>
        <v>Sasha Yan</v>
      </c>
      <c r="G30" s="58" t="str">
        <f>FTE_stdWD[[#This Row],[Service Description]]&amp;FTE_stdWD[[#This Row],[Country]]&amp;FTE_stdWD[[#This Row],[Year]]&amp;FTE_stdWD[[#This Row],[Month]]</f>
        <v>Sea Freight - Invoicing &amp; BillingWUH2025May</v>
      </c>
      <c r="H30" s="58">
        <f>INDEX(functionInfo[Daily Dashboard Set-up],MATCH(FTE_stdWD[[#This Row],[Service Description]],functionInfo[Service Description For Invoicing &amp; SLA],0))</f>
        <v>0</v>
      </c>
      <c r="I30" s="56" t="str">
        <f>INDEX(functionInfo[Monthly Dashboard],MATCH(FTE_stdWD[[#This Row],[Service Description]],functionInfo[Service Description For Invoicing &amp; SLA],0))</f>
        <v>Yes</v>
      </c>
    </row>
    <row r="31" spans="1:9" hidden="1" x14ac:dyDescent="0.25">
      <c r="A31" s="57" t="s">
        <v>36</v>
      </c>
      <c r="B31" s="58" t="s">
        <v>45</v>
      </c>
      <c r="C31" s="58">
        <v>2025</v>
      </c>
      <c r="D31" s="58" t="s">
        <v>21</v>
      </c>
      <c r="E31" s="62">
        <v>3</v>
      </c>
      <c r="F31" s="58" t="str">
        <f>INDEX(functionInfo[Service Lead],MATCH(FTE_stdWD[[#This Row],[Service Description]],functionInfo[Service Description For Invoicing &amp; SLA],0))</f>
        <v>Sasha Yan</v>
      </c>
      <c r="G31" s="58" t="str">
        <f>FTE_stdWD[[#This Row],[Service Description]]&amp;FTE_stdWD[[#This Row],[Country]]&amp;FTE_stdWD[[#This Row],[Year]]&amp;FTE_stdWD[[#This Row],[Month]]</f>
        <v>Sea Freight - Invoicing &amp; BillingWUH2025June</v>
      </c>
      <c r="H31" s="58">
        <f>INDEX(functionInfo[Daily Dashboard Set-up],MATCH(FTE_stdWD[[#This Row],[Service Description]],functionInfo[Service Description For Invoicing &amp; SLA],0))</f>
        <v>0</v>
      </c>
      <c r="I31" s="56" t="str">
        <f>INDEX(functionInfo[Monthly Dashboard],MATCH(FTE_stdWD[[#This Row],[Service Description]],functionInfo[Service Description For Invoicing &amp; SLA],0))</f>
        <v>Yes</v>
      </c>
    </row>
    <row r="32" spans="1:9" hidden="1" x14ac:dyDescent="0.25">
      <c r="A32" s="57" t="s">
        <v>36</v>
      </c>
      <c r="B32" s="58" t="s">
        <v>45</v>
      </c>
      <c r="C32" s="58">
        <v>2025</v>
      </c>
      <c r="D32" s="58" t="s">
        <v>22</v>
      </c>
      <c r="E32" s="62">
        <v>3</v>
      </c>
      <c r="F32" s="58" t="str">
        <f>INDEX(functionInfo[Service Lead],MATCH(FTE_stdWD[[#This Row],[Service Description]],functionInfo[Service Description For Invoicing &amp; SLA],0))</f>
        <v>Sasha Yan</v>
      </c>
      <c r="G32" s="58" t="str">
        <f>FTE_stdWD[[#This Row],[Service Description]]&amp;FTE_stdWD[[#This Row],[Country]]&amp;FTE_stdWD[[#This Row],[Year]]&amp;FTE_stdWD[[#This Row],[Month]]</f>
        <v>Sea Freight - Invoicing &amp; BillingWUH2025July</v>
      </c>
      <c r="H32" s="58">
        <f>INDEX(functionInfo[Daily Dashboard Set-up],MATCH(FTE_stdWD[[#This Row],[Service Description]],functionInfo[Service Description For Invoicing &amp; SLA],0))</f>
        <v>0</v>
      </c>
      <c r="I32" s="56" t="str">
        <f>INDEX(functionInfo[Monthly Dashboard],MATCH(FTE_stdWD[[#This Row],[Service Description]],functionInfo[Service Description For Invoicing &amp; SLA],0))</f>
        <v>Yes</v>
      </c>
    </row>
    <row r="33" spans="1:9" hidden="1" x14ac:dyDescent="0.25">
      <c r="A33" s="57" t="s">
        <v>36</v>
      </c>
      <c r="B33" s="58" t="s">
        <v>45</v>
      </c>
      <c r="C33" s="58">
        <v>2025</v>
      </c>
      <c r="D33" s="58" t="s">
        <v>46</v>
      </c>
      <c r="E33" s="62">
        <v>3</v>
      </c>
      <c r="F33" s="58" t="str">
        <f>INDEX(functionInfo[Service Lead],MATCH(FTE_stdWD[[#This Row],[Service Description]],functionInfo[Service Description For Invoicing &amp; SLA],0))</f>
        <v>Sasha Yan</v>
      </c>
      <c r="G33" s="58" t="str">
        <f>FTE_stdWD[[#This Row],[Service Description]]&amp;FTE_stdWD[[#This Row],[Country]]&amp;FTE_stdWD[[#This Row],[Year]]&amp;FTE_stdWD[[#This Row],[Month]]</f>
        <v>Sea Freight - Invoicing &amp; BillingWUH2025August</v>
      </c>
      <c r="H33" s="58">
        <f>INDEX(functionInfo[Daily Dashboard Set-up],MATCH(FTE_stdWD[[#This Row],[Service Description]],functionInfo[Service Description For Invoicing &amp; SLA],0))</f>
        <v>0</v>
      </c>
      <c r="I33" s="56" t="str">
        <f>INDEX(functionInfo[Monthly Dashboard],MATCH(FTE_stdWD[[#This Row],[Service Description]],functionInfo[Service Description For Invoicing &amp; SLA],0))</f>
        <v>Yes</v>
      </c>
    </row>
    <row r="34" spans="1:9" hidden="1" x14ac:dyDescent="0.25">
      <c r="A34" s="57" t="s">
        <v>36</v>
      </c>
      <c r="B34" s="58" t="s">
        <v>45</v>
      </c>
      <c r="C34" s="58">
        <v>2025</v>
      </c>
      <c r="D34" s="58" t="s">
        <v>33</v>
      </c>
      <c r="E34" s="62">
        <v>3</v>
      </c>
      <c r="F34" s="58" t="str">
        <f>INDEX(functionInfo[Service Lead],MATCH(FTE_stdWD[[#This Row],[Service Description]],functionInfo[Service Description For Invoicing &amp; SLA],0))</f>
        <v>Sasha Yan</v>
      </c>
      <c r="G34" s="58" t="str">
        <f>FTE_stdWD[[#This Row],[Service Description]]&amp;FTE_stdWD[[#This Row],[Country]]&amp;FTE_stdWD[[#This Row],[Year]]&amp;FTE_stdWD[[#This Row],[Month]]</f>
        <v>Sea Freight - Invoicing &amp; BillingWUH2025September</v>
      </c>
      <c r="H34" s="58">
        <f>INDEX(functionInfo[Daily Dashboard Set-up],MATCH(FTE_stdWD[[#This Row],[Service Description]],functionInfo[Service Description For Invoicing &amp; SLA],0))</f>
        <v>0</v>
      </c>
      <c r="I34" s="56" t="str">
        <f>INDEX(functionInfo[Monthly Dashboard],MATCH(FTE_stdWD[[#This Row],[Service Description]],functionInfo[Service Description For Invoicing &amp; SLA],0))</f>
        <v>Yes</v>
      </c>
    </row>
    <row r="35" spans="1:9" hidden="1" x14ac:dyDescent="0.25">
      <c r="A35" s="57" t="s">
        <v>36</v>
      </c>
      <c r="B35" s="58" t="s">
        <v>45</v>
      </c>
      <c r="C35" s="58">
        <v>2025</v>
      </c>
      <c r="D35" s="58" t="s">
        <v>25</v>
      </c>
      <c r="E35" s="62">
        <v>3</v>
      </c>
      <c r="F35" s="58" t="str">
        <f>INDEX(functionInfo[Service Lead],MATCH(FTE_stdWD[[#This Row],[Service Description]],functionInfo[Service Description For Invoicing &amp; SLA],0))</f>
        <v>Sasha Yan</v>
      </c>
      <c r="G35" s="58" t="str">
        <f>FTE_stdWD[[#This Row],[Service Description]]&amp;FTE_stdWD[[#This Row],[Country]]&amp;FTE_stdWD[[#This Row],[Year]]&amp;FTE_stdWD[[#This Row],[Month]]</f>
        <v>Sea Freight - Invoicing &amp; BillingWUH2025October</v>
      </c>
      <c r="H35" s="58">
        <f>INDEX(functionInfo[Daily Dashboard Set-up],MATCH(FTE_stdWD[[#This Row],[Service Description]],functionInfo[Service Description For Invoicing &amp; SLA],0))</f>
        <v>0</v>
      </c>
      <c r="I35" s="56" t="str">
        <f>INDEX(functionInfo[Monthly Dashboard],MATCH(FTE_stdWD[[#This Row],[Service Description]],functionInfo[Service Description For Invoicing &amp; SLA],0))</f>
        <v>Yes</v>
      </c>
    </row>
    <row r="36" spans="1:9" hidden="1" x14ac:dyDescent="0.25">
      <c r="A36" s="57" t="s">
        <v>36</v>
      </c>
      <c r="B36" s="58" t="s">
        <v>45</v>
      </c>
      <c r="C36" s="58">
        <v>2025</v>
      </c>
      <c r="D36" s="58" t="s">
        <v>26</v>
      </c>
      <c r="E36" s="62">
        <v>3</v>
      </c>
      <c r="F36" s="58" t="str">
        <f>INDEX(functionInfo[Service Lead],MATCH(FTE_stdWD[[#This Row],[Service Description]],functionInfo[Service Description For Invoicing &amp; SLA],0))</f>
        <v>Sasha Yan</v>
      </c>
      <c r="G36" s="58" t="str">
        <f>FTE_stdWD[[#This Row],[Service Description]]&amp;FTE_stdWD[[#This Row],[Country]]&amp;FTE_stdWD[[#This Row],[Year]]&amp;FTE_stdWD[[#This Row],[Month]]</f>
        <v>Sea Freight - Invoicing &amp; BillingWUH2025November</v>
      </c>
      <c r="H36" s="58">
        <f>INDEX(functionInfo[Daily Dashboard Set-up],MATCH(FTE_stdWD[[#This Row],[Service Description]],functionInfo[Service Description For Invoicing &amp; SLA],0))</f>
        <v>0</v>
      </c>
      <c r="I36" s="56" t="str">
        <f>INDEX(functionInfo[Monthly Dashboard],MATCH(FTE_stdWD[[#This Row],[Service Description]],functionInfo[Service Description For Invoicing &amp; SLA],0))</f>
        <v>Yes</v>
      </c>
    </row>
    <row r="37" spans="1:9" hidden="1" x14ac:dyDescent="0.25">
      <c r="A37" s="57" t="s">
        <v>36</v>
      </c>
      <c r="B37" s="58" t="s">
        <v>45</v>
      </c>
      <c r="C37" s="58">
        <v>2025</v>
      </c>
      <c r="D37" s="58" t="s">
        <v>27</v>
      </c>
      <c r="E37" s="62">
        <v>3</v>
      </c>
      <c r="F37" s="58" t="str">
        <f>INDEX(functionInfo[Service Lead],MATCH(FTE_stdWD[[#This Row],[Service Description]],functionInfo[Service Description For Invoicing &amp; SLA],0))</f>
        <v>Sasha Yan</v>
      </c>
      <c r="G37" s="58" t="str">
        <f>FTE_stdWD[[#This Row],[Service Description]]&amp;FTE_stdWD[[#This Row],[Country]]&amp;FTE_stdWD[[#This Row],[Year]]&amp;FTE_stdWD[[#This Row],[Month]]</f>
        <v>Sea Freight - Invoicing &amp; BillingWUH2025December</v>
      </c>
      <c r="H37" s="58">
        <f>INDEX(functionInfo[Daily Dashboard Set-up],MATCH(FTE_stdWD[[#This Row],[Service Description]],functionInfo[Service Description For Invoicing &amp; SLA],0))</f>
        <v>0</v>
      </c>
      <c r="I37" s="56" t="str">
        <f>INDEX(functionInfo[Monthly Dashboard],MATCH(FTE_stdWD[[#This Row],[Service Description]],functionInfo[Service Description For Invoicing &amp; SLA],0))</f>
        <v>Yes</v>
      </c>
    </row>
    <row r="38" spans="1:9" hidden="1" x14ac:dyDescent="0.25">
      <c r="A38" s="57" t="s">
        <v>28</v>
      </c>
      <c r="B38" s="58" t="s">
        <v>45</v>
      </c>
      <c r="C38" s="58">
        <v>2025</v>
      </c>
      <c r="D38" s="58" t="s">
        <v>14</v>
      </c>
      <c r="E38" s="62">
        <v>8</v>
      </c>
      <c r="F38" s="58">
        <f>INDEX(functionInfo[Service Lead],MATCH(FTE_stdWD[[#This Row],[Service Description]],functionInfo[Service Description For Invoicing &amp; SLA],0))</f>
        <v>0</v>
      </c>
      <c r="G38" s="58" t="str">
        <f>FTE_stdWD[[#This Row],[Service Description]]&amp;FTE_stdWD[[#This Row],[Country]]&amp;FTE_stdWD[[#This Row],[Year]]&amp;FTE_stdWD[[#This Row],[Month]]</f>
        <v>Sales - Customer QuotationsWUH2025January</v>
      </c>
      <c r="H38" s="58" t="str">
        <f>INDEX(functionInfo[Daily Dashboard Set-up],MATCH(FTE_stdWD[[#This Row],[Service Description]],functionInfo[Service Description For Invoicing &amp; SLA],0))</f>
        <v>Yes</v>
      </c>
      <c r="I38" s="56" t="str">
        <f>INDEX(functionInfo[Monthly Dashboard],MATCH(FTE_stdWD[[#This Row],[Service Description]],functionInfo[Service Description For Invoicing &amp; SLA],0))</f>
        <v>Yes</v>
      </c>
    </row>
    <row r="39" spans="1:9" hidden="1" x14ac:dyDescent="0.25">
      <c r="A39" s="57" t="s">
        <v>28</v>
      </c>
      <c r="B39" s="58" t="s">
        <v>45</v>
      </c>
      <c r="C39" s="58">
        <v>2025</v>
      </c>
      <c r="D39" s="58" t="s">
        <v>17</v>
      </c>
      <c r="E39" s="62">
        <v>7</v>
      </c>
      <c r="F39" s="58">
        <f>INDEX(functionInfo[Service Lead],MATCH(FTE_stdWD[[#This Row],[Service Description]],functionInfo[Service Description For Invoicing &amp; SLA],0))</f>
        <v>0</v>
      </c>
      <c r="G39" s="58" t="str">
        <f>FTE_stdWD[[#This Row],[Service Description]]&amp;FTE_stdWD[[#This Row],[Country]]&amp;FTE_stdWD[[#This Row],[Year]]&amp;FTE_stdWD[[#This Row],[Month]]</f>
        <v>Sales - Customer QuotationsWUH2025February</v>
      </c>
      <c r="H39" s="58" t="str">
        <f>INDEX(functionInfo[Daily Dashboard Set-up],MATCH(FTE_stdWD[[#This Row],[Service Description]],functionInfo[Service Description For Invoicing &amp; SLA],0))</f>
        <v>Yes</v>
      </c>
      <c r="I39" s="56" t="str">
        <f>INDEX(functionInfo[Monthly Dashboard],MATCH(FTE_stdWD[[#This Row],[Service Description]],functionInfo[Service Description For Invoicing &amp; SLA],0))</f>
        <v>Yes</v>
      </c>
    </row>
    <row r="40" spans="1:9" hidden="1" x14ac:dyDescent="0.25">
      <c r="A40" s="57" t="s">
        <v>28</v>
      </c>
      <c r="B40" s="58" t="s">
        <v>45</v>
      </c>
      <c r="C40" s="58">
        <v>2025</v>
      </c>
      <c r="D40" s="58" t="s">
        <v>18</v>
      </c>
      <c r="E40" s="62">
        <v>7</v>
      </c>
      <c r="F40" s="58">
        <f>INDEX(functionInfo[Service Lead],MATCH(FTE_stdWD[[#This Row],[Service Description]],functionInfo[Service Description For Invoicing &amp; SLA],0))</f>
        <v>0</v>
      </c>
      <c r="G40" s="58" t="str">
        <f>FTE_stdWD[[#This Row],[Service Description]]&amp;FTE_stdWD[[#This Row],[Country]]&amp;FTE_stdWD[[#This Row],[Year]]&amp;FTE_stdWD[[#This Row],[Month]]</f>
        <v>Sales - Customer QuotationsWUH2025March</v>
      </c>
      <c r="H40" s="58" t="str">
        <f>INDEX(functionInfo[Daily Dashboard Set-up],MATCH(FTE_stdWD[[#This Row],[Service Description]],functionInfo[Service Description For Invoicing &amp; SLA],0))</f>
        <v>Yes</v>
      </c>
      <c r="I40" s="56" t="str">
        <f>INDEX(functionInfo[Monthly Dashboard],MATCH(FTE_stdWD[[#This Row],[Service Description]],functionInfo[Service Description For Invoicing &amp; SLA],0))</f>
        <v>Yes</v>
      </c>
    </row>
    <row r="41" spans="1:9" hidden="1" x14ac:dyDescent="0.25">
      <c r="A41" s="57" t="s">
        <v>28</v>
      </c>
      <c r="B41" s="58" t="s">
        <v>45</v>
      </c>
      <c r="C41" s="58">
        <v>2025</v>
      </c>
      <c r="D41" s="58" t="s">
        <v>19</v>
      </c>
      <c r="E41" s="62">
        <v>7</v>
      </c>
      <c r="F41" s="58">
        <f>INDEX(functionInfo[Service Lead],MATCH(FTE_stdWD[[#This Row],[Service Description]],functionInfo[Service Description For Invoicing &amp; SLA],0))</f>
        <v>0</v>
      </c>
      <c r="G41" s="58" t="str">
        <f>FTE_stdWD[[#This Row],[Service Description]]&amp;FTE_stdWD[[#This Row],[Country]]&amp;FTE_stdWD[[#This Row],[Year]]&amp;FTE_stdWD[[#This Row],[Month]]</f>
        <v>Sales - Customer QuotationsWUH2025April</v>
      </c>
      <c r="H41" s="58" t="str">
        <f>INDEX(functionInfo[Daily Dashboard Set-up],MATCH(FTE_stdWD[[#This Row],[Service Description]],functionInfo[Service Description For Invoicing &amp; SLA],0))</f>
        <v>Yes</v>
      </c>
      <c r="I41" s="56" t="str">
        <f>INDEX(functionInfo[Monthly Dashboard],MATCH(FTE_stdWD[[#This Row],[Service Description]],functionInfo[Service Description For Invoicing &amp; SLA],0))</f>
        <v>Yes</v>
      </c>
    </row>
    <row r="42" spans="1:9" hidden="1" x14ac:dyDescent="0.25">
      <c r="A42" s="57" t="s">
        <v>28</v>
      </c>
      <c r="B42" s="58" t="s">
        <v>45</v>
      </c>
      <c r="C42" s="58">
        <v>2025</v>
      </c>
      <c r="D42" s="58" t="s">
        <v>20</v>
      </c>
      <c r="E42" s="62">
        <v>7</v>
      </c>
      <c r="F42" s="58">
        <f>INDEX(functionInfo[Service Lead],MATCH(FTE_stdWD[[#This Row],[Service Description]],functionInfo[Service Description For Invoicing &amp; SLA],0))</f>
        <v>0</v>
      </c>
      <c r="G42" s="58" t="str">
        <f>FTE_stdWD[[#This Row],[Service Description]]&amp;FTE_stdWD[[#This Row],[Country]]&amp;FTE_stdWD[[#This Row],[Year]]&amp;FTE_stdWD[[#This Row],[Month]]</f>
        <v>Sales - Customer QuotationsWUH2025May</v>
      </c>
      <c r="H42" s="58" t="str">
        <f>INDEX(functionInfo[Daily Dashboard Set-up],MATCH(FTE_stdWD[[#This Row],[Service Description]],functionInfo[Service Description For Invoicing &amp; SLA],0))</f>
        <v>Yes</v>
      </c>
      <c r="I42" s="56" t="str">
        <f>INDEX(functionInfo[Monthly Dashboard],MATCH(FTE_stdWD[[#This Row],[Service Description]],functionInfo[Service Description For Invoicing &amp; SLA],0))</f>
        <v>Yes</v>
      </c>
    </row>
    <row r="43" spans="1:9" hidden="1" x14ac:dyDescent="0.25">
      <c r="A43" s="57" t="s">
        <v>28</v>
      </c>
      <c r="B43" s="58" t="s">
        <v>45</v>
      </c>
      <c r="C43" s="58">
        <v>2025</v>
      </c>
      <c r="D43" s="58" t="s">
        <v>21</v>
      </c>
      <c r="E43" s="62">
        <v>6</v>
      </c>
      <c r="F43" s="58">
        <f>INDEX(functionInfo[Service Lead],MATCH(FTE_stdWD[[#This Row],[Service Description]],functionInfo[Service Description For Invoicing &amp; SLA],0))</f>
        <v>0</v>
      </c>
      <c r="G43" s="58" t="str">
        <f>FTE_stdWD[[#This Row],[Service Description]]&amp;FTE_stdWD[[#This Row],[Country]]&amp;FTE_stdWD[[#This Row],[Year]]&amp;FTE_stdWD[[#This Row],[Month]]</f>
        <v>Sales - Customer QuotationsWUH2025June</v>
      </c>
      <c r="H43" s="58" t="str">
        <f>INDEX(functionInfo[Daily Dashboard Set-up],MATCH(FTE_stdWD[[#This Row],[Service Description]],functionInfo[Service Description For Invoicing &amp; SLA],0))</f>
        <v>Yes</v>
      </c>
      <c r="I43" s="56" t="str">
        <f>INDEX(functionInfo[Monthly Dashboard],MATCH(FTE_stdWD[[#This Row],[Service Description]],functionInfo[Service Description For Invoicing &amp; SLA],0))</f>
        <v>Yes</v>
      </c>
    </row>
    <row r="44" spans="1:9" hidden="1" x14ac:dyDescent="0.25">
      <c r="A44" s="57" t="s">
        <v>28</v>
      </c>
      <c r="B44" s="58" t="s">
        <v>45</v>
      </c>
      <c r="C44" s="58">
        <v>2025</v>
      </c>
      <c r="D44" s="58" t="s">
        <v>22</v>
      </c>
      <c r="E44" s="62">
        <v>6</v>
      </c>
      <c r="F44" s="58">
        <f>INDEX(functionInfo[Service Lead],MATCH(FTE_stdWD[[#This Row],[Service Description]],functionInfo[Service Description For Invoicing &amp; SLA],0))</f>
        <v>0</v>
      </c>
      <c r="G44" s="58" t="str">
        <f>FTE_stdWD[[#This Row],[Service Description]]&amp;FTE_stdWD[[#This Row],[Country]]&amp;FTE_stdWD[[#This Row],[Year]]&amp;FTE_stdWD[[#This Row],[Month]]</f>
        <v>Sales - Customer QuotationsWUH2025July</v>
      </c>
      <c r="H44" s="58" t="str">
        <f>INDEX(functionInfo[Daily Dashboard Set-up],MATCH(FTE_stdWD[[#This Row],[Service Description]],functionInfo[Service Description For Invoicing &amp; SLA],0))</f>
        <v>Yes</v>
      </c>
      <c r="I44" s="56" t="str">
        <f>INDEX(functionInfo[Monthly Dashboard],MATCH(FTE_stdWD[[#This Row],[Service Description]],functionInfo[Service Description For Invoicing &amp; SLA],0))</f>
        <v>Yes</v>
      </c>
    </row>
    <row r="45" spans="1:9" hidden="1" x14ac:dyDescent="0.25">
      <c r="A45" s="57" t="s">
        <v>28</v>
      </c>
      <c r="B45" s="58" t="s">
        <v>45</v>
      </c>
      <c r="C45" s="58">
        <v>2025</v>
      </c>
      <c r="D45" s="58" t="s">
        <v>46</v>
      </c>
      <c r="E45" s="62">
        <v>6</v>
      </c>
      <c r="F45" s="58">
        <f>INDEX(functionInfo[Service Lead],MATCH(FTE_stdWD[[#This Row],[Service Description]],functionInfo[Service Description For Invoicing &amp; SLA],0))</f>
        <v>0</v>
      </c>
      <c r="G45" s="58" t="str">
        <f>FTE_stdWD[[#This Row],[Service Description]]&amp;FTE_stdWD[[#This Row],[Country]]&amp;FTE_stdWD[[#This Row],[Year]]&amp;FTE_stdWD[[#This Row],[Month]]</f>
        <v>Sales - Customer QuotationsWUH2025August</v>
      </c>
      <c r="H45" s="58" t="str">
        <f>INDEX(functionInfo[Daily Dashboard Set-up],MATCH(FTE_stdWD[[#This Row],[Service Description]],functionInfo[Service Description For Invoicing &amp; SLA],0))</f>
        <v>Yes</v>
      </c>
      <c r="I45" s="56" t="str">
        <f>INDEX(functionInfo[Monthly Dashboard],MATCH(FTE_stdWD[[#This Row],[Service Description]],functionInfo[Service Description For Invoicing &amp; SLA],0))</f>
        <v>Yes</v>
      </c>
    </row>
    <row r="46" spans="1:9" hidden="1" x14ac:dyDescent="0.25">
      <c r="A46" s="57" t="s">
        <v>28</v>
      </c>
      <c r="B46" s="58" t="s">
        <v>45</v>
      </c>
      <c r="C46" s="58">
        <v>2025</v>
      </c>
      <c r="D46" s="58" t="s">
        <v>33</v>
      </c>
      <c r="E46" s="62"/>
      <c r="F46" s="58">
        <f>INDEX(functionInfo[Service Lead],MATCH(FTE_stdWD[[#This Row],[Service Description]],functionInfo[Service Description For Invoicing &amp; SLA],0))</f>
        <v>0</v>
      </c>
      <c r="G46" s="58" t="str">
        <f>FTE_stdWD[[#This Row],[Service Description]]&amp;FTE_stdWD[[#This Row],[Country]]&amp;FTE_stdWD[[#This Row],[Year]]&amp;FTE_stdWD[[#This Row],[Month]]</f>
        <v>Sales - Customer QuotationsWUH2025September</v>
      </c>
      <c r="H46" s="58" t="str">
        <f>INDEX(functionInfo[Daily Dashboard Set-up],MATCH(FTE_stdWD[[#This Row],[Service Description]],functionInfo[Service Description For Invoicing &amp; SLA],0))</f>
        <v>Yes</v>
      </c>
      <c r="I46" s="56" t="str">
        <f>INDEX(functionInfo[Monthly Dashboard],MATCH(FTE_stdWD[[#This Row],[Service Description]],functionInfo[Service Description For Invoicing &amp; SLA],0))</f>
        <v>Yes</v>
      </c>
    </row>
    <row r="47" spans="1:9" hidden="1" x14ac:dyDescent="0.25">
      <c r="A47" s="57" t="s">
        <v>28</v>
      </c>
      <c r="B47" s="58" t="s">
        <v>45</v>
      </c>
      <c r="C47" s="58">
        <v>2025</v>
      </c>
      <c r="D47" s="58" t="s">
        <v>25</v>
      </c>
      <c r="E47" s="62"/>
      <c r="F47" s="58">
        <f>INDEX(functionInfo[Service Lead],MATCH(FTE_stdWD[[#This Row],[Service Description]],functionInfo[Service Description For Invoicing &amp; SLA],0))</f>
        <v>0</v>
      </c>
      <c r="G47" s="58" t="str">
        <f>FTE_stdWD[[#This Row],[Service Description]]&amp;FTE_stdWD[[#This Row],[Country]]&amp;FTE_stdWD[[#This Row],[Year]]&amp;FTE_stdWD[[#This Row],[Month]]</f>
        <v>Sales - Customer QuotationsWUH2025October</v>
      </c>
      <c r="H47" s="58" t="str">
        <f>INDEX(functionInfo[Daily Dashboard Set-up],MATCH(FTE_stdWD[[#This Row],[Service Description]],functionInfo[Service Description For Invoicing &amp; SLA],0))</f>
        <v>Yes</v>
      </c>
      <c r="I47" s="56" t="str">
        <f>INDEX(functionInfo[Monthly Dashboard],MATCH(FTE_stdWD[[#This Row],[Service Description]],functionInfo[Service Description For Invoicing &amp; SLA],0))</f>
        <v>Yes</v>
      </c>
    </row>
    <row r="48" spans="1:9" hidden="1" x14ac:dyDescent="0.25">
      <c r="A48" s="57" t="s">
        <v>28</v>
      </c>
      <c r="B48" s="58" t="s">
        <v>45</v>
      </c>
      <c r="C48" s="58">
        <v>2025</v>
      </c>
      <c r="D48" s="58" t="s">
        <v>26</v>
      </c>
      <c r="E48" s="62"/>
      <c r="F48" s="58">
        <f>INDEX(functionInfo[Service Lead],MATCH(FTE_stdWD[[#This Row],[Service Description]],functionInfo[Service Description For Invoicing &amp; SLA],0))</f>
        <v>0</v>
      </c>
      <c r="G48" s="58" t="str">
        <f>FTE_stdWD[[#This Row],[Service Description]]&amp;FTE_stdWD[[#This Row],[Country]]&amp;FTE_stdWD[[#This Row],[Year]]&amp;FTE_stdWD[[#This Row],[Month]]</f>
        <v>Sales - Customer QuotationsWUH2025November</v>
      </c>
      <c r="H48" s="58" t="str">
        <f>INDEX(functionInfo[Daily Dashboard Set-up],MATCH(FTE_stdWD[[#This Row],[Service Description]],functionInfo[Service Description For Invoicing &amp; SLA],0))</f>
        <v>Yes</v>
      </c>
      <c r="I48" s="56" t="str">
        <f>INDEX(functionInfo[Monthly Dashboard],MATCH(FTE_stdWD[[#This Row],[Service Description]],functionInfo[Service Description For Invoicing &amp; SLA],0))</f>
        <v>Yes</v>
      </c>
    </row>
    <row r="49" spans="1:9" hidden="1" x14ac:dyDescent="0.25">
      <c r="A49" s="57" t="s">
        <v>28</v>
      </c>
      <c r="B49" s="58" t="s">
        <v>45</v>
      </c>
      <c r="C49" s="58">
        <v>2025</v>
      </c>
      <c r="D49" s="58" t="s">
        <v>27</v>
      </c>
      <c r="E49" s="62"/>
      <c r="F49" s="58">
        <f>INDEX(functionInfo[Service Lead],MATCH(FTE_stdWD[[#This Row],[Service Description]],functionInfo[Service Description For Invoicing &amp; SLA],0))</f>
        <v>0</v>
      </c>
      <c r="G49" s="58" t="str">
        <f>FTE_stdWD[[#This Row],[Service Description]]&amp;FTE_stdWD[[#This Row],[Country]]&amp;FTE_stdWD[[#This Row],[Year]]&amp;FTE_stdWD[[#This Row],[Month]]</f>
        <v>Sales - Customer QuotationsWUH2025December</v>
      </c>
      <c r="H49" s="58" t="str">
        <f>INDEX(functionInfo[Daily Dashboard Set-up],MATCH(FTE_stdWD[[#This Row],[Service Description]],functionInfo[Service Description For Invoicing &amp; SLA],0))</f>
        <v>Yes</v>
      </c>
      <c r="I49" s="56" t="str">
        <f>INDEX(functionInfo[Monthly Dashboard],MATCH(FTE_stdWD[[#This Row],[Service Description]],functionInfo[Service Description For Invoicing &amp; SLA],0))</f>
        <v>Yes</v>
      </c>
    </row>
    <row r="50" spans="1:9" hidden="1" x14ac:dyDescent="0.25">
      <c r="A50" s="57" t="s">
        <v>28</v>
      </c>
      <c r="B50" s="58" t="s">
        <v>47</v>
      </c>
      <c r="C50" s="58">
        <v>2025</v>
      </c>
      <c r="D50" s="58" t="s">
        <v>14</v>
      </c>
      <c r="E50" s="62">
        <v>8</v>
      </c>
      <c r="F50" s="58">
        <f>INDEX(functionInfo[Service Lead],MATCH(FTE_stdWD[[#This Row],[Service Description]],functionInfo[Service Description For Invoicing &amp; SLA],0))</f>
        <v>0</v>
      </c>
      <c r="G50" s="58" t="str">
        <f>FTE_stdWD[[#This Row],[Service Description]]&amp;FTE_stdWD[[#This Row],[Country]]&amp;FTE_stdWD[[#This Row],[Year]]&amp;FTE_stdWD[[#This Row],[Month]]</f>
        <v>Sales - Customer QuotationsMNL2025January</v>
      </c>
      <c r="H50" s="58" t="str">
        <f>INDEX(functionInfo[Daily Dashboard Set-up],MATCH(FTE_stdWD[[#This Row],[Service Description]],functionInfo[Service Description For Invoicing &amp; SLA],0))</f>
        <v>Yes</v>
      </c>
      <c r="I50" s="56" t="str">
        <f>INDEX(functionInfo[Monthly Dashboard],MATCH(FTE_stdWD[[#This Row],[Service Description]],functionInfo[Service Description For Invoicing &amp; SLA],0))</f>
        <v>Yes</v>
      </c>
    </row>
    <row r="51" spans="1:9" hidden="1" x14ac:dyDescent="0.25">
      <c r="A51" s="57" t="s">
        <v>28</v>
      </c>
      <c r="B51" s="58" t="s">
        <v>47</v>
      </c>
      <c r="C51" s="58">
        <v>2025</v>
      </c>
      <c r="D51" s="58" t="s">
        <v>17</v>
      </c>
      <c r="E51" s="62">
        <v>8</v>
      </c>
      <c r="F51" s="58">
        <f>INDEX(functionInfo[Service Lead],MATCH(FTE_stdWD[[#This Row],[Service Description]],functionInfo[Service Description For Invoicing &amp; SLA],0))</f>
        <v>0</v>
      </c>
      <c r="G51" s="58" t="str">
        <f>FTE_stdWD[[#This Row],[Service Description]]&amp;FTE_stdWD[[#This Row],[Country]]&amp;FTE_stdWD[[#This Row],[Year]]&amp;FTE_stdWD[[#This Row],[Month]]</f>
        <v>Sales - Customer QuotationsMNL2025February</v>
      </c>
      <c r="H51" s="58" t="str">
        <f>INDEX(functionInfo[Daily Dashboard Set-up],MATCH(FTE_stdWD[[#This Row],[Service Description]],functionInfo[Service Description For Invoicing &amp; SLA],0))</f>
        <v>Yes</v>
      </c>
      <c r="I51" s="56" t="str">
        <f>INDEX(functionInfo[Monthly Dashboard],MATCH(FTE_stdWD[[#This Row],[Service Description]],functionInfo[Service Description For Invoicing &amp; SLA],0))</f>
        <v>Yes</v>
      </c>
    </row>
    <row r="52" spans="1:9" hidden="1" x14ac:dyDescent="0.25">
      <c r="A52" s="57" t="s">
        <v>28</v>
      </c>
      <c r="B52" s="58" t="s">
        <v>47</v>
      </c>
      <c r="C52" s="58">
        <v>2025</v>
      </c>
      <c r="D52" s="58" t="s">
        <v>18</v>
      </c>
      <c r="E52" s="62">
        <v>8</v>
      </c>
      <c r="F52" s="58">
        <f>INDEX(functionInfo[Service Lead],MATCH(FTE_stdWD[[#This Row],[Service Description]],functionInfo[Service Description For Invoicing &amp; SLA],0))</f>
        <v>0</v>
      </c>
      <c r="G52" s="58" t="str">
        <f>FTE_stdWD[[#This Row],[Service Description]]&amp;FTE_stdWD[[#This Row],[Country]]&amp;FTE_stdWD[[#This Row],[Year]]&amp;FTE_stdWD[[#This Row],[Month]]</f>
        <v>Sales - Customer QuotationsMNL2025March</v>
      </c>
      <c r="H52" s="58" t="str">
        <f>INDEX(functionInfo[Daily Dashboard Set-up],MATCH(FTE_stdWD[[#This Row],[Service Description]],functionInfo[Service Description For Invoicing &amp; SLA],0))</f>
        <v>Yes</v>
      </c>
      <c r="I52" s="56" t="str">
        <f>INDEX(functionInfo[Monthly Dashboard],MATCH(FTE_stdWD[[#This Row],[Service Description]],functionInfo[Service Description For Invoicing &amp; SLA],0))</f>
        <v>Yes</v>
      </c>
    </row>
    <row r="53" spans="1:9" hidden="1" x14ac:dyDescent="0.25">
      <c r="A53" s="57" t="s">
        <v>28</v>
      </c>
      <c r="B53" s="58" t="s">
        <v>47</v>
      </c>
      <c r="C53" s="58">
        <v>2025</v>
      </c>
      <c r="D53" s="58" t="s">
        <v>19</v>
      </c>
      <c r="E53" s="62">
        <v>9</v>
      </c>
      <c r="F53" s="58">
        <f>INDEX(functionInfo[Service Lead],MATCH(FTE_stdWD[[#This Row],[Service Description]],functionInfo[Service Description For Invoicing &amp; SLA],0))</f>
        <v>0</v>
      </c>
      <c r="G53" s="58" t="str">
        <f>FTE_stdWD[[#This Row],[Service Description]]&amp;FTE_stdWD[[#This Row],[Country]]&amp;FTE_stdWD[[#This Row],[Year]]&amp;FTE_stdWD[[#This Row],[Month]]</f>
        <v>Sales - Customer QuotationsMNL2025April</v>
      </c>
      <c r="H53" s="58" t="str">
        <f>INDEX(functionInfo[Daily Dashboard Set-up],MATCH(FTE_stdWD[[#This Row],[Service Description]],functionInfo[Service Description For Invoicing &amp; SLA],0))</f>
        <v>Yes</v>
      </c>
      <c r="I53" s="56" t="str">
        <f>INDEX(functionInfo[Monthly Dashboard],MATCH(FTE_stdWD[[#This Row],[Service Description]],functionInfo[Service Description For Invoicing &amp; SLA],0))</f>
        <v>Yes</v>
      </c>
    </row>
    <row r="54" spans="1:9" hidden="1" x14ac:dyDescent="0.25">
      <c r="A54" s="57" t="s">
        <v>28</v>
      </c>
      <c r="B54" s="58" t="s">
        <v>47</v>
      </c>
      <c r="C54" s="58">
        <v>2025</v>
      </c>
      <c r="D54" s="58" t="s">
        <v>20</v>
      </c>
      <c r="E54" s="62">
        <v>9</v>
      </c>
      <c r="F54" s="58">
        <f>INDEX(functionInfo[Service Lead],MATCH(FTE_stdWD[[#This Row],[Service Description]],functionInfo[Service Description For Invoicing &amp; SLA],0))</f>
        <v>0</v>
      </c>
      <c r="G54" s="58" t="str">
        <f>FTE_stdWD[[#This Row],[Service Description]]&amp;FTE_stdWD[[#This Row],[Country]]&amp;FTE_stdWD[[#This Row],[Year]]&amp;FTE_stdWD[[#This Row],[Month]]</f>
        <v>Sales - Customer QuotationsMNL2025May</v>
      </c>
      <c r="H54" s="58" t="str">
        <f>INDEX(functionInfo[Daily Dashboard Set-up],MATCH(FTE_stdWD[[#This Row],[Service Description]],functionInfo[Service Description For Invoicing &amp; SLA],0))</f>
        <v>Yes</v>
      </c>
      <c r="I54" s="56" t="str">
        <f>INDEX(functionInfo[Monthly Dashboard],MATCH(FTE_stdWD[[#This Row],[Service Description]],functionInfo[Service Description For Invoicing &amp; SLA],0))</f>
        <v>Yes</v>
      </c>
    </row>
    <row r="55" spans="1:9" hidden="1" x14ac:dyDescent="0.25">
      <c r="A55" s="57" t="s">
        <v>28</v>
      </c>
      <c r="B55" s="58" t="s">
        <v>47</v>
      </c>
      <c r="C55" s="58">
        <v>2025</v>
      </c>
      <c r="D55" s="58" t="s">
        <v>21</v>
      </c>
      <c r="E55" s="62">
        <v>10</v>
      </c>
      <c r="F55" s="58">
        <f>INDEX(functionInfo[Service Lead],MATCH(FTE_stdWD[[#This Row],[Service Description]],functionInfo[Service Description For Invoicing &amp; SLA],0))</f>
        <v>0</v>
      </c>
      <c r="G55" s="58" t="str">
        <f>FTE_stdWD[[#This Row],[Service Description]]&amp;FTE_stdWD[[#This Row],[Country]]&amp;FTE_stdWD[[#This Row],[Year]]&amp;FTE_stdWD[[#This Row],[Month]]</f>
        <v>Sales - Customer QuotationsMNL2025June</v>
      </c>
      <c r="H55" s="58" t="str">
        <f>INDEX(functionInfo[Daily Dashboard Set-up],MATCH(FTE_stdWD[[#This Row],[Service Description]],functionInfo[Service Description For Invoicing &amp; SLA],0))</f>
        <v>Yes</v>
      </c>
      <c r="I55" s="56" t="str">
        <f>INDEX(functionInfo[Monthly Dashboard],MATCH(FTE_stdWD[[#This Row],[Service Description]],functionInfo[Service Description For Invoicing &amp; SLA],0))</f>
        <v>Yes</v>
      </c>
    </row>
    <row r="56" spans="1:9" hidden="1" x14ac:dyDescent="0.25">
      <c r="A56" s="57" t="s">
        <v>28</v>
      </c>
      <c r="B56" s="58" t="s">
        <v>47</v>
      </c>
      <c r="C56" s="58">
        <v>2025</v>
      </c>
      <c r="D56" s="58" t="s">
        <v>22</v>
      </c>
      <c r="E56" s="62">
        <v>10</v>
      </c>
      <c r="F56" s="58">
        <f>INDEX(functionInfo[Service Lead],MATCH(FTE_stdWD[[#This Row],[Service Description]],functionInfo[Service Description For Invoicing &amp; SLA],0))</f>
        <v>0</v>
      </c>
      <c r="G56" s="58" t="str">
        <f>FTE_stdWD[[#This Row],[Service Description]]&amp;FTE_stdWD[[#This Row],[Country]]&amp;FTE_stdWD[[#This Row],[Year]]&amp;FTE_stdWD[[#This Row],[Month]]</f>
        <v>Sales - Customer QuotationsMNL2025July</v>
      </c>
      <c r="H56" s="58" t="str">
        <f>INDEX(functionInfo[Daily Dashboard Set-up],MATCH(FTE_stdWD[[#This Row],[Service Description]],functionInfo[Service Description For Invoicing &amp; SLA],0))</f>
        <v>Yes</v>
      </c>
      <c r="I56" s="56" t="str">
        <f>INDEX(functionInfo[Monthly Dashboard],MATCH(FTE_stdWD[[#This Row],[Service Description]],functionInfo[Service Description For Invoicing &amp; SLA],0))</f>
        <v>Yes</v>
      </c>
    </row>
    <row r="57" spans="1:9" hidden="1" x14ac:dyDescent="0.25">
      <c r="A57" s="57" t="s">
        <v>28</v>
      </c>
      <c r="B57" s="58" t="s">
        <v>47</v>
      </c>
      <c r="C57" s="58">
        <v>2025</v>
      </c>
      <c r="D57" s="58" t="s">
        <v>46</v>
      </c>
      <c r="E57" s="62">
        <v>10</v>
      </c>
      <c r="F57" s="58">
        <f>INDEX(functionInfo[Service Lead],MATCH(FTE_stdWD[[#This Row],[Service Description]],functionInfo[Service Description For Invoicing &amp; SLA],0))</f>
        <v>0</v>
      </c>
      <c r="G57" s="58" t="str">
        <f>FTE_stdWD[[#This Row],[Service Description]]&amp;FTE_stdWD[[#This Row],[Country]]&amp;FTE_stdWD[[#This Row],[Year]]&amp;FTE_stdWD[[#This Row],[Month]]</f>
        <v>Sales - Customer QuotationsMNL2025August</v>
      </c>
      <c r="H57" s="58" t="str">
        <f>INDEX(functionInfo[Daily Dashboard Set-up],MATCH(FTE_stdWD[[#This Row],[Service Description]],functionInfo[Service Description For Invoicing &amp; SLA],0))</f>
        <v>Yes</v>
      </c>
      <c r="I57" s="56" t="str">
        <f>INDEX(functionInfo[Monthly Dashboard],MATCH(FTE_stdWD[[#This Row],[Service Description]],functionInfo[Service Description For Invoicing &amp; SLA],0))</f>
        <v>Yes</v>
      </c>
    </row>
    <row r="58" spans="1:9" hidden="1" x14ac:dyDescent="0.25">
      <c r="A58" s="57" t="s">
        <v>28</v>
      </c>
      <c r="B58" s="58" t="s">
        <v>47</v>
      </c>
      <c r="C58" s="58">
        <v>2025</v>
      </c>
      <c r="D58" s="58" t="s">
        <v>33</v>
      </c>
      <c r="E58" s="62"/>
      <c r="F58" s="58">
        <f>INDEX(functionInfo[Service Lead],MATCH(FTE_stdWD[[#This Row],[Service Description]],functionInfo[Service Description For Invoicing &amp; SLA],0))</f>
        <v>0</v>
      </c>
      <c r="G58" s="58" t="str">
        <f>FTE_stdWD[[#This Row],[Service Description]]&amp;FTE_stdWD[[#This Row],[Country]]&amp;FTE_stdWD[[#This Row],[Year]]&amp;FTE_stdWD[[#This Row],[Month]]</f>
        <v>Sales - Customer QuotationsMNL2025September</v>
      </c>
      <c r="H58" s="58" t="str">
        <f>INDEX(functionInfo[Daily Dashboard Set-up],MATCH(FTE_stdWD[[#This Row],[Service Description]],functionInfo[Service Description For Invoicing &amp; SLA],0))</f>
        <v>Yes</v>
      </c>
      <c r="I58" s="56" t="str">
        <f>INDEX(functionInfo[Monthly Dashboard],MATCH(FTE_stdWD[[#This Row],[Service Description]],functionInfo[Service Description For Invoicing &amp; SLA],0))</f>
        <v>Yes</v>
      </c>
    </row>
    <row r="59" spans="1:9" hidden="1" x14ac:dyDescent="0.25">
      <c r="A59" s="57" t="s">
        <v>28</v>
      </c>
      <c r="B59" s="58" t="s">
        <v>47</v>
      </c>
      <c r="C59" s="58">
        <v>2025</v>
      </c>
      <c r="D59" s="58" t="s">
        <v>25</v>
      </c>
      <c r="E59" s="62"/>
      <c r="F59" s="58">
        <f>INDEX(functionInfo[Service Lead],MATCH(FTE_stdWD[[#This Row],[Service Description]],functionInfo[Service Description For Invoicing &amp; SLA],0))</f>
        <v>0</v>
      </c>
      <c r="G59" s="58" t="str">
        <f>FTE_stdWD[[#This Row],[Service Description]]&amp;FTE_stdWD[[#This Row],[Country]]&amp;FTE_stdWD[[#This Row],[Year]]&amp;FTE_stdWD[[#This Row],[Month]]</f>
        <v>Sales - Customer QuotationsMNL2025October</v>
      </c>
      <c r="H59" s="58" t="str">
        <f>INDEX(functionInfo[Daily Dashboard Set-up],MATCH(FTE_stdWD[[#This Row],[Service Description]],functionInfo[Service Description For Invoicing &amp; SLA],0))</f>
        <v>Yes</v>
      </c>
      <c r="I59" s="56" t="str">
        <f>INDEX(functionInfo[Monthly Dashboard],MATCH(FTE_stdWD[[#This Row],[Service Description]],functionInfo[Service Description For Invoicing &amp; SLA],0))</f>
        <v>Yes</v>
      </c>
    </row>
    <row r="60" spans="1:9" hidden="1" x14ac:dyDescent="0.25">
      <c r="A60" s="57" t="s">
        <v>28</v>
      </c>
      <c r="B60" s="58" t="s">
        <v>47</v>
      </c>
      <c r="C60" s="58">
        <v>2025</v>
      </c>
      <c r="D60" s="58" t="s">
        <v>26</v>
      </c>
      <c r="E60" s="62"/>
      <c r="F60" s="58">
        <f>INDEX(functionInfo[Service Lead],MATCH(FTE_stdWD[[#This Row],[Service Description]],functionInfo[Service Description For Invoicing &amp; SLA],0))</f>
        <v>0</v>
      </c>
      <c r="G60" s="58" t="str">
        <f>FTE_stdWD[[#This Row],[Service Description]]&amp;FTE_stdWD[[#This Row],[Country]]&amp;FTE_stdWD[[#This Row],[Year]]&amp;FTE_stdWD[[#This Row],[Month]]</f>
        <v>Sales - Customer QuotationsMNL2025November</v>
      </c>
      <c r="H60" s="58" t="str">
        <f>INDEX(functionInfo[Daily Dashboard Set-up],MATCH(FTE_stdWD[[#This Row],[Service Description]],functionInfo[Service Description For Invoicing &amp; SLA],0))</f>
        <v>Yes</v>
      </c>
      <c r="I60" s="56" t="str">
        <f>INDEX(functionInfo[Monthly Dashboard],MATCH(FTE_stdWD[[#This Row],[Service Description]],functionInfo[Service Description For Invoicing &amp; SLA],0))</f>
        <v>Yes</v>
      </c>
    </row>
    <row r="61" spans="1:9" hidden="1" x14ac:dyDescent="0.25">
      <c r="A61" s="57" t="s">
        <v>28</v>
      </c>
      <c r="B61" s="58" t="s">
        <v>47</v>
      </c>
      <c r="C61" s="58">
        <v>2025</v>
      </c>
      <c r="D61" s="58" t="s">
        <v>27</v>
      </c>
      <c r="E61" s="62"/>
      <c r="F61" s="58">
        <f>INDEX(functionInfo[Service Lead],MATCH(FTE_stdWD[[#This Row],[Service Description]],functionInfo[Service Description For Invoicing &amp; SLA],0))</f>
        <v>0</v>
      </c>
      <c r="G61" s="58" t="str">
        <f>FTE_stdWD[[#This Row],[Service Description]]&amp;FTE_stdWD[[#This Row],[Country]]&amp;FTE_stdWD[[#This Row],[Year]]&amp;FTE_stdWD[[#This Row],[Month]]</f>
        <v>Sales - Customer QuotationsMNL2025December</v>
      </c>
      <c r="H61" s="58" t="str">
        <f>INDEX(functionInfo[Daily Dashboard Set-up],MATCH(FTE_stdWD[[#This Row],[Service Description]],functionInfo[Service Description For Invoicing &amp; SLA],0))</f>
        <v>Yes</v>
      </c>
      <c r="I61" s="56" t="str">
        <f>INDEX(functionInfo[Monthly Dashboard],MATCH(FTE_stdWD[[#This Row],[Service Description]],functionInfo[Service Description For Invoicing &amp; SLA],0))</f>
        <v>Yes</v>
      </c>
    </row>
    <row r="62" spans="1:9" hidden="1" x14ac:dyDescent="0.25">
      <c r="A62" s="57" t="s">
        <v>29</v>
      </c>
      <c r="B62" s="58" t="s">
        <v>45</v>
      </c>
      <c r="C62" s="58">
        <v>2025</v>
      </c>
      <c r="D62" s="58" t="s">
        <v>14</v>
      </c>
      <c r="E62" s="62">
        <v>5</v>
      </c>
      <c r="F62" s="58" t="str">
        <f>INDEX(functionInfo[Service Lead],MATCH(FTE_stdWD[[#This Row],[Service Description]],functionInfo[Service Description For Invoicing &amp; SLA],0))</f>
        <v>Coco Fan</v>
      </c>
      <c r="G62" s="58" t="str">
        <f>FTE_stdWD[[#This Row],[Service Description]]&amp;FTE_stdWD[[#This Row],[Country]]&amp;FTE_stdWD[[#This Row],[Year]]&amp;FTE_stdWD[[#This Row],[Month]]</f>
        <v>Sea Freight - RFQ Analytics &amp; PricingWUH2025January</v>
      </c>
      <c r="H62" s="58" t="str">
        <f>INDEX(functionInfo[Daily Dashboard Set-up],MATCH(FTE_stdWD[[#This Row],[Service Description]],functionInfo[Service Description For Invoicing &amp; SLA],0))</f>
        <v>No</v>
      </c>
      <c r="I62" s="56" t="str">
        <f>INDEX(functionInfo[Monthly Dashboard],MATCH(FTE_stdWD[[#This Row],[Service Description]],functionInfo[Service Description For Invoicing &amp; SLA],0))</f>
        <v>Yes</v>
      </c>
    </row>
    <row r="63" spans="1:9" hidden="1" x14ac:dyDescent="0.25">
      <c r="A63" s="57" t="s">
        <v>29</v>
      </c>
      <c r="B63" s="58" t="s">
        <v>45</v>
      </c>
      <c r="C63" s="58">
        <v>2025</v>
      </c>
      <c r="D63" s="58" t="s">
        <v>17</v>
      </c>
      <c r="E63" s="62">
        <v>5</v>
      </c>
      <c r="F63" s="58" t="str">
        <f>INDEX(functionInfo[Service Lead],MATCH(FTE_stdWD[[#This Row],[Service Description]],functionInfo[Service Description For Invoicing &amp; SLA],0))</f>
        <v>Coco Fan</v>
      </c>
      <c r="G63" s="58" t="str">
        <f>FTE_stdWD[[#This Row],[Service Description]]&amp;FTE_stdWD[[#This Row],[Country]]&amp;FTE_stdWD[[#This Row],[Year]]&amp;FTE_stdWD[[#This Row],[Month]]</f>
        <v>Sea Freight - RFQ Analytics &amp; PricingWUH2025February</v>
      </c>
      <c r="H63" s="58" t="str">
        <f>INDEX(functionInfo[Daily Dashboard Set-up],MATCH(FTE_stdWD[[#This Row],[Service Description]],functionInfo[Service Description For Invoicing &amp; SLA],0))</f>
        <v>No</v>
      </c>
      <c r="I63" s="56" t="str">
        <f>INDEX(functionInfo[Monthly Dashboard],MATCH(FTE_stdWD[[#This Row],[Service Description]],functionInfo[Service Description For Invoicing &amp; SLA],0))</f>
        <v>Yes</v>
      </c>
    </row>
    <row r="64" spans="1:9" hidden="1" x14ac:dyDescent="0.25">
      <c r="A64" s="57" t="s">
        <v>29</v>
      </c>
      <c r="B64" s="58" t="s">
        <v>45</v>
      </c>
      <c r="C64" s="58">
        <v>2025</v>
      </c>
      <c r="D64" s="58" t="s">
        <v>18</v>
      </c>
      <c r="E64" s="62">
        <v>5</v>
      </c>
      <c r="F64" s="58" t="str">
        <f>INDEX(functionInfo[Service Lead],MATCH(FTE_stdWD[[#This Row],[Service Description]],functionInfo[Service Description For Invoicing &amp; SLA],0))</f>
        <v>Coco Fan</v>
      </c>
      <c r="G64" s="58" t="str">
        <f>FTE_stdWD[[#This Row],[Service Description]]&amp;FTE_stdWD[[#This Row],[Country]]&amp;FTE_stdWD[[#This Row],[Year]]&amp;FTE_stdWD[[#This Row],[Month]]</f>
        <v>Sea Freight - RFQ Analytics &amp; PricingWUH2025March</v>
      </c>
      <c r="H64" s="58" t="str">
        <f>INDEX(functionInfo[Daily Dashboard Set-up],MATCH(FTE_stdWD[[#This Row],[Service Description]],functionInfo[Service Description For Invoicing &amp; SLA],0))</f>
        <v>No</v>
      </c>
      <c r="I64" s="56" t="str">
        <f>INDEX(functionInfo[Monthly Dashboard],MATCH(FTE_stdWD[[#This Row],[Service Description]],functionInfo[Service Description For Invoicing &amp; SLA],0))</f>
        <v>Yes</v>
      </c>
    </row>
    <row r="65" spans="1:9" hidden="1" x14ac:dyDescent="0.25">
      <c r="A65" s="57" t="s">
        <v>29</v>
      </c>
      <c r="B65" s="58" t="s">
        <v>45</v>
      </c>
      <c r="C65" s="58">
        <v>2025</v>
      </c>
      <c r="D65" s="58" t="s">
        <v>19</v>
      </c>
      <c r="E65" s="62">
        <v>5</v>
      </c>
      <c r="F65" s="58" t="str">
        <f>INDEX(functionInfo[Service Lead],MATCH(FTE_stdWD[[#This Row],[Service Description]],functionInfo[Service Description For Invoicing &amp; SLA],0))</f>
        <v>Coco Fan</v>
      </c>
      <c r="G65" s="58" t="str">
        <f>FTE_stdWD[[#This Row],[Service Description]]&amp;FTE_stdWD[[#This Row],[Country]]&amp;FTE_stdWD[[#This Row],[Year]]&amp;FTE_stdWD[[#This Row],[Month]]</f>
        <v>Sea Freight - RFQ Analytics &amp; PricingWUH2025April</v>
      </c>
      <c r="H65" s="58" t="str">
        <f>INDEX(functionInfo[Daily Dashboard Set-up],MATCH(FTE_stdWD[[#This Row],[Service Description]],functionInfo[Service Description For Invoicing &amp; SLA],0))</f>
        <v>No</v>
      </c>
      <c r="I65" s="56" t="str">
        <f>INDEX(functionInfo[Monthly Dashboard],MATCH(FTE_stdWD[[#This Row],[Service Description]],functionInfo[Service Description For Invoicing &amp; SLA],0))</f>
        <v>Yes</v>
      </c>
    </row>
    <row r="66" spans="1:9" hidden="1" x14ac:dyDescent="0.25">
      <c r="A66" s="57" t="s">
        <v>29</v>
      </c>
      <c r="B66" s="58" t="s">
        <v>45</v>
      </c>
      <c r="C66" s="58">
        <v>2025</v>
      </c>
      <c r="D66" s="58" t="s">
        <v>20</v>
      </c>
      <c r="E66" s="62">
        <v>5</v>
      </c>
      <c r="F66" s="58" t="str">
        <f>INDEX(functionInfo[Service Lead],MATCH(FTE_stdWD[[#This Row],[Service Description]],functionInfo[Service Description For Invoicing &amp; SLA],0))</f>
        <v>Coco Fan</v>
      </c>
      <c r="G66" s="58" t="str">
        <f>FTE_stdWD[[#This Row],[Service Description]]&amp;FTE_stdWD[[#This Row],[Country]]&amp;FTE_stdWD[[#This Row],[Year]]&amp;FTE_stdWD[[#This Row],[Month]]</f>
        <v>Sea Freight - RFQ Analytics &amp; PricingWUH2025May</v>
      </c>
      <c r="H66" s="58" t="str">
        <f>INDEX(functionInfo[Daily Dashboard Set-up],MATCH(FTE_stdWD[[#This Row],[Service Description]],functionInfo[Service Description For Invoicing &amp; SLA],0))</f>
        <v>No</v>
      </c>
      <c r="I66" s="56" t="str">
        <f>INDEX(functionInfo[Monthly Dashboard],MATCH(FTE_stdWD[[#This Row],[Service Description]],functionInfo[Service Description For Invoicing &amp; SLA],0))</f>
        <v>Yes</v>
      </c>
    </row>
    <row r="67" spans="1:9" hidden="1" x14ac:dyDescent="0.25">
      <c r="A67" s="57" t="s">
        <v>29</v>
      </c>
      <c r="B67" s="58" t="s">
        <v>45</v>
      </c>
      <c r="C67" s="58">
        <v>2025</v>
      </c>
      <c r="D67" s="58" t="s">
        <v>21</v>
      </c>
      <c r="E67" s="62">
        <v>5</v>
      </c>
      <c r="F67" s="58" t="str">
        <f>INDEX(functionInfo[Service Lead],MATCH(FTE_stdWD[[#This Row],[Service Description]],functionInfo[Service Description For Invoicing &amp; SLA],0))</f>
        <v>Coco Fan</v>
      </c>
      <c r="G67" s="58" t="str">
        <f>FTE_stdWD[[#This Row],[Service Description]]&amp;FTE_stdWD[[#This Row],[Country]]&amp;FTE_stdWD[[#This Row],[Year]]&amp;FTE_stdWD[[#This Row],[Month]]</f>
        <v>Sea Freight - RFQ Analytics &amp; PricingWUH2025June</v>
      </c>
      <c r="H67" s="58" t="str">
        <f>INDEX(functionInfo[Daily Dashboard Set-up],MATCH(FTE_stdWD[[#This Row],[Service Description]],functionInfo[Service Description For Invoicing &amp; SLA],0))</f>
        <v>No</v>
      </c>
      <c r="I67" s="56" t="str">
        <f>INDEX(functionInfo[Monthly Dashboard],MATCH(FTE_stdWD[[#This Row],[Service Description]],functionInfo[Service Description For Invoicing &amp; SLA],0))</f>
        <v>Yes</v>
      </c>
    </row>
    <row r="68" spans="1:9" hidden="1" x14ac:dyDescent="0.25">
      <c r="A68" s="57" t="s">
        <v>29</v>
      </c>
      <c r="B68" s="58" t="s">
        <v>45</v>
      </c>
      <c r="C68" s="58">
        <v>2025</v>
      </c>
      <c r="D68" s="58" t="s">
        <v>22</v>
      </c>
      <c r="E68" s="62">
        <v>5</v>
      </c>
      <c r="F68" s="58" t="str">
        <f>INDEX(functionInfo[Service Lead],MATCH(FTE_stdWD[[#This Row],[Service Description]],functionInfo[Service Description For Invoicing &amp; SLA],0))</f>
        <v>Coco Fan</v>
      </c>
      <c r="G68" s="58" t="str">
        <f>FTE_stdWD[[#This Row],[Service Description]]&amp;FTE_stdWD[[#This Row],[Country]]&amp;FTE_stdWD[[#This Row],[Year]]&amp;FTE_stdWD[[#This Row],[Month]]</f>
        <v>Sea Freight - RFQ Analytics &amp; PricingWUH2025July</v>
      </c>
      <c r="H68" s="58" t="str">
        <f>INDEX(functionInfo[Daily Dashboard Set-up],MATCH(FTE_stdWD[[#This Row],[Service Description]],functionInfo[Service Description For Invoicing &amp; SLA],0))</f>
        <v>No</v>
      </c>
      <c r="I68" s="56" t="str">
        <f>INDEX(functionInfo[Monthly Dashboard],MATCH(FTE_stdWD[[#This Row],[Service Description]],functionInfo[Service Description For Invoicing &amp; SLA],0))</f>
        <v>Yes</v>
      </c>
    </row>
    <row r="69" spans="1:9" hidden="1" x14ac:dyDescent="0.25">
      <c r="A69" s="57" t="s">
        <v>29</v>
      </c>
      <c r="B69" s="58" t="s">
        <v>45</v>
      </c>
      <c r="C69" s="58">
        <v>2025</v>
      </c>
      <c r="D69" s="58" t="s">
        <v>46</v>
      </c>
      <c r="E69" s="62">
        <v>5</v>
      </c>
      <c r="F69" s="58" t="str">
        <f>INDEX(functionInfo[Service Lead],MATCH(FTE_stdWD[[#This Row],[Service Description]],functionInfo[Service Description For Invoicing &amp; SLA],0))</f>
        <v>Coco Fan</v>
      </c>
      <c r="G69" s="58" t="str">
        <f>FTE_stdWD[[#This Row],[Service Description]]&amp;FTE_stdWD[[#This Row],[Country]]&amp;FTE_stdWD[[#This Row],[Year]]&amp;FTE_stdWD[[#This Row],[Month]]</f>
        <v>Sea Freight - RFQ Analytics &amp; PricingWUH2025August</v>
      </c>
      <c r="H69" s="58" t="str">
        <f>INDEX(functionInfo[Daily Dashboard Set-up],MATCH(FTE_stdWD[[#This Row],[Service Description]],functionInfo[Service Description For Invoicing &amp; SLA],0))</f>
        <v>No</v>
      </c>
      <c r="I69" s="56" t="str">
        <f>INDEX(functionInfo[Monthly Dashboard],MATCH(FTE_stdWD[[#This Row],[Service Description]],functionInfo[Service Description For Invoicing &amp; SLA],0))</f>
        <v>Yes</v>
      </c>
    </row>
    <row r="70" spans="1:9" hidden="1" x14ac:dyDescent="0.25">
      <c r="A70" s="57" t="s">
        <v>29</v>
      </c>
      <c r="B70" s="58" t="s">
        <v>45</v>
      </c>
      <c r="C70" s="58">
        <v>2025</v>
      </c>
      <c r="D70" s="58" t="s">
        <v>33</v>
      </c>
      <c r="E70" s="62">
        <v>5</v>
      </c>
      <c r="F70" s="58" t="str">
        <f>INDEX(functionInfo[Service Lead],MATCH(FTE_stdWD[[#This Row],[Service Description]],functionInfo[Service Description For Invoicing &amp; SLA],0))</f>
        <v>Coco Fan</v>
      </c>
      <c r="G70" s="58" t="str">
        <f>FTE_stdWD[[#This Row],[Service Description]]&amp;FTE_stdWD[[#This Row],[Country]]&amp;FTE_stdWD[[#This Row],[Year]]&amp;FTE_stdWD[[#This Row],[Month]]</f>
        <v>Sea Freight - RFQ Analytics &amp; PricingWUH2025September</v>
      </c>
      <c r="H70" s="58" t="str">
        <f>INDEX(functionInfo[Daily Dashboard Set-up],MATCH(FTE_stdWD[[#This Row],[Service Description]],functionInfo[Service Description For Invoicing &amp; SLA],0))</f>
        <v>No</v>
      </c>
      <c r="I70" s="56" t="str">
        <f>INDEX(functionInfo[Monthly Dashboard],MATCH(FTE_stdWD[[#This Row],[Service Description]],functionInfo[Service Description For Invoicing &amp; SLA],0))</f>
        <v>Yes</v>
      </c>
    </row>
    <row r="71" spans="1:9" hidden="1" x14ac:dyDescent="0.25">
      <c r="A71" s="57" t="s">
        <v>29</v>
      </c>
      <c r="B71" s="58" t="s">
        <v>45</v>
      </c>
      <c r="C71" s="58">
        <v>2025</v>
      </c>
      <c r="D71" s="58" t="s">
        <v>25</v>
      </c>
      <c r="E71" s="62">
        <v>5</v>
      </c>
      <c r="F71" s="58" t="str">
        <f>INDEX(functionInfo[Service Lead],MATCH(FTE_stdWD[[#This Row],[Service Description]],functionInfo[Service Description For Invoicing &amp; SLA],0))</f>
        <v>Coco Fan</v>
      </c>
      <c r="G71" s="58" t="str">
        <f>FTE_stdWD[[#This Row],[Service Description]]&amp;FTE_stdWD[[#This Row],[Country]]&amp;FTE_stdWD[[#This Row],[Year]]&amp;FTE_stdWD[[#This Row],[Month]]</f>
        <v>Sea Freight - RFQ Analytics &amp; PricingWUH2025October</v>
      </c>
      <c r="H71" s="58" t="str">
        <f>INDEX(functionInfo[Daily Dashboard Set-up],MATCH(FTE_stdWD[[#This Row],[Service Description]],functionInfo[Service Description For Invoicing &amp; SLA],0))</f>
        <v>No</v>
      </c>
      <c r="I71" s="56" t="str">
        <f>INDEX(functionInfo[Monthly Dashboard],MATCH(FTE_stdWD[[#This Row],[Service Description]],functionInfo[Service Description For Invoicing &amp; SLA],0))</f>
        <v>Yes</v>
      </c>
    </row>
    <row r="72" spans="1:9" hidden="1" x14ac:dyDescent="0.25">
      <c r="A72" s="57" t="s">
        <v>29</v>
      </c>
      <c r="B72" s="58" t="s">
        <v>45</v>
      </c>
      <c r="C72" s="58">
        <v>2025</v>
      </c>
      <c r="D72" s="58" t="s">
        <v>26</v>
      </c>
      <c r="E72" s="62">
        <v>5</v>
      </c>
      <c r="F72" s="58" t="str">
        <f>INDEX(functionInfo[Service Lead],MATCH(FTE_stdWD[[#This Row],[Service Description]],functionInfo[Service Description For Invoicing &amp; SLA],0))</f>
        <v>Coco Fan</v>
      </c>
      <c r="G72" s="58" t="str">
        <f>FTE_stdWD[[#This Row],[Service Description]]&amp;FTE_stdWD[[#This Row],[Country]]&amp;FTE_stdWD[[#This Row],[Year]]&amp;FTE_stdWD[[#This Row],[Month]]</f>
        <v>Sea Freight - RFQ Analytics &amp; PricingWUH2025November</v>
      </c>
      <c r="H72" s="58" t="str">
        <f>INDEX(functionInfo[Daily Dashboard Set-up],MATCH(FTE_stdWD[[#This Row],[Service Description]],functionInfo[Service Description For Invoicing &amp; SLA],0))</f>
        <v>No</v>
      </c>
      <c r="I72" s="56" t="str">
        <f>INDEX(functionInfo[Monthly Dashboard],MATCH(FTE_stdWD[[#This Row],[Service Description]],functionInfo[Service Description For Invoicing &amp; SLA],0))</f>
        <v>Yes</v>
      </c>
    </row>
    <row r="73" spans="1:9" hidden="1" x14ac:dyDescent="0.25">
      <c r="A73" s="57" t="s">
        <v>29</v>
      </c>
      <c r="B73" s="58" t="s">
        <v>45</v>
      </c>
      <c r="C73" s="58">
        <v>2025</v>
      </c>
      <c r="D73" s="58" t="s">
        <v>27</v>
      </c>
      <c r="E73" s="62">
        <v>5</v>
      </c>
      <c r="F73" s="58" t="str">
        <f>INDEX(functionInfo[Service Lead],MATCH(FTE_stdWD[[#This Row],[Service Description]],functionInfo[Service Description For Invoicing &amp; SLA],0))</f>
        <v>Coco Fan</v>
      </c>
      <c r="G73" s="58" t="str">
        <f>FTE_stdWD[[#This Row],[Service Description]]&amp;FTE_stdWD[[#This Row],[Country]]&amp;FTE_stdWD[[#This Row],[Year]]&amp;FTE_stdWD[[#This Row],[Month]]</f>
        <v>Sea Freight - RFQ Analytics &amp; PricingWUH2025December</v>
      </c>
      <c r="H73" s="58" t="str">
        <f>INDEX(functionInfo[Daily Dashboard Set-up],MATCH(FTE_stdWD[[#This Row],[Service Description]],functionInfo[Service Description For Invoicing &amp; SLA],0))</f>
        <v>No</v>
      </c>
      <c r="I73" s="56" t="str">
        <f>INDEX(functionInfo[Monthly Dashboard],MATCH(FTE_stdWD[[#This Row],[Service Description]],functionInfo[Service Description For Invoicing &amp; SLA],0))</f>
        <v>Yes</v>
      </c>
    </row>
    <row r="74" spans="1:9" hidden="1" x14ac:dyDescent="0.25">
      <c r="A74" s="57" t="s">
        <v>38</v>
      </c>
      <c r="B74" s="58" t="s">
        <v>47</v>
      </c>
      <c r="C74" s="58">
        <v>2025</v>
      </c>
      <c r="D74" s="58" t="s">
        <v>14</v>
      </c>
      <c r="E74" s="62">
        <v>3</v>
      </c>
      <c r="F74" s="58" t="str">
        <f>INDEX(functionInfo[Service Lead],MATCH(FTE_stdWD[[#This Row],[Service Description]],functionInfo[Service Description For Invoicing &amp; SLA],0))</f>
        <v>Lovely Rose</v>
      </c>
      <c r="G74" s="58" t="str">
        <f>FTE_stdWD[[#This Row],[Service Description]]&amp;FTE_stdWD[[#This Row],[Country]]&amp;FTE_stdWD[[#This Row],[Year]]&amp;FTE_stdWD[[#This Row],[Month]]</f>
        <v>Finance - Accounts ReceivablesMNL2025January</v>
      </c>
      <c r="H74" s="58" t="str">
        <f>INDEX(functionInfo[Daily Dashboard Set-up],MATCH(FTE_stdWD[[#This Row],[Service Description]],functionInfo[Service Description For Invoicing &amp; SLA],0))</f>
        <v>Yes</v>
      </c>
      <c r="I74" s="56" t="str">
        <f>INDEX(functionInfo[Monthly Dashboard],MATCH(FTE_stdWD[[#This Row],[Service Description]],functionInfo[Service Description For Invoicing &amp; SLA],0))</f>
        <v>Yes</v>
      </c>
    </row>
    <row r="75" spans="1:9" hidden="1" x14ac:dyDescent="0.25">
      <c r="A75" s="57" t="s">
        <v>38</v>
      </c>
      <c r="B75" s="58" t="s">
        <v>47</v>
      </c>
      <c r="C75" s="58">
        <v>2025</v>
      </c>
      <c r="D75" s="58" t="s">
        <v>17</v>
      </c>
      <c r="E75" s="62">
        <v>3</v>
      </c>
      <c r="F75" s="58" t="str">
        <f>INDEX(functionInfo[Service Lead],MATCH(FTE_stdWD[[#This Row],[Service Description]],functionInfo[Service Description For Invoicing &amp; SLA],0))</f>
        <v>Lovely Rose</v>
      </c>
      <c r="G75" s="58" t="str">
        <f>FTE_stdWD[[#This Row],[Service Description]]&amp;FTE_stdWD[[#This Row],[Country]]&amp;FTE_stdWD[[#This Row],[Year]]&amp;FTE_stdWD[[#This Row],[Month]]</f>
        <v>Finance - Accounts ReceivablesMNL2025February</v>
      </c>
      <c r="H75" s="58" t="str">
        <f>INDEX(functionInfo[Daily Dashboard Set-up],MATCH(FTE_stdWD[[#This Row],[Service Description]],functionInfo[Service Description For Invoicing &amp; SLA],0))</f>
        <v>Yes</v>
      </c>
      <c r="I75" s="56" t="str">
        <f>INDEX(functionInfo[Monthly Dashboard],MATCH(FTE_stdWD[[#This Row],[Service Description]],functionInfo[Service Description For Invoicing &amp; SLA],0))</f>
        <v>Yes</v>
      </c>
    </row>
    <row r="76" spans="1:9" hidden="1" x14ac:dyDescent="0.25">
      <c r="A76" s="57" t="s">
        <v>38</v>
      </c>
      <c r="B76" s="58" t="s">
        <v>47</v>
      </c>
      <c r="C76" s="58">
        <v>2025</v>
      </c>
      <c r="D76" s="58" t="s">
        <v>18</v>
      </c>
      <c r="E76" s="62">
        <v>3</v>
      </c>
      <c r="F76" s="58" t="str">
        <f>INDEX(functionInfo[Service Lead],MATCH(FTE_stdWD[[#This Row],[Service Description]],functionInfo[Service Description For Invoicing &amp; SLA],0))</f>
        <v>Lovely Rose</v>
      </c>
      <c r="G76" s="58" t="str">
        <f>FTE_stdWD[[#This Row],[Service Description]]&amp;FTE_stdWD[[#This Row],[Country]]&amp;FTE_stdWD[[#This Row],[Year]]&amp;FTE_stdWD[[#This Row],[Month]]</f>
        <v>Finance - Accounts ReceivablesMNL2025March</v>
      </c>
      <c r="H76" s="58" t="str">
        <f>INDEX(functionInfo[Daily Dashboard Set-up],MATCH(FTE_stdWD[[#This Row],[Service Description]],functionInfo[Service Description For Invoicing &amp; SLA],0))</f>
        <v>Yes</v>
      </c>
      <c r="I76" s="56" t="str">
        <f>INDEX(functionInfo[Monthly Dashboard],MATCH(FTE_stdWD[[#This Row],[Service Description]],functionInfo[Service Description For Invoicing &amp; SLA],0))</f>
        <v>Yes</v>
      </c>
    </row>
    <row r="77" spans="1:9" hidden="1" x14ac:dyDescent="0.25">
      <c r="A77" s="57" t="s">
        <v>38</v>
      </c>
      <c r="B77" s="58" t="s">
        <v>47</v>
      </c>
      <c r="C77" s="58">
        <v>2025</v>
      </c>
      <c r="D77" s="58" t="s">
        <v>19</v>
      </c>
      <c r="E77" s="62">
        <v>3</v>
      </c>
      <c r="F77" s="58" t="str">
        <f>INDEX(functionInfo[Service Lead],MATCH(FTE_stdWD[[#This Row],[Service Description]],functionInfo[Service Description For Invoicing &amp; SLA],0))</f>
        <v>Lovely Rose</v>
      </c>
      <c r="G77" s="58" t="str">
        <f>FTE_stdWD[[#This Row],[Service Description]]&amp;FTE_stdWD[[#This Row],[Country]]&amp;FTE_stdWD[[#This Row],[Year]]&amp;FTE_stdWD[[#This Row],[Month]]</f>
        <v>Finance - Accounts ReceivablesMNL2025April</v>
      </c>
      <c r="H77" s="58" t="str">
        <f>INDEX(functionInfo[Daily Dashboard Set-up],MATCH(FTE_stdWD[[#This Row],[Service Description]],functionInfo[Service Description For Invoicing &amp; SLA],0))</f>
        <v>Yes</v>
      </c>
      <c r="I77" s="56" t="str">
        <f>INDEX(functionInfo[Monthly Dashboard],MATCH(FTE_stdWD[[#This Row],[Service Description]],functionInfo[Service Description For Invoicing &amp; SLA],0))</f>
        <v>Yes</v>
      </c>
    </row>
    <row r="78" spans="1:9" hidden="1" x14ac:dyDescent="0.25">
      <c r="A78" s="57" t="s">
        <v>38</v>
      </c>
      <c r="B78" s="58" t="s">
        <v>47</v>
      </c>
      <c r="C78" s="58">
        <v>2025</v>
      </c>
      <c r="D78" s="58" t="s">
        <v>20</v>
      </c>
      <c r="E78" s="62">
        <v>2</v>
      </c>
      <c r="F78" s="58" t="str">
        <f>INDEX(functionInfo[Service Lead],MATCH(FTE_stdWD[[#This Row],[Service Description]],functionInfo[Service Description For Invoicing &amp; SLA],0))</f>
        <v>Lovely Rose</v>
      </c>
      <c r="G78" s="58" t="str">
        <f>FTE_stdWD[[#This Row],[Service Description]]&amp;FTE_stdWD[[#This Row],[Country]]&amp;FTE_stdWD[[#This Row],[Year]]&amp;FTE_stdWD[[#This Row],[Month]]</f>
        <v>Finance - Accounts ReceivablesMNL2025May</v>
      </c>
      <c r="H78" s="58" t="str">
        <f>INDEX(functionInfo[Daily Dashboard Set-up],MATCH(FTE_stdWD[[#This Row],[Service Description]],functionInfo[Service Description For Invoicing &amp; SLA],0))</f>
        <v>Yes</v>
      </c>
      <c r="I78" s="56" t="str">
        <f>INDEX(functionInfo[Monthly Dashboard],MATCH(FTE_stdWD[[#This Row],[Service Description]],functionInfo[Service Description For Invoicing &amp; SLA],0))</f>
        <v>Yes</v>
      </c>
    </row>
    <row r="79" spans="1:9" hidden="1" x14ac:dyDescent="0.25">
      <c r="A79" s="57" t="s">
        <v>38</v>
      </c>
      <c r="B79" s="58" t="s">
        <v>47</v>
      </c>
      <c r="C79" s="58">
        <v>2025</v>
      </c>
      <c r="D79" s="58" t="s">
        <v>21</v>
      </c>
      <c r="E79" s="62">
        <v>2</v>
      </c>
      <c r="F79" s="58" t="str">
        <f>INDEX(functionInfo[Service Lead],MATCH(FTE_stdWD[[#This Row],[Service Description]],functionInfo[Service Description For Invoicing &amp; SLA],0))</f>
        <v>Lovely Rose</v>
      </c>
      <c r="G79" s="58" t="str">
        <f>FTE_stdWD[[#This Row],[Service Description]]&amp;FTE_stdWD[[#This Row],[Country]]&amp;FTE_stdWD[[#This Row],[Year]]&amp;FTE_stdWD[[#This Row],[Month]]</f>
        <v>Finance - Accounts ReceivablesMNL2025June</v>
      </c>
      <c r="H79" s="58" t="str">
        <f>INDEX(functionInfo[Daily Dashboard Set-up],MATCH(FTE_stdWD[[#This Row],[Service Description]],functionInfo[Service Description For Invoicing &amp; SLA],0))</f>
        <v>Yes</v>
      </c>
      <c r="I79" s="56" t="str">
        <f>INDEX(functionInfo[Monthly Dashboard],MATCH(FTE_stdWD[[#This Row],[Service Description]],functionInfo[Service Description For Invoicing &amp; SLA],0))</f>
        <v>Yes</v>
      </c>
    </row>
    <row r="80" spans="1:9" hidden="1" x14ac:dyDescent="0.25">
      <c r="A80" s="57" t="s">
        <v>38</v>
      </c>
      <c r="B80" s="58" t="s">
        <v>47</v>
      </c>
      <c r="C80" s="58">
        <v>2025</v>
      </c>
      <c r="D80" s="58" t="s">
        <v>22</v>
      </c>
      <c r="E80" s="62">
        <v>2</v>
      </c>
      <c r="F80" s="58" t="str">
        <f>INDEX(functionInfo[Service Lead],MATCH(FTE_stdWD[[#This Row],[Service Description]],functionInfo[Service Description For Invoicing &amp; SLA],0))</f>
        <v>Lovely Rose</v>
      </c>
      <c r="G80" s="58" t="str">
        <f>FTE_stdWD[[#This Row],[Service Description]]&amp;FTE_stdWD[[#This Row],[Country]]&amp;FTE_stdWD[[#This Row],[Year]]&amp;FTE_stdWD[[#This Row],[Month]]</f>
        <v>Finance - Accounts ReceivablesMNL2025July</v>
      </c>
      <c r="H80" s="58" t="str">
        <f>INDEX(functionInfo[Daily Dashboard Set-up],MATCH(FTE_stdWD[[#This Row],[Service Description]],functionInfo[Service Description For Invoicing &amp; SLA],0))</f>
        <v>Yes</v>
      </c>
      <c r="I80" s="56" t="str">
        <f>INDEX(functionInfo[Monthly Dashboard],MATCH(FTE_stdWD[[#This Row],[Service Description]],functionInfo[Service Description For Invoicing &amp; SLA],0))</f>
        <v>Yes</v>
      </c>
    </row>
    <row r="81" spans="1:9" hidden="1" x14ac:dyDescent="0.25">
      <c r="A81" s="57" t="s">
        <v>38</v>
      </c>
      <c r="B81" s="58" t="s">
        <v>47</v>
      </c>
      <c r="C81" s="58">
        <v>2025</v>
      </c>
      <c r="D81" s="58" t="s">
        <v>46</v>
      </c>
      <c r="E81" s="62">
        <v>2</v>
      </c>
      <c r="F81" s="58" t="str">
        <f>INDEX(functionInfo[Service Lead],MATCH(FTE_stdWD[[#This Row],[Service Description]],functionInfo[Service Description For Invoicing &amp; SLA],0))</f>
        <v>Lovely Rose</v>
      </c>
      <c r="G81" s="58" t="str">
        <f>FTE_stdWD[[#This Row],[Service Description]]&amp;FTE_stdWD[[#This Row],[Country]]&amp;FTE_stdWD[[#This Row],[Year]]&amp;FTE_stdWD[[#This Row],[Month]]</f>
        <v>Finance - Accounts ReceivablesMNL2025August</v>
      </c>
      <c r="H81" s="58" t="str">
        <f>INDEX(functionInfo[Daily Dashboard Set-up],MATCH(FTE_stdWD[[#This Row],[Service Description]],functionInfo[Service Description For Invoicing &amp; SLA],0))</f>
        <v>Yes</v>
      </c>
      <c r="I81" s="56" t="str">
        <f>INDEX(functionInfo[Monthly Dashboard],MATCH(FTE_stdWD[[#This Row],[Service Description]],functionInfo[Service Description For Invoicing &amp; SLA],0))</f>
        <v>Yes</v>
      </c>
    </row>
    <row r="82" spans="1:9" hidden="1" x14ac:dyDescent="0.25">
      <c r="A82" s="57" t="s">
        <v>38</v>
      </c>
      <c r="B82" s="58" t="s">
        <v>47</v>
      </c>
      <c r="C82" s="58">
        <v>2025</v>
      </c>
      <c r="D82" s="58" t="s">
        <v>33</v>
      </c>
      <c r="E82" s="62"/>
      <c r="F82" s="58" t="str">
        <f>INDEX(functionInfo[Service Lead],MATCH(FTE_stdWD[[#This Row],[Service Description]],functionInfo[Service Description For Invoicing &amp; SLA],0))</f>
        <v>Lovely Rose</v>
      </c>
      <c r="G82" s="58" t="str">
        <f>FTE_stdWD[[#This Row],[Service Description]]&amp;FTE_stdWD[[#This Row],[Country]]&amp;FTE_stdWD[[#This Row],[Year]]&amp;FTE_stdWD[[#This Row],[Month]]</f>
        <v>Finance - Accounts ReceivablesMNL2025September</v>
      </c>
      <c r="H82" s="58" t="str">
        <f>INDEX(functionInfo[Daily Dashboard Set-up],MATCH(FTE_stdWD[[#This Row],[Service Description]],functionInfo[Service Description For Invoicing &amp; SLA],0))</f>
        <v>Yes</v>
      </c>
      <c r="I82" s="56" t="str">
        <f>INDEX(functionInfo[Monthly Dashboard],MATCH(FTE_stdWD[[#This Row],[Service Description]],functionInfo[Service Description For Invoicing &amp; SLA],0))</f>
        <v>Yes</v>
      </c>
    </row>
    <row r="83" spans="1:9" hidden="1" x14ac:dyDescent="0.25">
      <c r="A83" s="57" t="s">
        <v>38</v>
      </c>
      <c r="B83" s="58" t="s">
        <v>47</v>
      </c>
      <c r="C83" s="58">
        <v>2025</v>
      </c>
      <c r="D83" s="58" t="s">
        <v>25</v>
      </c>
      <c r="E83" s="62"/>
      <c r="F83" s="58" t="str">
        <f>INDEX(functionInfo[Service Lead],MATCH(FTE_stdWD[[#This Row],[Service Description]],functionInfo[Service Description For Invoicing &amp; SLA],0))</f>
        <v>Lovely Rose</v>
      </c>
      <c r="G83" s="58" t="str">
        <f>FTE_stdWD[[#This Row],[Service Description]]&amp;FTE_stdWD[[#This Row],[Country]]&amp;FTE_stdWD[[#This Row],[Year]]&amp;FTE_stdWD[[#This Row],[Month]]</f>
        <v>Finance - Accounts ReceivablesMNL2025October</v>
      </c>
      <c r="H83" s="58" t="str">
        <f>INDEX(functionInfo[Daily Dashboard Set-up],MATCH(FTE_stdWD[[#This Row],[Service Description]],functionInfo[Service Description For Invoicing &amp; SLA],0))</f>
        <v>Yes</v>
      </c>
      <c r="I83" s="56" t="str">
        <f>INDEX(functionInfo[Monthly Dashboard],MATCH(FTE_stdWD[[#This Row],[Service Description]],functionInfo[Service Description For Invoicing &amp; SLA],0))</f>
        <v>Yes</v>
      </c>
    </row>
    <row r="84" spans="1:9" hidden="1" x14ac:dyDescent="0.25">
      <c r="A84" s="57" t="s">
        <v>38</v>
      </c>
      <c r="B84" s="58" t="s">
        <v>47</v>
      </c>
      <c r="C84" s="58">
        <v>2025</v>
      </c>
      <c r="D84" s="58" t="s">
        <v>26</v>
      </c>
      <c r="E84" s="62"/>
      <c r="F84" s="58" t="str">
        <f>INDEX(functionInfo[Service Lead],MATCH(FTE_stdWD[[#This Row],[Service Description]],functionInfo[Service Description For Invoicing &amp; SLA],0))</f>
        <v>Lovely Rose</v>
      </c>
      <c r="G84" s="58" t="str">
        <f>FTE_stdWD[[#This Row],[Service Description]]&amp;FTE_stdWD[[#This Row],[Country]]&amp;FTE_stdWD[[#This Row],[Year]]&amp;FTE_stdWD[[#This Row],[Month]]</f>
        <v>Finance - Accounts ReceivablesMNL2025November</v>
      </c>
      <c r="H84" s="58" t="str">
        <f>INDEX(functionInfo[Daily Dashboard Set-up],MATCH(FTE_stdWD[[#This Row],[Service Description]],functionInfo[Service Description For Invoicing &amp; SLA],0))</f>
        <v>Yes</v>
      </c>
      <c r="I84" s="56" t="str">
        <f>INDEX(functionInfo[Monthly Dashboard],MATCH(FTE_stdWD[[#This Row],[Service Description]],functionInfo[Service Description For Invoicing &amp; SLA],0))</f>
        <v>Yes</v>
      </c>
    </row>
    <row r="85" spans="1:9" hidden="1" x14ac:dyDescent="0.25">
      <c r="A85" s="57" t="s">
        <v>38</v>
      </c>
      <c r="B85" s="58" t="s">
        <v>47</v>
      </c>
      <c r="C85" s="58">
        <v>2025</v>
      </c>
      <c r="D85" s="58" t="s">
        <v>27</v>
      </c>
      <c r="E85" s="62"/>
      <c r="F85" s="58" t="str">
        <f>INDEX(functionInfo[Service Lead],MATCH(FTE_stdWD[[#This Row],[Service Description]],functionInfo[Service Description For Invoicing &amp; SLA],0))</f>
        <v>Lovely Rose</v>
      </c>
      <c r="G85" s="58" t="str">
        <f>FTE_stdWD[[#This Row],[Service Description]]&amp;FTE_stdWD[[#This Row],[Country]]&amp;FTE_stdWD[[#This Row],[Year]]&amp;FTE_stdWD[[#This Row],[Month]]</f>
        <v>Finance - Accounts ReceivablesMNL2025December</v>
      </c>
      <c r="H85" s="58" t="str">
        <f>INDEX(functionInfo[Daily Dashboard Set-up],MATCH(FTE_stdWD[[#This Row],[Service Description]],functionInfo[Service Description For Invoicing &amp; SLA],0))</f>
        <v>Yes</v>
      </c>
      <c r="I85" s="56" t="str">
        <f>INDEX(functionInfo[Monthly Dashboard],MATCH(FTE_stdWD[[#This Row],[Service Description]],functionInfo[Service Description For Invoicing &amp; SLA],0))</f>
        <v>Yes</v>
      </c>
    </row>
    <row r="86" spans="1:9" hidden="1" x14ac:dyDescent="0.25">
      <c r="A86" s="57" t="s">
        <v>37</v>
      </c>
      <c r="B86" s="58" t="s">
        <v>47</v>
      </c>
      <c r="C86" s="58">
        <v>2025</v>
      </c>
      <c r="D86" s="58" t="s">
        <v>14</v>
      </c>
      <c r="E86" s="62">
        <v>3</v>
      </c>
      <c r="F86" s="58" t="str">
        <f>INDEX(functionInfo[Service Lead],MATCH(FTE_stdWD[[#This Row],[Service Description]],functionInfo[Service Description For Invoicing &amp; SLA],0))</f>
        <v>Winston</v>
      </c>
      <c r="G86" s="58" t="str">
        <f>FTE_stdWD[[#This Row],[Service Description]]&amp;FTE_stdWD[[#This Row],[Country]]&amp;FTE_stdWD[[#This Row],[Year]]&amp;FTE_stdWD[[#This Row],[Month]]</f>
        <v>Finance - Accounts PayableMNL2025January</v>
      </c>
      <c r="H86" s="58" t="str">
        <f>INDEX(functionInfo[Daily Dashboard Set-up],MATCH(FTE_stdWD[[#This Row],[Service Description]],functionInfo[Service Description For Invoicing &amp; SLA],0))</f>
        <v>Yes</v>
      </c>
      <c r="I86" s="56" t="str">
        <f>INDEX(functionInfo[Monthly Dashboard],MATCH(FTE_stdWD[[#This Row],[Service Description]],functionInfo[Service Description For Invoicing &amp; SLA],0))</f>
        <v>Yes</v>
      </c>
    </row>
    <row r="87" spans="1:9" hidden="1" x14ac:dyDescent="0.25">
      <c r="A87" s="57" t="s">
        <v>37</v>
      </c>
      <c r="B87" s="58" t="s">
        <v>47</v>
      </c>
      <c r="C87" s="58">
        <v>2025</v>
      </c>
      <c r="D87" s="58" t="s">
        <v>17</v>
      </c>
      <c r="E87" s="62">
        <v>3</v>
      </c>
      <c r="F87" s="58" t="str">
        <f>INDEX(functionInfo[Service Lead],MATCH(FTE_stdWD[[#This Row],[Service Description]],functionInfo[Service Description For Invoicing &amp; SLA],0))</f>
        <v>Winston</v>
      </c>
      <c r="G87" s="58" t="str">
        <f>FTE_stdWD[[#This Row],[Service Description]]&amp;FTE_stdWD[[#This Row],[Country]]&amp;FTE_stdWD[[#This Row],[Year]]&amp;FTE_stdWD[[#This Row],[Month]]</f>
        <v>Finance - Accounts PayableMNL2025February</v>
      </c>
      <c r="H87" s="58" t="str">
        <f>INDEX(functionInfo[Daily Dashboard Set-up],MATCH(FTE_stdWD[[#This Row],[Service Description]],functionInfo[Service Description For Invoicing &amp; SLA],0))</f>
        <v>Yes</v>
      </c>
      <c r="I87" s="56" t="str">
        <f>INDEX(functionInfo[Monthly Dashboard],MATCH(FTE_stdWD[[#This Row],[Service Description]],functionInfo[Service Description For Invoicing &amp; SLA],0))</f>
        <v>Yes</v>
      </c>
    </row>
    <row r="88" spans="1:9" hidden="1" x14ac:dyDescent="0.25">
      <c r="A88" s="57" t="s">
        <v>37</v>
      </c>
      <c r="B88" s="58" t="s">
        <v>47</v>
      </c>
      <c r="C88" s="58">
        <v>2025</v>
      </c>
      <c r="D88" s="58" t="s">
        <v>18</v>
      </c>
      <c r="E88" s="62">
        <v>3</v>
      </c>
      <c r="F88" s="58" t="str">
        <f>INDEX(functionInfo[Service Lead],MATCH(FTE_stdWD[[#This Row],[Service Description]],functionInfo[Service Description For Invoicing &amp; SLA],0))</f>
        <v>Winston</v>
      </c>
      <c r="G88" s="58" t="str">
        <f>FTE_stdWD[[#This Row],[Service Description]]&amp;FTE_stdWD[[#This Row],[Country]]&amp;FTE_stdWD[[#This Row],[Year]]&amp;FTE_stdWD[[#This Row],[Month]]</f>
        <v>Finance - Accounts PayableMNL2025March</v>
      </c>
      <c r="H88" s="58" t="str">
        <f>INDEX(functionInfo[Daily Dashboard Set-up],MATCH(FTE_stdWD[[#This Row],[Service Description]],functionInfo[Service Description For Invoicing &amp; SLA],0))</f>
        <v>Yes</v>
      </c>
      <c r="I88" s="56" t="str">
        <f>INDEX(functionInfo[Monthly Dashboard],MATCH(FTE_stdWD[[#This Row],[Service Description]],functionInfo[Service Description For Invoicing &amp; SLA],0))</f>
        <v>Yes</v>
      </c>
    </row>
    <row r="89" spans="1:9" hidden="1" x14ac:dyDescent="0.25">
      <c r="A89" s="57" t="s">
        <v>37</v>
      </c>
      <c r="B89" s="58" t="s">
        <v>47</v>
      </c>
      <c r="C89" s="58">
        <v>2025</v>
      </c>
      <c r="D89" s="58" t="s">
        <v>19</v>
      </c>
      <c r="E89" s="62">
        <v>3</v>
      </c>
      <c r="F89" s="58" t="str">
        <f>INDEX(functionInfo[Service Lead],MATCH(FTE_stdWD[[#This Row],[Service Description]],functionInfo[Service Description For Invoicing &amp; SLA],0))</f>
        <v>Winston</v>
      </c>
      <c r="G89" s="58" t="str">
        <f>FTE_stdWD[[#This Row],[Service Description]]&amp;FTE_stdWD[[#This Row],[Country]]&amp;FTE_stdWD[[#This Row],[Year]]&amp;FTE_stdWD[[#This Row],[Month]]</f>
        <v>Finance - Accounts PayableMNL2025April</v>
      </c>
      <c r="H89" s="58" t="str">
        <f>INDEX(functionInfo[Daily Dashboard Set-up],MATCH(FTE_stdWD[[#This Row],[Service Description]],functionInfo[Service Description For Invoicing &amp; SLA],0))</f>
        <v>Yes</v>
      </c>
      <c r="I89" s="56" t="str">
        <f>INDEX(functionInfo[Monthly Dashboard],MATCH(FTE_stdWD[[#This Row],[Service Description]],functionInfo[Service Description For Invoicing &amp; SLA],0))</f>
        <v>Yes</v>
      </c>
    </row>
    <row r="90" spans="1:9" hidden="1" x14ac:dyDescent="0.25">
      <c r="A90" s="57" t="s">
        <v>37</v>
      </c>
      <c r="B90" s="58" t="s">
        <v>47</v>
      </c>
      <c r="C90" s="58">
        <v>2025</v>
      </c>
      <c r="D90" s="58" t="s">
        <v>20</v>
      </c>
      <c r="E90" s="62">
        <v>2</v>
      </c>
      <c r="F90" s="58" t="str">
        <f>INDEX(functionInfo[Service Lead],MATCH(FTE_stdWD[[#This Row],[Service Description]],functionInfo[Service Description For Invoicing &amp; SLA],0))</f>
        <v>Winston</v>
      </c>
      <c r="G90" s="58" t="str">
        <f>FTE_stdWD[[#This Row],[Service Description]]&amp;FTE_stdWD[[#This Row],[Country]]&amp;FTE_stdWD[[#This Row],[Year]]&amp;FTE_stdWD[[#This Row],[Month]]</f>
        <v>Finance - Accounts PayableMNL2025May</v>
      </c>
      <c r="H90" s="58" t="str">
        <f>INDEX(functionInfo[Daily Dashboard Set-up],MATCH(FTE_stdWD[[#This Row],[Service Description]],functionInfo[Service Description For Invoicing &amp; SLA],0))</f>
        <v>Yes</v>
      </c>
      <c r="I90" s="56" t="str">
        <f>INDEX(functionInfo[Monthly Dashboard],MATCH(FTE_stdWD[[#This Row],[Service Description]],functionInfo[Service Description For Invoicing &amp; SLA],0))</f>
        <v>Yes</v>
      </c>
    </row>
    <row r="91" spans="1:9" hidden="1" x14ac:dyDescent="0.25">
      <c r="A91" s="57" t="s">
        <v>37</v>
      </c>
      <c r="B91" s="58" t="s">
        <v>47</v>
      </c>
      <c r="C91" s="58">
        <v>2025</v>
      </c>
      <c r="D91" s="58" t="s">
        <v>21</v>
      </c>
      <c r="E91" s="62">
        <v>2</v>
      </c>
      <c r="F91" s="58" t="str">
        <f>INDEX(functionInfo[Service Lead],MATCH(FTE_stdWD[[#This Row],[Service Description]],functionInfo[Service Description For Invoicing &amp; SLA],0))</f>
        <v>Winston</v>
      </c>
      <c r="G91" s="58" t="str">
        <f>FTE_stdWD[[#This Row],[Service Description]]&amp;FTE_stdWD[[#This Row],[Country]]&amp;FTE_stdWD[[#This Row],[Year]]&amp;FTE_stdWD[[#This Row],[Month]]</f>
        <v>Finance - Accounts PayableMNL2025June</v>
      </c>
      <c r="H91" s="58" t="str">
        <f>INDEX(functionInfo[Daily Dashboard Set-up],MATCH(FTE_stdWD[[#This Row],[Service Description]],functionInfo[Service Description For Invoicing &amp; SLA],0))</f>
        <v>Yes</v>
      </c>
      <c r="I91" s="56" t="str">
        <f>INDEX(functionInfo[Monthly Dashboard],MATCH(FTE_stdWD[[#This Row],[Service Description]],functionInfo[Service Description For Invoicing &amp; SLA],0))</f>
        <v>Yes</v>
      </c>
    </row>
    <row r="92" spans="1:9" hidden="1" x14ac:dyDescent="0.25">
      <c r="A92" s="57" t="s">
        <v>37</v>
      </c>
      <c r="B92" s="58" t="s">
        <v>47</v>
      </c>
      <c r="C92" s="58">
        <v>2025</v>
      </c>
      <c r="D92" s="58" t="s">
        <v>22</v>
      </c>
      <c r="E92" s="62">
        <v>2</v>
      </c>
      <c r="F92" s="58" t="str">
        <f>INDEX(functionInfo[Service Lead],MATCH(FTE_stdWD[[#This Row],[Service Description]],functionInfo[Service Description For Invoicing &amp; SLA],0))</f>
        <v>Winston</v>
      </c>
      <c r="G92" s="58" t="str">
        <f>FTE_stdWD[[#This Row],[Service Description]]&amp;FTE_stdWD[[#This Row],[Country]]&amp;FTE_stdWD[[#This Row],[Year]]&amp;FTE_stdWD[[#This Row],[Month]]</f>
        <v>Finance - Accounts PayableMNL2025July</v>
      </c>
      <c r="H92" s="58" t="str">
        <f>INDEX(functionInfo[Daily Dashboard Set-up],MATCH(FTE_stdWD[[#This Row],[Service Description]],functionInfo[Service Description For Invoicing &amp; SLA],0))</f>
        <v>Yes</v>
      </c>
      <c r="I92" s="56" t="str">
        <f>INDEX(functionInfo[Monthly Dashboard],MATCH(FTE_stdWD[[#This Row],[Service Description]],functionInfo[Service Description For Invoicing &amp; SLA],0))</f>
        <v>Yes</v>
      </c>
    </row>
    <row r="93" spans="1:9" hidden="1" x14ac:dyDescent="0.25">
      <c r="A93" s="57" t="s">
        <v>37</v>
      </c>
      <c r="B93" s="58" t="s">
        <v>47</v>
      </c>
      <c r="C93" s="58">
        <v>2025</v>
      </c>
      <c r="D93" s="58" t="s">
        <v>46</v>
      </c>
      <c r="E93" s="62">
        <v>2</v>
      </c>
      <c r="F93" s="58" t="str">
        <f>INDEX(functionInfo[Service Lead],MATCH(FTE_stdWD[[#This Row],[Service Description]],functionInfo[Service Description For Invoicing &amp; SLA],0))</f>
        <v>Winston</v>
      </c>
      <c r="G93" s="58" t="str">
        <f>FTE_stdWD[[#This Row],[Service Description]]&amp;FTE_stdWD[[#This Row],[Country]]&amp;FTE_stdWD[[#This Row],[Year]]&amp;FTE_stdWD[[#This Row],[Month]]</f>
        <v>Finance - Accounts PayableMNL2025August</v>
      </c>
      <c r="H93" s="58" t="str">
        <f>INDEX(functionInfo[Daily Dashboard Set-up],MATCH(FTE_stdWD[[#This Row],[Service Description]],functionInfo[Service Description For Invoicing &amp; SLA],0))</f>
        <v>Yes</v>
      </c>
      <c r="I93" s="56" t="str">
        <f>INDEX(functionInfo[Monthly Dashboard],MATCH(FTE_stdWD[[#This Row],[Service Description]],functionInfo[Service Description For Invoicing &amp; SLA],0))</f>
        <v>Yes</v>
      </c>
    </row>
    <row r="94" spans="1:9" hidden="1" x14ac:dyDescent="0.25">
      <c r="A94" s="57" t="s">
        <v>37</v>
      </c>
      <c r="B94" s="58" t="s">
        <v>47</v>
      </c>
      <c r="C94" s="58">
        <v>2025</v>
      </c>
      <c r="D94" s="58" t="s">
        <v>33</v>
      </c>
      <c r="E94" s="62"/>
      <c r="F94" s="58" t="str">
        <f>INDEX(functionInfo[Service Lead],MATCH(FTE_stdWD[[#This Row],[Service Description]],functionInfo[Service Description For Invoicing &amp; SLA],0))</f>
        <v>Winston</v>
      </c>
      <c r="G94" s="58" t="str">
        <f>FTE_stdWD[[#This Row],[Service Description]]&amp;FTE_stdWD[[#This Row],[Country]]&amp;FTE_stdWD[[#This Row],[Year]]&amp;FTE_stdWD[[#This Row],[Month]]</f>
        <v>Finance - Accounts PayableMNL2025September</v>
      </c>
      <c r="H94" s="58" t="str">
        <f>INDEX(functionInfo[Daily Dashboard Set-up],MATCH(FTE_stdWD[[#This Row],[Service Description]],functionInfo[Service Description For Invoicing &amp; SLA],0))</f>
        <v>Yes</v>
      </c>
      <c r="I94" s="56" t="str">
        <f>INDEX(functionInfo[Monthly Dashboard],MATCH(FTE_stdWD[[#This Row],[Service Description]],functionInfo[Service Description For Invoicing &amp; SLA],0))</f>
        <v>Yes</v>
      </c>
    </row>
    <row r="95" spans="1:9" hidden="1" x14ac:dyDescent="0.25">
      <c r="A95" s="57" t="s">
        <v>37</v>
      </c>
      <c r="B95" s="58" t="s">
        <v>47</v>
      </c>
      <c r="C95" s="58">
        <v>2025</v>
      </c>
      <c r="D95" s="58" t="s">
        <v>25</v>
      </c>
      <c r="E95" s="62"/>
      <c r="F95" s="58" t="str">
        <f>INDEX(functionInfo[Service Lead],MATCH(FTE_stdWD[[#This Row],[Service Description]],functionInfo[Service Description For Invoicing &amp; SLA],0))</f>
        <v>Winston</v>
      </c>
      <c r="G95" s="58" t="str">
        <f>FTE_stdWD[[#This Row],[Service Description]]&amp;FTE_stdWD[[#This Row],[Country]]&amp;FTE_stdWD[[#This Row],[Year]]&amp;FTE_stdWD[[#This Row],[Month]]</f>
        <v>Finance - Accounts PayableMNL2025October</v>
      </c>
      <c r="H95" s="58" t="str">
        <f>INDEX(functionInfo[Daily Dashboard Set-up],MATCH(FTE_stdWD[[#This Row],[Service Description]],functionInfo[Service Description For Invoicing &amp; SLA],0))</f>
        <v>Yes</v>
      </c>
      <c r="I95" s="56" t="str">
        <f>INDEX(functionInfo[Monthly Dashboard],MATCH(FTE_stdWD[[#This Row],[Service Description]],functionInfo[Service Description For Invoicing &amp; SLA],0))</f>
        <v>Yes</v>
      </c>
    </row>
    <row r="96" spans="1:9" hidden="1" x14ac:dyDescent="0.25">
      <c r="A96" s="57" t="s">
        <v>37</v>
      </c>
      <c r="B96" s="58" t="s">
        <v>47</v>
      </c>
      <c r="C96" s="58">
        <v>2025</v>
      </c>
      <c r="D96" s="58" t="s">
        <v>26</v>
      </c>
      <c r="E96" s="62"/>
      <c r="F96" s="58" t="str">
        <f>INDEX(functionInfo[Service Lead],MATCH(FTE_stdWD[[#This Row],[Service Description]],functionInfo[Service Description For Invoicing &amp; SLA],0))</f>
        <v>Winston</v>
      </c>
      <c r="G96" s="58" t="str">
        <f>FTE_stdWD[[#This Row],[Service Description]]&amp;FTE_stdWD[[#This Row],[Country]]&amp;FTE_stdWD[[#This Row],[Year]]&amp;FTE_stdWD[[#This Row],[Month]]</f>
        <v>Finance - Accounts PayableMNL2025November</v>
      </c>
      <c r="H96" s="58" t="str">
        <f>INDEX(functionInfo[Daily Dashboard Set-up],MATCH(FTE_stdWD[[#This Row],[Service Description]],functionInfo[Service Description For Invoicing &amp; SLA],0))</f>
        <v>Yes</v>
      </c>
      <c r="I96" s="56" t="str">
        <f>INDEX(functionInfo[Monthly Dashboard],MATCH(FTE_stdWD[[#This Row],[Service Description]],functionInfo[Service Description For Invoicing &amp; SLA],0))</f>
        <v>Yes</v>
      </c>
    </row>
    <row r="97" spans="1:9" hidden="1" x14ac:dyDescent="0.25">
      <c r="A97" s="57" t="s">
        <v>37</v>
      </c>
      <c r="B97" s="58" t="s">
        <v>47</v>
      </c>
      <c r="C97" s="58">
        <v>2025</v>
      </c>
      <c r="D97" s="58" t="s">
        <v>27</v>
      </c>
      <c r="E97" s="62"/>
      <c r="F97" s="58" t="str">
        <f>INDEX(functionInfo[Service Lead],MATCH(FTE_stdWD[[#This Row],[Service Description]],functionInfo[Service Description For Invoicing &amp; SLA],0))</f>
        <v>Winston</v>
      </c>
      <c r="G97" s="58" t="str">
        <f>FTE_stdWD[[#This Row],[Service Description]]&amp;FTE_stdWD[[#This Row],[Country]]&amp;FTE_stdWD[[#This Row],[Year]]&amp;FTE_stdWD[[#This Row],[Month]]</f>
        <v>Finance - Accounts PayableMNL2025December</v>
      </c>
      <c r="H97" s="58" t="str">
        <f>INDEX(functionInfo[Daily Dashboard Set-up],MATCH(FTE_stdWD[[#This Row],[Service Description]],functionInfo[Service Description For Invoicing &amp; SLA],0))</f>
        <v>Yes</v>
      </c>
      <c r="I97" s="56" t="str">
        <f>INDEX(functionInfo[Monthly Dashboard],MATCH(FTE_stdWD[[#This Row],[Service Description]],functionInfo[Service Description For Invoicing &amp; SLA],0))</f>
        <v>Yes</v>
      </c>
    </row>
    <row r="98" spans="1:9" ht="30" hidden="1" x14ac:dyDescent="0.25">
      <c r="A98" s="57" t="s">
        <v>15</v>
      </c>
      <c r="B98" s="58" t="s">
        <v>45</v>
      </c>
      <c r="C98" s="58">
        <v>2025</v>
      </c>
      <c r="D98" s="58" t="s">
        <v>14</v>
      </c>
      <c r="E98" s="62">
        <v>1</v>
      </c>
      <c r="F98" s="58" t="str">
        <f>INDEX(functionInfo[Service Lead],MATCH(FTE_stdWD[[#This Row],[Service Description]],functionInfo[Service Description For Invoicing &amp; SLA],0))</f>
        <v>Sasha Yan</v>
      </c>
      <c r="G98" s="58" t="str">
        <f>FTE_stdWD[[#This Row],[Service Description]]&amp;FTE_stdWD[[#This Row],[Country]]&amp;FTE_stdWD[[#This Row],[Year]]&amp;FTE_stdWD[[#This Row],[Month]]</f>
        <v>Sea Freight - Accounts Payable OperationWUH2025January</v>
      </c>
      <c r="H98" s="58" t="str">
        <f>INDEX(functionInfo[Daily Dashboard Set-up],MATCH(FTE_stdWD[[#This Row],[Service Description]],functionInfo[Service Description For Invoicing &amp; SLA],0))</f>
        <v>No</v>
      </c>
      <c r="I98" s="56" t="str">
        <f>INDEX(functionInfo[Monthly Dashboard],MATCH(FTE_stdWD[[#This Row],[Service Description]],functionInfo[Service Description For Invoicing &amp; SLA],0))</f>
        <v>No</v>
      </c>
    </row>
    <row r="99" spans="1:9" ht="30" hidden="1" x14ac:dyDescent="0.25">
      <c r="A99" s="57" t="s">
        <v>15</v>
      </c>
      <c r="B99" s="58" t="s">
        <v>45</v>
      </c>
      <c r="C99" s="58">
        <v>2025</v>
      </c>
      <c r="D99" s="58" t="s">
        <v>17</v>
      </c>
      <c r="E99" s="62">
        <v>1</v>
      </c>
      <c r="F99" s="58" t="str">
        <f>INDEX(functionInfo[Service Lead],MATCH(FTE_stdWD[[#This Row],[Service Description]],functionInfo[Service Description For Invoicing &amp; SLA],0))</f>
        <v>Sasha Yan</v>
      </c>
      <c r="G99" s="58" t="str">
        <f>FTE_stdWD[[#This Row],[Service Description]]&amp;FTE_stdWD[[#This Row],[Country]]&amp;FTE_stdWD[[#This Row],[Year]]&amp;FTE_stdWD[[#This Row],[Month]]</f>
        <v>Sea Freight - Accounts Payable OperationWUH2025February</v>
      </c>
      <c r="H99" s="58" t="str">
        <f>INDEX(functionInfo[Daily Dashboard Set-up],MATCH(FTE_stdWD[[#This Row],[Service Description]],functionInfo[Service Description For Invoicing &amp; SLA],0))</f>
        <v>No</v>
      </c>
      <c r="I99" s="56" t="str">
        <f>INDEX(functionInfo[Monthly Dashboard],MATCH(FTE_stdWD[[#This Row],[Service Description]],functionInfo[Service Description For Invoicing &amp; SLA],0))</f>
        <v>No</v>
      </c>
    </row>
    <row r="100" spans="1:9" ht="30" hidden="1" x14ac:dyDescent="0.25">
      <c r="A100" s="57" t="s">
        <v>15</v>
      </c>
      <c r="B100" s="58" t="s">
        <v>45</v>
      </c>
      <c r="C100" s="58">
        <v>2025</v>
      </c>
      <c r="D100" s="58" t="s">
        <v>18</v>
      </c>
      <c r="E100" s="62">
        <v>1</v>
      </c>
      <c r="F100" s="58" t="str">
        <f>INDEX(functionInfo[Service Lead],MATCH(FTE_stdWD[[#This Row],[Service Description]],functionInfo[Service Description For Invoicing &amp; SLA],0))</f>
        <v>Sasha Yan</v>
      </c>
      <c r="G100" s="58" t="str">
        <f>FTE_stdWD[[#This Row],[Service Description]]&amp;FTE_stdWD[[#This Row],[Country]]&amp;FTE_stdWD[[#This Row],[Year]]&amp;FTE_stdWD[[#This Row],[Month]]</f>
        <v>Sea Freight - Accounts Payable OperationWUH2025March</v>
      </c>
      <c r="H100" s="58" t="str">
        <f>INDEX(functionInfo[Daily Dashboard Set-up],MATCH(FTE_stdWD[[#This Row],[Service Description]],functionInfo[Service Description For Invoicing &amp; SLA],0))</f>
        <v>No</v>
      </c>
      <c r="I100" s="56" t="str">
        <f>INDEX(functionInfo[Monthly Dashboard],MATCH(FTE_stdWD[[#This Row],[Service Description]],functionInfo[Service Description For Invoicing &amp; SLA],0))</f>
        <v>No</v>
      </c>
    </row>
    <row r="101" spans="1:9" ht="30" hidden="1" x14ac:dyDescent="0.25">
      <c r="A101" s="57" t="s">
        <v>15</v>
      </c>
      <c r="B101" s="58" t="s">
        <v>45</v>
      </c>
      <c r="C101" s="58">
        <v>2025</v>
      </c>
      <c r="D101" s="58" t="s">
        <v>19</v>
      </c>
      <c r="E101" s="62">
        <v>1</v>
      </c>
      <c r="F101" s="58" t="str">
        <f>INDEX(functionInfo[Service Lead],MATCH(FTE_stdWD[[#This Row],[Service Description]],functionInfo[Service Description For Invoicing &amp; SLA],0))</f>
        <v>Sasha Yan</v>
      </c>
      <c r="G101" s="58" t="str">
        <f>FTE_stdWD[[#This Row],[Service Description]]&amp;FTE_stdWD[[#This Row],[Country]]&amp;FTE_stdWD[[#This Row],[Year]]&amp;FTE_stdWD[[#This Row],[Month]]</f>
        <v>Sea Freight - Accounts Payable OperationWUH2025April</v>
      </c>
      <c r="H101" s="58" t="str">
        <f>INDEX(functionInfo[Daily Dashboard Set-up],MATCH(FTE_stdWD[[#This Row],[Service Description]],functionInfo[Service Description For Invoicing &amp; SLA],0))</f>
        <v>No</v>
      </c>
      <c r="I101" s="56" t="str">
        <f>INDEX(functionInfo[Monthly Dashboard],MATCH(FTE_stdWD[[#This Row],[Service Description]],functionInfo[Service Description For Invoicing &amp; SLA],0))</f>
        <v>No</v>
      </c>
    </row>
    <row r="102" spans="1:9" ht="30" hidden="1" x14ac:dyDescent="0.25">
      <c r="A102" s="57" t="s">
        <v>15</v>
      </c>
      <c r="B102" s="58" t="s">
        <v>45</v>
      </c>
      <c r="C102" s="58">
        <v>2025</v>
      </c>
      <c r="D102" s="58" t="s">
        <v>20</v>
      </c>
      <c r="E102" s="62">
        <v>1</v>
      </c>
      <c r="F102" s="58" t="str">
        <f>INDEX(functionInfo[Service Lead],MATCH(FTE_stdWD[[#This Row],[Service Description]],functionInfo[Service Description For Invoicing &amp; SLA],0))</f>
        <v>Sasha Yan</v>
      </c>
      <c r="G102" s="58" t="str">
        <f>FTE_stdWD[[#This Row],[Service Description]]&amp;FTE_stdWD[[#This Row],[Country]]&amp;FTE_stdWD[[#This Row],[Year]]&amp;FTE_stdWD[[#This Row],[Month]]</f>
        <v>Sea Freight - Accounts Payable OperationWUH2025May</v>
      </c>
      <c r="H102" s="58" t="str">
        <f>INDEX(functionInfo[Daily Dashboard Set-up],MATCH(FTE_stdWD[[#This Row],[Service Description]],functionInfo[Service Description For Invoicing &amp; SLA],0))</f>
        <v>No</v>
      </c>
      <c r="I102" s="56" t="str">
        <f>INDEX(functionInfo[Monthly Dashboard],MATCH(FTE_stdWD[[#This Row],[Service Description]],functionInfo[Service Description For Invoicing &amp; SLA],0))</f>
        <v>No</v>
      </c>
    </row>
    <row r="103" spans="1:9" ht="30" hidden="1" x14ac:dyDescent="0.25">
      <c r="A103" s="57" t="s">
        <v>15</v>
      </c>
      <c r="B103" s="58" t="s">
        <v>45</v>
      </c>
      <c r="C103" s="58">
        <v>2025</v>
      </c>
      <c r="D103" s="58" t="s">
        <v>21</v>
      </c>
      <c r="E103" s="62">
        <v>1</v>
      </c>
      <c r="F103" s="58" t="str">
        <f>INDEX(functionInfo[Service Lead],MATCH(FTE_stdWD[[#This Row],[Service Description]],functionInfo[Service Description For Invoicing &amp; SLA],0))</f>
        <v>Sasha Yan</v>
      </c>
      <c r="G103" s="58" t="str">
        <f>FTE_stdWD[[#This Row],[Service Description]]&amp;FTE_stdWD[[#This Row],[Country]]&amp;FTE_stdWD[[#This Row],[Year]]&amp;FTE_stdWD[[#This Row],[Month]]</f>
        <v>Sea Freight - Accounts Payable OperationWUH2025June</v>
      </c>
      <c r="H103" s="58" t="str">
        <f>INDEX(functionInfo[Daily Dashboard Set-up],MATCH(FTE_stdWD[[#This Row],[Service Description]],functionInfo[Service Description For Invoicing &amp; SLA],0))</f>
        <v>No</v>
      </c>
      <c r="I103" s="56" t="str">
        <f>INDEX(functionInfo[Monthly Dashboard],MATCH(FTE_stdWD[[#This Row],[Service Description]],functionInfo[Service Description For Invoicing &amp; SLA],0))</f>
        <v>No</v>
      </c>
    </row>
    <row r="104" spans="1:9" ht="30" hidden="1" x14ac:dyDescent="0.25">
      <c r="A104" s="57" t="s">
        <v>15</v>
      </c>
      <c r="B104" s="58" t="s">
        <v>45</v>
      </c>
      <c r="C104" s="58">
        <v>2025</v>
      </c>
      <c r="D104" s="58" t="s">
        <v>22</v>
      </c>
      <c r="E104" s="62">
        <v>1</v>
      </c>
      <c r="F104" s="58" t="str">
        <f>INDEX(functionInfo[Service Lead],MATCH(FTE_stdWD[[#This Row],[Service Description]],functionInfo[Service Description For Invoicing &amp; SLA],0))</f>
        <v>Sasha Yan</v>
      </c>
      <c r="G104" s="58" t="str">
        <f>FTE_stdWD[[#This Row],[Service Description]]&amp;FTE_stdWD[[#This Row],[Country]]&amp;FTE_stdWD[[#This Row],[Year]]&amp;FTE_stdWD[[#This Row],[Month]]</f>
        <v>Sea Freight - Accounts Payable OperationWUH2025July</v>
      </c>
      <c r="H104" s="58" t="str">
        <f>INDEX(functionInfo[Daily Dashboard Set-up],MATCH(FTE_stdWD[[#This Row],[Service Description]],functionInfo[Service Description For Invoicing &amp; SLA],0))</f>
        <v>No</v>
      </c>
      <c r="I104" s="56" t="str">
        <f>INDEX(functionInfo[Monthly Dashboard],MATCH(FTE_stdWD[[#This Row],[Service Description]],functionInfo[Service Description For Invoicing &amp; SLA],0))</f>
        <v>No</v>
      </c>
    </row>
    <row r="105" spans="1:9" ht="30" hidden="1" x14ac:dyDescent="0.25">
      <c r="A105" s="57" t="s">
        <v>15</v>
      </c>
      <c r="B105" s="58" t="s">
        <v>45</v>
      </c>
      <c r="C105" s="58">
        <v>2025</v>
      </c>
      <c r="D105" s="58" t="s">
        <v>46</v>
      </c>
      <c r="E105" s="62">
        <v>1</v>
      </c>
      <c r="F105" s="58" t="str">
        <f>INDEX(functionInfo[Service Lead],MATCH(FTE_stdWD[[#This Row],[Service Description]],functionInfo[Service Description For Invoicing &amp; SLA],0))</f>
        <v>Sasha Yan</v>
      </c>
      <c r="G105" s="58" t="str">
        <f>FTE_stdWD[[#This Row],[Service Description]]&amp;FTE_stdWD[[#This Row],[Country]]&amp;FTE_stdWD[[#This Row],[Year]]&amp;FTE_stdWD[[#This Row],[Month]]</f>
        <v>Sea Freight - Accounts Payable OperationWUH2025August</v>
      </c>
      <c r="H105" s="58" t="str">
        <f>INDEX(functionInfo[Daily Dashboard Set-up],MATCH(FTE_stdWD[[#This Row],[Service Description]],functionInfo[Service Description For Invoicing &amp; SLA],0))</f>
        <v>No</v>
      </c>
      <c r="I105" s="56" t="str">
        <f>INDEX(functionInfo[Monthly Dashboard],MATCH(FTE_stdWD[[#This Row],[Service Description]],functionInfo[Service Description For Invoicing &amp; SLA],0))</f>
        <v>No</v>
      </c>
    </row>
    <row r="106" spans="1:9" ht="30" hidden="1" x14ac:dyDescent="0.25">
      <c r="A106" s="57" t="s">
        <v>15</v>
      </c>
      <c r="B106" s="58" t="s">
        <v>45</v>
      </c>
      <c r="C106" s="58">
        <v>2025</v>
      </c>
      <c r="D106" s="58" t="s">
        <v>33</v>
      </c>
      <c r="E106" s="62">
        <v>1</v>
      </c>
      <c r="F106" s="58" t="str">
        <f>INDEX(functionInfo[Service Lead],MATCH(FTE_stdWD[[#This Row],[Service Description]],functionInfo[Service Description For Invoicing &amp; SLA],0))</f>
        <v>Sasha Yan</v>
      </c>
      <c r="G106" s="58" t="str">
        <f>FTE_stdWD[[#This Row],[Service Description]]&amp;FTE_stdWD[[#This Row],[Country]]&amp;FTE_stdWD[[#This Row],[Year]]&amp;FTE_stdWD[[#This Row],[Month]]</f>
        <v>Sea Freight - Accounts Payable OperationWUH2025September</v>
      </c>
      <c r="H106" s="58" t="str">
        <f>INDEX(functionInfo[Daily Dashboard Set-up],MATCH(FTE_stdWD[[#This Row],[Service Description]],functionInfo[Service Description For Invoicing &amp; SLA],0))</f>
        <v>No</v>
      </c>
      <c r="I106" s="56" t="str">
        <f>INDEX(functionInfo[Monthly Dashboard],MATCH(FTE_stdWD[[#This Row],[Service Description]],functionInfo[Service Description For Invoicing &amp; SLA],0))</f>
        <v>No</v>
      </c>
    </row>
    <row r="107" spans="1:9" ht="30" hidden="1" x14ac:dyDescent="0.25">
      <c r="A107" s="57" t="s">
        <v>15</v>
      </c>
      <c r="B107" s="58" t="s">
        <v>45</v>
      </c>
      <c r="C107" s="58">
        <v>2025</v>
      </c>
      <c r="D107" s="58" t="s">
        <v>25</v>
      </c>
      <c r="E107" s="62">
        <v>1</v>
      </c>
      <c r="F107" s="58" t="str">
        <f>INDEX(functionInfo[Service Lead],MATCH(FTE_stdWD[[#This Row],[Service Description]],functionInfo[Service Description For Invoicing &amp; SLA],0))</f>
        <v>Sasha Yan</v>
      </c>
      <c r="G107" s="58" t="str">
        <f>FTE_stdWD[[#This Row],[Service Description]]&amp;FTE_stdWD[[#This Row],[Country]]&amp;FTE_stdWD[[#This Row],[Year]]&amp;FTE_stdWD[[#This Row],[Month]]</f>
        <v>Sea Freight - Accounts Payable OperationWUH2025October</v>
      </c>
      <c r="H107" s="58" t="str">
        <f>INDEX(functionInfo[Daily Dashboard Set-up],MATCH(FTE_stdWD[[#This Row],[Service Description]],functionInfo[Service Description For Invoicing &amp; SLA],0))</f>
        <v>No</v>
      </c>
      <c r="I107" s="56" t="str">
        <f>INDEX(functionInfo[Monthly Dashboard],MATCH(FTE_stdWD[[#This Row],[Service Description]],functionInfo[Service Description For Invoicing &amp; SLA],0))</f>
        <v>No</v>
      </c>
    </row>
    <row r="108" spans="1:9" ht="30" hidden="1" x14ac:dyDescent="0.25">
      <c r="A108" s="57" t="s">
        <v>15</v>
      </c>
      <c r="B108" s="58" t="s">
        <v>45</v>
      </c>
      <c r="C108" s="58">
        <v>2025</v>
      </c>
      <c r="D108" s="58" t="s">
        <v>26</v>
      </c>
      <c r="E108" s="62">
        <v>1</v>
      </c>
      <c r="F108" s="58" t="str">
        <f>INDEX(functionInfo[Service Lead],MATCH(FTE_stdWD[[#This Row],[Service Description]],functionInfo[Service Description For Invoicing &amp; SLA],0))</f>
        <v>Sasha Yan</v>
      </c>
      <c r="G108" s="58" t="str">
        <f>FTE_stdWD[[#This Row],[Service Description]]&amp;FTE_stdWD[[#This Row],[Country]]&amp;FTE_stdWD[[#This Row],[Year]]&amp;FTE_stdWD[[#This Row],[Month]]</f>
        <v>Sea Freight - Accounts Payable OperationWUH2025November</v>
      </c>
      <c r="H108" s="58" t="str">
        <f>INDEX(functionInfo[Daily Dashboard Set-up],MATCH(FTE_stdWD[[#This Row],[Service Description]],functionInfo[Service Description For Invoicing &amp; SLA],0))</f>
        <v>No</v>
      </c>
      <c r="I108" s="56" t="str">
        <f>INDEX(functionInfo[Monthly Dashboard],MATCH(FTE_stdWD[[#This Row],[Service Description]],functionInfo[Service Description For Invoicing &amp; SLA],0))</f>
        <v>No</v>
      </c>
    </row>
    <row r="109" spans="1:9" ht="30" hidden="1" x14ac:dyDescent="0.25">
      <c r="A109" s="57" t="s">
        <v>15</v>
      </c>
      <c r="B109" s="58" t="s">
        <v>45</v>
      </c>
      <c r="C109" s="58">
        <v>2025</v>
      </c>
      <c r="D109" s="58" t="s">
        <v>27</v>
      </c>
      <c r="E109" s="62">
        <v>1</v>
      </c>
      <c r="F109" s="58" t="str">
        <f>INDEX(functionInfo[Service Lead],MATCH(FTE_stdWD[[#This Row],[Service Description]],functionInfo[Service Description For Invoicing &amp; SLA],0))</f>
        <v>Sasha Yan</v>
      </c>
      <c r="G109" s="58" t="str">
        <f>FTE_stdWD[[#This Row],[Service Description]]&amp;FTE_stdWD[[#This Row],[Country]]&amp;FTE_stdWD[[#This Row],[Year]]&amp;FTE_stdWD[[#This Row],[Month]]</f>
        <v>Sea Freight - Accounts Payable OperationWUH2025December</v>
      </c>
      <c r="H109" s="58" t="str">
        <f>INDEX(functionInfo[Daily Dashboard Set-up],MATCH(FTE_stdWD[[#This Row],[Service Description]],functionInfo[Service Description For Invoicing &amp; SLA],0))</f>
        <v>No</v>
      </c>
      <c r="I109" s="56" t="str">
        <f>INDEX(functionInfo[Monthly Dashboard],MATCH(FTE_stdWD[[#This Row],[Service Description]],functionInfo[Service Description For Invoicing &amp; SLA],0))</f>
        <v>No</v>
      </c>
    </row>
    <row r="110" spans="1:9" ht="30" hidden="1" x14ac:dyDescent="0.25">
      <c r="A110" s="57" t="s">
        <v>15</v>
      </c>
      <c r="B110" s="58" t="s">
        <v>47</v>
      </c>
      <c r="C110" s="58">
        <v>2025</v>
      </c>
      <c r="D110" s="58" t="s">
        <v>14</v>
      </c>
      <c r="E110" s="62">
        <v>13</v>
      </c>
      <c r="F110" s="58" t="str">
        <f>INDEX(functionInfo[Service Lead],MATCH(FTE_stdWD[[#This Row],[Service Description]],functionInfo[Service Description For Invoicing &amp; SLA],0))</f>
        <v>Sasha Yan</v>
      </c>
      <c r="G110" s="58" t="str">
        <f>FTE_stdWD[[#This Row],[Service Description]]&amp;FTE_stdWD[[#This Row],[Country]]&amp;FTE_stdWD[[#This Row],[Year]]&amp;FTE_stdWD[[#This Row],[Month]]</f>
        <v>Sea Freight - Accounts Payable OperationMNL2025January</v>
      </c>
      <c r="H110" s="58" t="str">
        <f>INDEX(functionInfo[Daily Dashboard Set-up],MATCH(FTE_stdWD[[#This Row],[Service Description]],functionInfo[Service Description For Invoicing &amp; SLA],0))</f>
        <v>No</v>
      </c>
      <c r="I110" s="56" t="str">
        <f>INDEX(functionInfo[Monthly Dashboard],MATCH(FTE_stdWD[[#This Row],[Service Description]],functionInfo[Service Description For Invoicing &amp; SLA],0))</f>
        <v>No</v>
      </c>
    </row>
    <row r="111" spans="1:9" ht="30" hidden="1" x14ac:dyDescent="0.25">
      <c r="A111" s="57" t="s">
        <v>15</v>
      </c>
      <c r="B111" s="58" t="s">
        <v>47</v>
      </c>
      <c r="C111" s="58">
        <v>2025</v>
      </c>
      <c r="D111" s="58" t="s">
        <v>17</v>
      </c>
      <c r="E111" s="62">
        <v>13</v>
      </c>
      <c r="F111" s="58" t="str">
        <f>INDEX(functionInfo[Service Lead],MATCH(FTE_stdWD[[#This Row],[Service Description]],functionInfo[Service Description For Invoicing &amp; SLA],0))</f>
        <v>Sasha Yan</v>
      </c>
      <c r="G111" s="58" t="str">
        <f>FTE_stdWD[[#This Row],[Service Description]]&amp;FTE_stdWD[[#This Row],[Country]]&amp;FTE_stdWD[[#This Row],[Year]]&amp;FTE_stdWD[[#This Row],[Month]]</f>
        <v>Sea Freight - Accounts Payable OperationMNL2025February</v>
      </c>
      <c r="H111" s="58" t="str">
        <f>INDEX(functionInfo[Daily Dashboard Set-up],MATCH(FTE_stdWD[[#This Row],[Service Description]],functionInfo[Service Description For Invoicing &amp; SLA],0))</f>
        <v>No</v>
      </c>
      <c r="I111" s="56" t="str">
        <f>INDEX(functionInfo[Monthly Dashboard],MATCH(FTE_stdWD[[#This Row],[Service Description]],functionInfo[Service Description For Invoicing &amp; SLA],0))</f>
        <v>No</v>
      </c>
    </row>
    <row r="112" spans="1:9" ht="30" hidden="1" x14ac:dyDescent="0.25">
      <c r="A112" s="57" t="s">
        <v>15</v>
      </c>
      <c r="B112" s="58" t="s">
        <v>47</v>
      </c>
      <c r="C112" s="58">
        <v>2025</v>
      </c>
      <c r="D112" s="58" t="s">
        <v>18</v>
      </c>
      <c r="E112" s="62">
        <v>11</v>
      </c>
      <c r="F112" s="58" t="str">
        <f>INDEX(functionInfo[Service Lead],MATCH(FTE_stdWD[[#This Row],[Service Description]],functionInfo[Service Description For Invoicing &amp; SLA],0))</f>
        <v>Sasha Yan</v>
      </c>
      <c r="G112" s="58" t="str">
        <f>FTE_stdWD[[#This Row],[Service Description]]&amp;FTE_stdWD[[#This Row],[Country]]&amp;FTE_stdWD[[#This Row],[Year]]&amp;FTE_stdWD[[#This Row],[Month]]</f>
        <v>Sea Freight - Accounts Payable OperationMNL2025March</v>
      </c>
      <c r="H112" s="58" t="str">
        <f>INDEX(functionInfo[Daily Dashboard Set-up],MATCH(FTE_stdWD[[#This Row],[Service Description]],functionInfo[Service Description For Invoicing &amp; SLA],0))</f>
        <v>No</v>
      </c>
      <c r="I112" s="56" t="str">
        <f>INDEX(functionInfo[Monthly Dashboard],MATCH(FTE_stdWD[[#This Row],[Service Description]],functionInfo[Service Description For Invoicing &amp; SLA],0))</f>
        <v>No</v>
      </c>
    </row>
    <row r="113" spans="1:9" ht="30" hidden="1" x14ac:dyDescent="0.25">
      <c r="A113" s="57" t="s">
        <v>15</v>
      </c>
      <c r="B113" s="58" t="s">
        <v>47</v>
      </c>
      <c r="C113" s="58">
        <v>2025</v>
      </c>
      <c r="D113" s="58" t="s">
        <v>19</v>
      </c>
      <c r="E113" s="62">
        <v>10</v>
      </c>
      <c r="F113" s="58" t="str">
        <f>INDEX(functionInfo[Service Lead],MATCH(FTE_stdWD[[#This Row],[Service Description]],functionInfo[Service Description For Invoicing &amp; SLA],0))</f>
        <v>Sasha Yan</v>
      </c>
      <c r="G113" s="58" t="str">
        <f>FTE_stdWD[[#This Row],[Service Description]]&amp;FTE_stdWD[[#This Row],[Country]]&amp;FTE_stdWD[[#This Row],[Year]]&amp;FTE_stdWD[[#This Row],[Month]]</f>
        <v>Sea Freight - Accounts Payable OperationMNL2025April</v>
      </c>
      <c r="H113" s="58" t="str">
        <f>INDEX(functionInfo[Daily Dashboard Set-up],MATCH(FTE_stdWD[[#This Row],[Service Description]],functionInfo[Service Description For Invoicing &amp; SLA],0))</f>
        <v>No</v>
      </c>
      <c r="I113" s="56" t="str">
        <f>INDEX(functionInfo[Monthly Dashboard],MATCH(FTE_stdWD[[#This Row],[Service Description]],functionInfo[Service Description For Invoicing &amp; SLA],0))</f>
        <v>No</v>
      </c>
    </row>
    <row r="114" spans="1:9" ht="30" hidden="1" x14ac:dyDescent="0.25">
      <c r="A114" s="57" t="s">
        <v>15</v>
      </c>
      <c r="B114" s="58" t="s">
        <v>47</v>
      </c>
      <c r="C114" s="58">
        <v>2025</v>
      </c>
      <c r="D114" s="58" t="s">
        <v>20</v>
      </c>
      <c r="E114" s="62">
        <v>9</v>
      </c>
      <c r="F114" s="58" t="str">
        <f>INDEX(functionInfo[Service Lead],MATCH(FTE_stdWD[[#This Row],[Service Description]],functionInfo[Service Description For Invoicing &amp; SLA],0))</f>
        <v>Sasha Yan</v>
      </c>
      <c r="G114" s="58" t="str">
        <f>FTE_stdWD[[#This Row],[Service Description]]&amp;FTE_stdWD[[#This Row],[Country]]&amp;FTE_stdWD[[#This Row],[Year]]&amp;FTE_stdWD[[#This Row],[Month]]</f>
        <v>Sea Freight - Accounts Payable OperationMNL2025May</v>
      </c>
      <c r="H114" s="58" t="str">
        <f>INDEX(functionInfo[Daily Dashboard Set-up],MATCH(FTE_stdWD[[#This Row],[Service Description]],functionInfo[Service Description For Invoicing &amp; SLA],0))</f>
        <v>No</v>
      </c>
      <c r="I114" s="56" t="str">
        <f>INDEX(functionInfo[Monthly Dashboard],MATCH(FTE_stdWD[[#This Row],[Service Description]],functionInfo[Service Description For Invoicing &amp; SLA],0))</f>
        <v>No</v>
      </c>
    </row>
    <row r="115" spans="1:9" ht="30" hidden="1" x14ac:dyDescent="0.25">
      <c r="A115" s="57" t="s">
        <v>15</v>
      </c>
      <c r="B115" s="58" t="s">
        <v>47</v>
      </c>
      <c r="C115" s="58">
        <v>2025</v>
      </c>
      <c r="D115" s="58" t="s">
        <v>21</v>
      </c>
      <c r="E115" s="62"/>
      <c r="F115" s="58" t="str">
        <f>INDEX(functionInfo[Service Lead],MATCH(FTE_stdWD[[#This Row],[Service Description]],functionInfo[Service Description For Invoicing &amp; SLA],0))</f>
        <v>Sasha Yan</v>
      </c>
      <c r="G115" s="58" t="str">
        <f>FTE_stdWD[[#This Row],[Service Description]]&amp;FTE_stdWD[[#This Row],[Country]]&amp;FTE_stdWD[[#This Row],[Year]]&amp;FTE_stdWD[[#This Row],[Month]]</f>
        <v>Sea Freight - Accounts Payable OperationMNL2025June</v>
      </c>
      <c r="H115" s="58" t="str">
        <f>INDEX(functionInfo[Daily Dashboard Set-up],MATCH(FTE_stdWD[[#This Row],[Service Description]],functionInfo[Service Description For Invoicing &amp; SLA],0))</f>
        <v>No</v>
      </c>
      <c r="I115" s="56" t="str">
        <f>INDEX(functionInfo[Monthly Dashboard],MATCH(FTE_stdWD[[#This Row],[Service Description]],functionInfo[Service Description For Invoicing &amp; SLA],0))</f>
        <v>No</v>
      </c>
    </row>
    <row r="116" spans="1:9" ht="30" hidden="1" x14ac:dyDescent="0.25">
      <c r="A116" s="57" t="s">
        <v>15</v>
      </c>
      <c r="B116" s="58" t="s">
        <v>47</v>
      </c>
      <c r="C116" s="58">
        <v>2025</v>
      </c>
      <c r="D116" s="58" t="s">
        <v>22</v>
      </c>
      <c r="E116" s="62"/>
      <c r="F116" s="58" t="str">
        <f>INDEX(functionInfo[Service Lead],MATCH(FTE_stdWD[[#This Row],[Service Description]],functionInfo[Service Description For Invoicing &amp; SLA],0))</f>
        <v>Sasha Yan</v>
      </c>
      <c r="G116" s="58" t="str">
        <f>FTE_stdWD[[#This Row],[Service Description]]&amp;FTE_stdWD[[#This Row],[Country]]&amp;FTE_stdWD[[#This Row],[Year]]&amp;FTE_stdWD[[#This Row],[Month]]</f>
        <v>Sea Freight - Accounts Payable OperationMNL2025July</v>
      </c>
      <c r="H116" s="58" t="str">
        <f>INDEX(functionInfo[Daily Dashboard Set-up],MATCH(FTE_stdWD[[#This Row],[Service Description]],functionInfo[Service Description For Invoicing &amp; SLA],0))</f>
        <v>No</v>
      </c>
      <c r="I116" s="56" t="str">
        <f>INDEX(functionInfo[Monthly Dashboard],MATCH(FTE_stdWD[[#This Row],[Service Description]],functionInfo[Service Description For Invoicing &amp; SLA],0))</f>
        <v>No</v>
      </c>
    </row>
    <row r="117" spans="1:9" ht="30" hidden="1" x14ac:dyDescent="0.25">
      <c r="A117" s="57" t="s">
        <v>15</v>
      </c>
      <c r="B117" s="58" t="s">
        <v>47</v>
      </c>
      <c r="C117" s="58">
        <v>2025</v>
      </c>
      <c r="D117" s="58" t="s">
        <v>46</v>
      </c>
      <c r="E117" s="62"/>
      <c r="F117" s="58" t="str">
        <f>INDEX(functionInfo[Service Lead],MATCH(FTE_stdWD[[#This Row],[Service Description]],functionInfo[Service Description For Invoicing &amp; SLA],0))</f>
        <v>Sasha Yan</v>
      </c>
      <c r="G117" s="58" t="str">
        <f>FTE_stdWD[[#This Row],[Service Description]]&amp;FTE_stdWD[[#This Row],[Country]]&amp;FTE_stdWD[[#This Row],[Year]]&amp;FTE_stdWD[[#This Row],[Month]]</f>
        <v>Sea Freight - Accounts Payable OperationMNL2025August</v>
      </c>
      <c r="H117" s="58" t="str">
        <f>INDEX(functionInfo[Daily Dashboard Set-up],MATCH(FTE_stdWD[[#This Row],[Service Description]],functionInfo[Service Description For Invoicing &amp; SLA],0))</f>
        <v>No</v>
      </c>
      <c r="I117" s="56" t="str">
        <f>INDEX(functionInfo[Monthly Dashboard],MATCH(FTE_stdWD[[#This Row],[Service Description]],functionInfo[Service Description For Invoicing &amp; SLA],0))</f>
        <v>No</v>
      </c>
    </row>
    <row r="118" spans="1:9" ht="30" hidden="1" x14ac:dyDescent="0.25">
      <c r="A118" s="57" t="s">
        <v>15</v>
      </c>
      <c r="B118" s="58" t="s">
        <v>47</v>
      </c>
      <c r="C118" s="58">
        <v>2025</v>
      </c>
      <c r="D118" s="58" t="s">
        <v>33</v>
      </c>
      <c r="E118" s="62"/>
      <c r="F118" s="58" t="str">
        <f>INDEX(functionInfo[Service Lead],MATCH(FTE_stdWD[[#This Row],[Service Description]],functionInfo[Service Description For Invoicing &amp; SLA],0))</f>
        <v>Sasha Yan</v>
      </c>
      <c r="G118" s="58" t="str">
        <f>FTE_stdWD[[#This Row],[Service Description]]&amp;FTE_stdWD[[#This Row],[Country]]&amp;FTE_stdWD[[#This Row],[Year]]&amp;FTE_stdWD[[#This Row],[Month]]</f>
        <v>Sea Freight - Accounts Payable OperationMNL2025September</v>
      </c>
      <c r="H118" s="58" t="str">
        <f>INDEX(functionInfo[Daily Dashboard Set-up],MATCH(FTE_stdWD[[#This Row],[Service Description]],functionInfo[Service Description For Invoicing &amp; SLA],0))</f>
        <v>No</v>
      </c>
      <c r="I118" s="56" t="str">
        <f>INDEX(functionInfo[Monthly Dashboard],MATCH(FTE_stdWD[[#This Row],[Service Description]],functionInfo[Service Description For Invoicing &amp; SLA],0))</f>
        <v>No</v>
      </c>
    </row>
    <row r="119" spans="1:9" ht="30" hidden="1" x14ac:dyDescent="0.25">
      <c r="A119" s="57" t="s">
        <v>15</v>
      </c>
      <c r="B119" s="58" t="s">
        <v>47</v>
      </c>
      <c r="C119" s="58">
        <v>2025</v>
      </c>
      <c r="D119" s="58" t="s">
        <v>25</v>
      </c>
      <c r="E119" s="62"/>
      <c r="F119" s="58" t="str">
        <f>INDEX(functionInfo[Service Lead],MATCH(FTE_stdWD[[#This Row],[Service Description]],functionInfo[Service Description For Invoicing &amp; SLA],0))</f>
        <v>Sasha Yan</v>
      </c>
      <c r="G119" s="58" t="str">
        <f>FTE_stdWD[[#This Row],[Service Description]]&amp;FTE_stdWD[[#This Row],[Country]]&amp;FTE_stdWD[[#This Row],[Year]]&amp;FTE_stdWD[[#This Row],[Month]]</f>
        <v>Sea Freight - Accounts Payable OperationMNL2025October</v>
      </c>
      <c r="H119" s="58" t="str">
        <f>INDEX(functionInfo[Daily Dashboard Set-up],MATCH(FTE_stdWD[[#This Row],[Service Description]],functionInfo[Service Description For Invoicing &amp; SLA],0))</f>
        <v>No</v>
      </c>
      <c r="I119" s="56" t="str">
        <f>INDEX(functionInfo[Monthly Dashboard],MATCH(FTE_stdWD[[#This Row],[Service Description]],functionInfo[Service Description For Invoicing &amp; SLA],0))</f>
        <v>No</v>
      </c>
    </row>
    <row r="120" spans="1:9" ht="30" hidden="1" x14ac:dyDescent="0.25">
      <c r="A120" s="57" t="s">
        <v>15</v>
      </c>
      <c r="B120" s="58" t="s">
        <v>47</v>
      </c>
      <c r="C120" s="58">
        <v>2025</v>
      </c>
      <c r="D120" s="58" t="s">
        <v>26</v>
      </c>
      <c r="E120" s="62"/>
      <c r="F120" s="58" t="str">
        <f>INDEX(functionInfo[Service Lead],MATCH(FTE_stdWD[[#This Row],[Service Description]],functionInfo[Service Description For Invoicing &amp; SLA],0))</f>
        <v>Sasha Yan</v>
      </c>
      <c r="G120" s="58" t="str">
        <f>FTE_stdWD[[#This Row],[Service Description]]&amp;FTE_stdWD[[#This Row],[Country]]&amp;FTE_stdWD[[#This Row],[Year]]&amp;FTE_stdWD[[#This Row],[Month]]</f>
        <v>Sea Freight - Accounts Payable OperationMNL2025November</v>
      </c>
      <c r="H120" s="58" t="str">
        <f>INDEX(functionInfo[Daily Dashboard Set-up],MATCH(FTE_stdWD[[#This Row],[Service Description]],functionInfo[Service Description For Invoicing &amp; SLA],0))</f>
        <v>No</v>
      </c>
      <c r="I120" s="56" t="str">
        <f>INDEX(functionInfo[Monthly Dashboard],MATCH(FTE_stdWD[[#This Row],[Service Description]],functionInfo[Service Description For Invoicing &amp; SLA],0))</f>
        <v>No</v>
      </c>
    </row>
    <row r="121" spans="1:9" ht="30" hidden="1" x14ac:dyDescent="0.25">
      <c r="A121" s="57" t="s">
        <v>15</v>
      </c>
      <c r="B121" s="58" t="s">
        <v>47</v>
      </c>
      <c r="C121" s="58">
        <v>2025</v>
      </c>
      <c r="D121" s="58" t="s">
        <v>27</v>
      </c>
      <c r="E121" s="62"/>
      <c r="F121" s="58" t="str">
        <f>INDEX(functionInfo[Service Lead],MATCH(FTE_stdWD[[#This Row],[Service Description]],functionInfo[Service Description For Invoicing &amp; SLA],0))</f>
        <v>Sasha Yan</v>
      </c>
      <c r="G121" s="58" t="str">
        <f>FTE_stdWD[[#This Row],[Service Description]]&amp;FTE_stdWD[[#This Row],[Country]]&amp;FTE_stdWD[[#This Row],[Year]]&amp;FTE_stdWD[[#This Row],[Month]]</f>
        <v>Sea Freight - Accounts Payable OperationMNL2025December</v>
      </c>
      <c r="H121" s="58" t="str">
        <f>INDEX(functionInfo[Daily Dashboard Set-up],MATCH(FTE_stdWD[[#This Row],[Service Description]],functionInfo[Service Description For Invoicing &amp; SLA],0))</f>
        <v>No</v>
      </c>
      <c r="I121" s="56" t="str">
        <f>INDEX(functionInfo[Monthly Dashboard],MATCH(FTE_stdWD[[#This Row],[Service Description]],functionInfo[Service Description For Invoicing &amp; SLA],0))</f>
        <v>No</v>
      </c>
    </row>
    <row r="122" spans="1:9" hidden="1" x14ac:dyDescent="0.25">
      <c r="A122" s="57" t="s">
        <v>285</v>
      </c>
      <c r="B122" s="58" t="s">
        <v>45</v>
      </c>
      <c r="C122" s="58">
        <v>2025</v>
      </c>
      <c r="D122" s="58" t="s">
        <v>14</v>
      </c>
      <c r="E122" s="62">
        <v>1</v>
      </c>
      <c r="F122" s="58" t="str">
        <f>INDEX(functionInfo[Service Lead],MATCH(FTE_stdWD[[#This Row],[Service Description]],functionInfo[Service Description For Invoicing &amp; SLA],0))</f>
        <v>Sasha Yan</v>
      </c>
      <c r="G122" s="58" t="str">
        <f>FTE_stdWD[[#This Row],[Service Description]]&amp;FTE_stdWD[[#This Row],[Country]]&amp;FTE_stdWD[[#This Row],[Year]]&amp;FTE_stdWD[[#This Row],[Month]]</f>
        <v>Air Freight - Operation - AustraliaWUH2025January</v>
      </c>
      <c r="H122" s="58" t="str">
        <f>INDEX(functionInfo[Daily Dashboard Set-up],MATCH(FTE_stdWD[[#This Row],[Service Description]],functionInfo[Service Description For Invoicing &amp; SLA],0))</f>
        <v>No</v>
      </c>
      <c r="I122" s="56" t="str">
        <f>INDEX(functionInfo[Monthly Dashboard],MATCH(FTE_stdWD[[#This Row],[Service Description]],functionInfo[Service Description For Invoicing &amp; SLA],0))</f>
        <v>Yes</v>
      </c>
    </row>
    <row r="123" spans="1:9" hidden="1" x14ac:dyDescent="0.25">
      <c r="A123" s="57" t="s">
        <v>285</v>
      </c>
      <c r="B123" s="58" t="s">
        <v>45</v>
      </c>
      <c r="C123" s="58">
        <v>2025</v>
      </c>
      <c r="D123" s="58" t="s">
        <v>17</v>
      </c>
      <c r="E123" s="62">
        <v>1</v>
      </c>
      <c r="F123" s="58" t="str">
        <f>INDEX(functionInfo[Service Lead],MATCH(FTE_stdWD[[#This Row],[Service Description]],functionInfo[Service Description For Invoicing &amp; SLA],0))</f>
        <v>Sasha Yan</v>
      </c>
      <c r="G123" s="58" t="str">
        <f>FTE_stdWD[[#This Row],[Service Description]]&amp;FTE_stdWD[[#This Row],[Country]]&amp;FTE_stdWD[[#This Row],[Year]]&amp;FTE_stdWD[[#This Row],[Month]]</f>
        <v>Air Freight - Operation - AustraliaWUH2025February</v>
      </c>
      <c r="H123" s="58" t="str">
        <f>INDEX(functionInfo[Daily Dashboard Set-up],MATCH(FTE_stdWD[[#This Row],[Service Description]],functionInfo[Service Description For Invoicing &amp; SLA],0))</f>
        <v>No</v>
      </c>
      <c r="I123" s="56" t="str">
        <f>INDEX(functionInfo[Monthly Dashboard],MATCH(FTE_stdWD[[#This Row],[Service Description]],functionInfo[Service Description For Invoicing &amp; SLA],0))</f>
        <v>Yes</v>
      </c>
    </row>
    <row r="124" spans="1:9" hidden="1" x14ac:dyDescent="0.25">
      <c r="A124" s="57" t="s">
        <v>285</v>
      </c>
      <c r="B124" s="58" t="s">
        <v>45</v>
      </c>
      <c r="C124" s="58">
        <v>2025</v>
      </c>
      <c r="D124" s="58" t="s">
        <v>18</v>
      </c>
      <c r="E124" s="62">
        <v>1</v>
      </c>
      <c r="F124" s="58" t="str">
        <f>INDEX(functionInfo[Service Lead],MATCH(FTE_stdWD[[#This Row],[Service Description]],functionInfo[Service Description For Invoicing &amp; SLA],0))</f>
        <v>Sasha Yan</v>
      </c>
      <c r="G124" s="58" t="str">
        <f>FTE_stdWD[[#This Row],[Service Description]]&amp;FTE_stdWD[[#This Row],[Country]]&amp;FTE_stdWD[[#This Row],[Year]]&amp;FTE_stdWD[[#This Row],[Month]]</f>
        <v>Air Freight - Operation - AustraliaWUH2025March</v>
      </c>
      <c r="H124" s="58" t="str">
        <f>INDEX(functionInfo[Daily Dashboard Set-up],MATCH(FTE_stdWD[[#This Row],[Service Description]],functionInfo[Service Description For Invoicing &amp; SLA],0))</f>
        <v>No</v>
      </c>
      <c r="I124" s="56" t="str">
        <f>INDEX(functionInfo[Monthly Dashboard],MATCH(FTE_stdWD[[#This Row],[Service Description]],functionInfo[Service Description For Invoicing &amp; SLA],0))</f>
        <v>Yes</v>
      </c>
    </row>
    <row r="125" spans="1:9" hidden="1" x14ac:dyDescent="0.25">
      <c r="A125" s="57" t="s">
        <v>285</v>
      </c>
      <c r="B125" s="58" t="s">
        <v>45</v>
      </c>
      <c r="C125" s="58">
        <v>2025</v>
      </c>
      <c r="D125" s="58" t="s">
        <v>19</v>
      </c>
      <c r="E125" s="62">
        <v>1</v>
      </c>
      <c r="F125" s="58" t="str">
        <f>INDEX(functionInfo[Service Lead],MATCH(FTE_stdWD[[#This Row],[Service Description]],functionInfo[Service Description For Invoicing &amp; SLA],0))</f>
        <v>Sasha Yan</v>
      </c>
      <c r="G125" s="58" t="str">
        <f>FTE_stdWD[[#This Row],[Service Description]]&amp;FTE_stdWD[[#This Row],[Country]]&amp;FTE_stdWD[[#This Row],[Year]]&amp;FTE_stdWD[[#This Row],[Month]]</f>
        <v>Air Freight - Operation - AustraliaWUH2025April</v>
      </c>
      <c r="H125" s="58" t="str">
        <f>INDEX(functionInfo[Daily Dashboard Set-up],MATCH(FTE_stdWD[[#This Row],[Service Description]],functionInfo[Service Description For Invoicing &amp; SLA],0))</f>
        <v>No</v>
      </c>
      <c r="I125" s="56" t="str">
        <f>INDEX(functionInfo[Monthly Dashboard],MATCH(FTE_stdWD[[#This Row],[Service Description]],functionInfo[Service Description For Invoicing &amp; SLA],0))</f>
        <v>Yes</v>
      </c>
    </row>
    <row r="126" spans="1:9" hidden="1" x14ac:dyDescent="0.25">
      <c r="A126" s="57" t="s">
        <v>285</v>
      </c>
      <c r="B126" s="58" t="s">
        <v>45</v>
      </c>
      <c r="C126" s="58">
        <v>2025</v>
      </c>
      <c r="D126" s="58" t="s">
        <v>20</v>
      </c>
      <c r="E126" s="62">
        <v>1</v>
      </c>
      <c r="F126" s="58" t="str">
        <f>INDEX(functionInfo[Service Lead],MATCH(FTE_stdWD[[#This Row],[Service Description]],functionInfo[Service Description For Invoicing &amp; SLA],0))</f>
        <v>Sasha Yan</v>
      </c>
      <c r="G126" s="58" t="str">
        <f>FTE_stdWD[[#This Row],[Service Description]]&amp;FTE_stdWD[[#This Row],[Country]]&amp;FTE_stdWD[[#This Row],[Year]]&amp;FTE_stdWD[[#This Row],[Month]]</f>
        <v>Air Freight - Operation - AustraliaWUH2025May</v>
      </c>
      <c r="H126" s="58" t="str">
        <f>INDEX(functionInfo[Daily Dashboard Set-up],MATCH(FTE_stdWD[[#This Row],[Service Description]],functionInfo[Service Description For Invoicing &amp; SLA],0))</f>
        <v>No</v>
      </c>
      <c r="I126" s="56" t="str">
        <f>INDEX(functionInfo[Monthly Dashboard],MATCH(FTE_stdWD[[#This Row],[Service Description]],functionInfo[Service Description For Invoicing &amp; SLA],0))</f>
        <v>Yes</v>
      </c>
    </row>
    <row r="127" spans="1:9" hidden="1" x14ac:dyDescent="0.25">
      <c r="A127" s="57" t="s">
        <v>285</v>
      </c>
      <c r="B127" s="58" t="s">
        <v>45</v>
      </c>
      <c r="C127" s="58">
        <v>2025</v>
      </c>
      <c r="D127" s="58" t="s">
        <v>21</v>
      </c>
      <c r="E127" s="62">
        <v>1</v>
      </c>
      <c r="F127" s="58" t="str">
        <f>INDEX(functionInfo[Service Lead],MATCH(FTE_stdWD[[#This Row],[Service Description]],functionInfo[Service Description For Invoicing &amp; SLA],0))</f>
        <v>Sasha Yan</v>
      </c>
      <c r="G127" s="58" t="str">
        <f>FTE_stdWD[[#This Row],[Service Description]]&amp;FTE_stdWD[[#This Row],[Country]]&amp;FTE_stdWD[[#This Row],[Year]]&amp;FTE_stdWD[[#This Row],[Month]]</f>
        <v>Air Freight - Operation - AustraliaWUH2025June</v>
      </c>
      <c r="H127" s="58" t="str">
        <f>INDEX(functionInfo[Daily Dashboard Set-up],MATCH(FTE_stdWD[[#This Row],[Service Description]],functionInfo[Service Description For Invoicing &amp; SLA],0))</f>
        <v>No</v>
      </c>
      <c r="I127" s="56" t="str">
        <f>INDEX(functionInfo[Monthly Dashboard],MATCH(FTE_stdWD[[#This Row],[Service Description]],functionInfo[Service Description For Invoicing &amp; SLA],0))</f>
        <v>Yes</v>
      </c>
    </row>
    <row r="128" spans="1:9" hidden="1" x14ac:dyDescent="0.25">
      <c r="A128" s="57" t="s">
        <v>285</v>
      </c>
      <c r="B128" s="58" t="s">
        <v>45</v>
      </c>
      <c r="C128" s="58">
        <v>2025</v>
      </c>
      <c r="D128" s="58" t="s">
        <v>22</v>
      </c>
      <c r="E128" s="62">
        <v>1</v>
      </c>
      <c r="F128" s="58" t="str">
        <f>INDEX(functionInfo[Service Lead],MATCH(FTE_stdWD[[#This Row],[Service Description]],functionInfo[Service Description For Invoicing &amp; SLA],0))</f>
        <v>Sasha Yan</v>
      </c>
      <c r="G128" s="58" t="str">
        <f>FTE_stdWD[[#This Row],[Service Description]]&amp;FTE_stdWD[[#This Row],[Country]]&amp;FTE_stdWD[[#This Row],[Year]]&amp;FTE_stdWD[[#This Row],[Month]]</f>
        <v>Air Freight - Operation - AustraliaWUH2025July</v>
      </c>
      <c r="H128" s="58" t="str">
        <f>INDEX(functionInfo[Daily Dashboard Set-up],MATCH(FTE_stdWD[[#This Row],[Service Description]],functionInfo[Service Description For Invoicing &amp; SLA],0))</f>
        <v>No</v>
      </c>
      <c r="I128" s="56" t="str">
        <f>INDEX(functionInfo[Monthly Dashboard],MATCH(FTE_stdWD[[#This Row],[Service Description]],functionInfo[Service Description For Invoicing &amp; SLA],0))</f>
        <v>Yes</v>
      </c>
    </row>
    <row r="129" spans="1:9" hidden="1" x14ac:dyDescent="0.25">
      <c r="A129" s="57" t="s">
        <v>285</v>
      </c>
      <c r="B129" s="58" t="s">
        <v>45</v>
      </c>
      <c r="C129" s="58">
        <v>2025</v>
      </c>
      <c r="D129" s="58" t="s">
        <v>46</v>
      </c>
      <c r="E129" s="62">
        <v>1</v>
      </c>
      <c r="F129" s="58" t="str">
        <f>INDEX(functionInfo[Service Lead],MATCH(FTE_stdWD[[#This Row],[Service Description]],functionInfo[Service Description For Invoicing &amp; SLA],0))</f>
        <v>Sasha Yan</v>
      </c>
      <c r="G129" s="58" t="str">
        <f>FTE_stdWD[[#This Row],[Service Description]]&amp;FTE_stdWD[[#This Row],[Country]]&amp;FTE_stdWD[[#This Row],[Year]]&amp;FTE_stdWD[[#This Row],[Month]]</f>
        <v>Air Freight - Operation - AustraliaWUH2025August</v>
      </c>
      <c r="H129" s="58" t="str">
        <f>INDEX(functionInfo[Daily Dashboard Set-up],MATCH(FTE_stdWD[[#This Row],[Service Description]],functionInfo[Service Description For Invoicing &amp; SLA],0))</f>
        <v>No</v>
      </c>
      <c r="I129" s="56" t="str">
        <f>INDEX(functionInfo[Monthly Dashboard],MATCH(FTE_stdWD[[#This Row],[Service Description]],functionInfo[Service Description For Invoicing &amp; SLA],0))</f>
        <v>Yes</v>
      </c>
    </row>
    <row r="130" spans="1:9" hidden="1" x14ac:dyDescent="0.25">
      <c r="A130" s="57" t="s">
        <v>285</v>
      </c>
      <c r="B130" s="58" t="s">
        <v>45</v>
      </c>
      <c r="C130" s="58">
        <v>2025</v>
      </c>
      <c r="D130" s="58" t="s">
        <v>33</v>
      </c>
      <c r="E130" s="62">
        <v>1</v>
      </c>
      <c r="F130" s="58" t="str">
        <f>INDEX(functionInfo[Service Lead],MATCH(FTE_stdWD[[#This Row],[Service Description]],functionInfo[Service Description For Invoicing &amp; SLA],0))</f>
        <v>Sasha Yan</v>
      </c>
      <c r="G130" s="58" t="str">
        <f>FTE_stdWD[[#This Row],[Service Description]]&amp;FTE_stdWD[[#This Row],[Country]]&amp;FTE_stdWD[[#This Row],[Year]]&amp;FTE_stdWD[[#This Row],[Month]]</f>
        <v>Air Freight - Operation - AustraliaWUH2025September</v>
      </c>
      <c r="H130" s="58" t="str">
        <f>INDEX(functionInfo[Daily Dashboard Set-up],MATCH(FTE_stdWD[[#This Row],[Service Description]],functionInfo[Service Description For Invoicing &amp; SLA],0))</f>
        <v>No</v>
      </c>
      <c r="I130" s="56" t="str">
        <f>INDEX(functionInfo[Monthly Dashboard],MATCH(FTE_stdWD[[#This Row],[Service Description]],functionInfo[Service Description For Invoicing &amp; SLA],0))</f>
        <v>Yes</v>
      </c>
    </row>
    <row r="131" spans="1:9" hidden="1" x14ac:dyDescent="0.25">
      <c r="A131" s="57" t="s">
        <v>285</v>
      </c>
      <c r="B131" s="58" t="s">
        <v>45</v>
      </c>
      <c r="C131" s="58">
        <v>2025</v>
      </c>
      <c r="D131" s="58" t="s">
        <v>25</v>
      </c>
      <c r="E131" s="62">
        <v>1</v>
      </c>
      <c r="F131" s="58" t="str">
        <f>INDEX(functionInfo[Service Lead],MATCH(FTE_stdWD[[#This Row],[Service Description]],functionInfo[Service Description For Invoicing &amp; SLA],0))</f>
        <v>Sasha Yan</v>
      </c>
      <c r="G131" s="58" t="str">
        <f>FTE_stdWD[[#This Row],[Service Description]]&amp;FTE_stdWD[[#This Row],[Country]]&amp;FTE_stdWD[[#This Row],[Year]]&amp;FTE_stdWD[[#This Row],[Month]]</f>
        <v>Air Freight - Operation - AustraliaWUH2025October</v>
      </c>
      <c r="H131" s="58" t="str">
        <f>INDEX(functionInfo[Daily Dashboard Set-up],MATCH(FTE_stdWD[[#This Row],[Service Description]],functionInfo[Service Description For Invoicing &amp; SLA],0))</f>
        <v>No</v>
      </c>
      <c r="I131" s="56" t="str">
        <f>INDEX(functionInfo[Monthly Dashboard],MATCH(FTE_stdWD[[#This Row],[Service Description]],functionInfo[Service Description For Invoicing &amp; SLA],0))</f>
        <v>Yes</v>
      </c>
    </row>
    <row r="132" spans="1:9" hidden="1" x14ac:dyDescent="0.25">
      <c r="A132" s="57" t="s">
        <v>285</v>
      </c>
      <c r="B132" s="58" t="s">
        <v>45</v>
      </c>
      <c r="C132" s="58">
        <v>2025</v>
      </c>
      <c r="D132" s="58" t="s">
        <v>26</v>
      </c>
      <c r="E132" s="62">
        <v>1</v>
      </c>
      <c r="F132" s="58" t="str">
        <f>INDEX(functionInfo[Service Lead],MATCH(FTE_stdWD[[#This Row],[Service Description]],functionInfo[Service Description For Invoicing &amp; SLA],0))</f>
        <v>Sasha Yan</v>
      </c>
      <c r="G132" s="58" t="str">
        <f>FTE_stdWD[[#This Row],[Service Description]]&amp;FTE_stdWD[[#This Row],[Country]]&amp;FTE_stdWD[[#This Row],[Year]]&amp;FTE_stdWD[[#This Row],[Month]]</f>
        <v>Air Freight - Operation - AustraliaWUH2025November</v>
      </c>
      <c r="H132" s="58" t="str">
        <f>INDEX(functionInfo[Daily Dashboard Set-up],MATCH(FTE_stdWD[[#This Row],[Service Description]],functionInfo[Service Description For Invoicing &amp; SLA],0))</f>
        <v>No</v>
      </c>
      <c r="I132" s="56" t="str">
        <f>INDEX(functionInfo[Monthly Dashboard],MATCH(FTE_stdWD[[#This Row],[Service Description]],functionInfo[Service Description For Invoicing &amp; SLA],0))</f>
        <v>Yes</v>
      </c>
    </row>
    <row r="133" spans="1:9" hidden="1" x14ac:dyDescent="0.25">
      <c r="A133" s="57" t="s">
        <v>285</v>
      </c>
      <c r="B133" s="58" t="s">
        <v>45</v>
      </c>
      <c r="C133" s="58">
        <v>2025</v>
      </c>
      <c r="D133" s="58" t="s">
        <v>27</v>
      </c>
      <c r="E133" s="62">
        <v>1</v>
      </c>
      <c r="F133" s="58" t="str">
        <f>INDEX(functionInfo[Service Lead],MATCH(FTE_stdWD[[#This Row],[Service Description]],functionInfo[Service Description For Invoicing &amp; SLA],0))</f>
        <v>Sasha Yan</v>
      </c>
      <c r="G133" s="58" t="str">
        <f>FTE_stdWD[[#This Row],[Service Description]]&amp;FTE_stdWD[[#This Row],[Country]]&amp;FTE_stdWD[[#This Row],[Year]]&amp;FTE_stdWD[[#This Row],[Month]]</f>
        <v>Air Freight - Operation - AustraliaWUH2025December</v>
      </c>
      <c r="H133" s="58" t="str">
        <f>INDEX(functionInfo[Daily Dashboard Set-up],MATCH(FTE_stdWD[[#This Row],[Service Description]],functionInfo[Service Description For Invoicing &amp; SLA],0))</f>
        <v>No</v>
      </c>
      <c r="I133" s="56" t="str">
        <f>INDEX(functionInfo[Monthly Dashboard],MATCH(FTE_stdWD[[#This Row],[Service Description]],functionInfo[Service Description For Invoicing &amp; SLA],0))</f>
        <v>Yes</v>
      </c>
    </row>
    <row r="134" spans="1:9" hidden="1" x14ac:dyDescent="0.25">
      <c r="A134" s="57" t="s">
        <v>285</v>
      </c>
      <c r="B134" s="58" t="s">
        <v>47</v>
      </c>
      <c r="C134" s="58">
        <v>2025</v>
      </c>
      <c r="D134" s="58" t="s">
        <v>14</v>
      </c>
      <c r="E134" s="62">
        <v>13</v>
      </c>
      <c r="F134" s="58" t="str">
        <f>INDEX(functionInfo[Service Lead],MATCH(FTE_stdWD[[#This Row],[Service Description]],functionInfo[Service Description For Invoicing &amp; SLA],0))</f>
        <v>Sasha Yan</v>
      </c>
      <c r="G134" s="58" t="str">
        <f>FTE_stdWD[[#This Row],[Service Description]]&amp;FTE_stdWD[[#This Row],[Country]]&amp;FTE_stdWD[[#This Row],[Year]]&amp;FTE_stdWD[[#This Row],[Month]]</f>
        <v>Air Freight - Operation - AustraliaMNL2025January</v>
      </c>
      <c r="H134" s="58" t="str">
        <f>INDEX(functionInfo[Daily Dashboard Set-up],MATCH(FTE_stdWD[[#This Row],[Service Description]],functionInfo[Service Description For Invoicing &amp; SLA],0))</f>
        <v>No</v>
      </c>
      <c r="I134" s="56" t="str">
        <f>INDEX(functionInfo[Monthly Dashboard],MATCH(FTE_stdWD[[#This Row],[Service Description]],functionInfo[Service Description For Invoicing &amp; SLA],0))</f>
        <v>Yes</v>
      </c>
    </row>
    <row r="135" spans="1:9" hidden="1" x14ac:dyDescent="0.25">
      <c r="A135" s="57" t="s">
        <v>285</v>
      </c>
      <c r="B135" s="58" t="s">
        <v>47</v>
      </c>
      <c r="C135" s="58">
        <v>2025</v>
      </c>
      <c r="D135" s="58" t="s">
        <v>17</v>
      </c>
      <c r="E135" s="62">
        <v>13</v>
      </c>
      <c r="F135" s="58" t="str">
        <f>INDEX(functionInfo[Service Lead],MATCH(FTE_stdWD[[#This Row],[Service Description]],functionInfo[Service Description For Invoicing &amp; SLA],0))</f>
        <v>Sasha Yan</v>
      </c>
      <c r="G135" s="58" t="str">
        <f>FTE_stdWD[[#This Row],[Service Description]]&amp;FTE_stdWD[[#This Row],[Country]]&amp;FTE_stdWD[[#This Row],[Year]]&amp;FTE_stdWD[[#This Row],[Month]]</f>
        <v>Air Freight - Operation - AustraliaMNL2025February</v>
      </c>
      <c r="H135" s="58" t="str">
        <f>INDEX(functionInfo[Daily Dashboard Set-up],MATCH(FTE_stdWD[[#This Row],[Service Description]],functionInfo[Service Description For Invoicing &amp; SLA],0))</f>
        <v>No</v>
      </c>
      <c r="I135" s="56" t="str">
        <f>INDEX(functionInfo[Monthly Dashboard],MATCH(FTE_stdWD[[#This Row],[Service Description]],functionInfo[Service Description For Invoicing &amp; SLA],0))</f>
        <v>Yes</v>
      </c>
    </row>
    <row r="136" spans="1:9" hidden="1" x14ac:dyDescent="0.25">
      <c r="A136" s="57" t="s">
        <v>285</v>
      </c>
      <c r="B136" s="58" t="s">
        <v>47</v>
      </c>
      <c r="C136" s="58">
        <v>2025</v>
      </c>
      <c r="D136" s="58" t="s">
        <v>18</v>
      </c>
      <c r="E136" s="62">
        <v>11</v>
      </c>
      <c r="F136" s="58" t="str">
        <f>INDEX(functionInfo[Service Lead],MATCH(FTE_stdWD[[#This Row],[Service Description]],functionInfo[Service Description For Invoicing &amp; SLA],0))</f>
        <v>Sasha Yan</v>
      </c>
      <c r="G136" s="58" t="str">
        <f>FTE_stdWD[[#This Row],[Service Description]]&amp;FTE_stdWD[[#This Row],[Country]]&amp;FTE_stdWD[[#This Row],[Year]]&amp;FTE_stdWD[[#This Row],[Month]]</f>
        <v>Air Freight - Operation - AustraliaMNL2025March</v>
      </c>
      <c r="H136" s="58" t="str">
        <f>INDEX(functionInfo[Daily Dashboard Set-up],MATCH(FTE_stdWD[[#This Row],[Service Description]],functionInfo[Service Description For Invoicing &amp; SLA],0))</f>
        <v>No</v>
      </c>
      <c r="I136" s="56" t="str">
        <f>INDEX(functionInfo[Monthly Dashboard],MATCH(FTE_stdWD[[#This Row],[Service Description]],functionInfo[Service Description For Invoicing &amp; SLA],0))</f>
        <v>Yes</v>
      </c>
    </row>
    <row r="137" spans="1:9" hidden="1" x14ac:dyDescent="0.25">
      <c r="A137" s="57" t="s">
        <v>285</v>
      </c>
      <c r="B137" s="58" t="s">
        <v>47</v>
      </c>
      <c r="C137" s="58">
        <v>2025</v>
      </c>
      <c r="D137" s="58" t="s">
        <v>19</v>
      </c>
      <c r="E137" s="62">
        <v>10</v>
      </c>
      <c r="F137" s="58" t="str">
        <f>INDEX(functionInfo[Service Lead],MATCH(FTE_stdWD[[#This Row],[Service Description]],functionInfo[Service Description For Invoicing &amp; SLA],0))</f>
        <v>Sasha Yan</v>
      </c>
      <c r="G137" s="58" t="str">
        <f>FTE_stdWD[[#This Row],[Service Description]]&amp;FTE_stdWD[[#This Row],[Country]]&amp;FTE_stdWD[[#This Row],[Year]]&amp;FTE_stdWD[[#This Row],[Month]]</f>
        <v>Air Freight - Operation - AustraliaMNL2025April</v>
      </c>
      <c r="H137" s="58" t="str">
        <f>INDEX(functionInfo[Daily Dashboard Set-up],MATCH(FTE_stdWD[[#This Row],[Service Description]],functionInfo[Service Description For Invoicing &amp; SLA],0))</f>
        <v>No</v>
      </c>
      <c r="I137" s="56" t="str">
        <f>INDEX(functionInfo[Monthly Dashboard],MATCH(FTE_stdWD[[#This Row],[Service Description]],functionInfo[Service Description For Invoicing &amp; SLA],0))</f>
        <v>Yes</v>
      </c>
    </row>
    <row r="138" spans="1:9" hidden="1" x14ac:dyDescent="0.25">
      <c r="A138" s="57" t="s">
        <v>285</v>
      </c>
      <c r="B138" s="58" t="s">
        <v>47</v>
      </c>
      <c r="C138" s="58">
        <v>2025</v>
      </c>
      <c r="D138" s="58" t="s">
        <v>20</v>
      </c>
      <c r="E138" s="62">
        <v>9</v>
      </c>
      <c r="F138" s="58" t="str">
        <f>INDEX(functionInfo[Service Lead],MATCH(FTE_stdWD[[#This Row],[Service Description]],functionInfo[Service Description For Invoicing &amp; SLA],0))</f>
        <v>Sasha Yan</v>
      </c>
      <c r="G138" s="58" t="str">
        <f>FTE_stdWD[[#This Row],[Service Description]]&amp;FTE_stdWD[[#This Row],[Country]]&amp;FTE_stdWD[[#This Row],[Year]]&amp;FTE_stdWD[[#This Row],[Month]]</f>
        <v>Air Freight - Operation - AustraliaMNL2025May</v>
      </c>
      <c r="H138" s="58" t="str">
        <f>INDEX(functionInfo[Daily Dashboard Set-up],MATCH(FTE_stdWD[[#This Row],[Service Description]],functionInfo[Service Description For Invoicing &amp; SLA],0))</f>
        <v>No</v>
      </c>
      <c r="I138" s="56" t="str">
        <f>INDEX(functionInfo[Monthly Dashboard],MATCH(FTE_stdWD[[#This Row],[Service Description]],functionInfo[Service Description For Invoicing &amp; SLA],0))</f>
        <v>Yes</v>
      </c>
    </row>
    <row r="139" spans="1:9" hidden="1" x14ac:dyDescent="0.25">
      <c r="A139" s="57" t="s">
        <v>285</v>
      </c>
      <c r="B139" s="58" t="s">
        <v>47</v>
      </c>
      <c r="C139" s="58">
        <v>2025</v>
      </c>
      <c r="D139" s="58" t="s">
        <v>21</v>
      </c>
      <c r="E139" s="62"/>
      <c r="F139" s="58" t="str">
        <f>INDEX(functionInfo[Service Lead],MATCH(FTE_stdWD[[#This Row],[Service Description]],functionInfo[Service Description For Invoicing &amp; SLA],0))</f>
        <v>Sasha Yan</v>
      </c>
      <c r="G139" s="58" t="str">
        <f>FTE_stdWD[[#This Row],[Service Description]]&amp;FTE_stdWD[[#This Row],[Country]]&amp;FTE_stdWD[[#This Row],[Year]]&amp;FTE_stdWD[[#This Row],[Month]]</f>
        <v>Air Freight - Operation - AustraliaMNL2025June</v>
      </c>
      <c r="H139" s="58" t="str">
        <f>INDEX(functionInfo[Daily Dashboard Set-up],MATCH(FTE_stdWD[[#This Row],[Service Description]],functionInfo[Service Description For Invoicing &amp; SLA],0))</f>
        <v>No</v>
      </c>
      <c r="I139" s="56" t="str">
        <f>INDEX(functionInfo[Monthly Dashboard],MATCH(FTE_stdWD[[#This Row],[Service Description]],functionInfo[Service Description For Invoicing &amp; SLA],0))</f>
        <v>Yes</v>
      </c>
    </row>
    <row r="140" spans="1:9" hidden="1" x14ac:dyDescent="0.25">
      <c r="A140" s="57" t="s">
        <v>285</v>
      </c>
      <c r="B140" s="58" t="s">
        <v>47</v>
      </c>
      <c r="C140" s="58">
        <v>2025</v>
      </c>
      <c r="D140" s="58" t="s">
        <v>22</v>
      </c>
      <c r="E140" s="62"/>
      <c r="F140" s="58" t="str">
        <f>INDEX(functionInfo[Service Lead],MATCH(FTE_stdWD[[#This Row],[Service Description]],functionInfo[Service Description For Invoicing &amp; SLA],0))</f>
        <v>Sasha Yan</v>
      </c>
      <c r="G140" s="58" t="str">
        <f>FTE_stdWD[[#This Row],[Service Description]]&amp;FTE_stdWD[[#This Row],[Country]]&amp;FTE_stdWD[[#This Row],[Year]]&amp;FTE_stdWD[[#This Row],[Month]]</f>
        <v>Air Freight - Operation - AustraliaMNL2025July</v>
      </c>
      <c r="H140" s="58" t="str">
        <f>INDEX(functionInfo[Daily Dashboard Set-up],MATCH(FTE_stdWD[[#This Row],[Service Description]],functionInfo[Service Description For Invoicing &amp; SLA],0))</f>
        <v>No</v>
      </c>
      <c r="I140" s="56" t="str">
        <f>INDEX(functionInfo[Monthly Dashboard],MATCH(FTE_stdWD[[#This Row],[Service Description]],functionInfo[Service Description For Invoicing &amp; SLA],0))</f>
        <v>Yes</v>
      </c>
    </row>
    <row r="141" spans="1:9" hidden="1" x14ac:dyDescent="0.25">
      <c r="A141" s="57" t="s">
        <v>285</v>
      </c>
      <c r="B141" s="58" t="s">
        <v>47</v>
      </c>
      <c r="C141" s="58">
        <v>2025</v>
      </c>
      <c r="D141" s="58" t="s">
        <v>46</v>
      </c>
      <c r="E141" s="62"/>
      <c r="F141" s="58" t="str">
        <f>INDEX(functionInfo[Service Lead],MATCH(FTE_stdWD[[#This Row],[Service Description]],functionInfo[Service Description For Invoicing &amp; SLA],0))</f>
        <v>Sasha Yan</v>
      </c>
      <c r="G141" s="58" t="str">
        <f>FTE_stdWD[[#This Row],[Service Description]]&amp;FTE_stdWD[[#This Row],[Country]]&amp;FTE_stdWD[[#This Row],[Year]]&amp;FTE_stdWD[[#This Row],[Month]]</f>
        <v>Air Freight - Operation - AustraliaMNL2025August</v>
      </c>
      <c r="H141" s="58" t="str">
        <f>INDEX(functionInfo[Daily Dashboard Set-up],MATCH(FTE_stdWD[[#This Row],[Service Description]],functionInfo[Service Description For Invoicing &amp; SLA],0))</f>
        <v>No</v>
      </c>
      <c r="I141" s="56" t="str">
        <f>INDEX(functionInfo[Monthly Dashboard],MATCH(FTE_stdWD[[#This Row],[Service Description]],functionInfo[Service Description For Invoicing &amp; SLA],0))</f>
        <v>Yes</v>
      </c>
    </row>
    <row r="142" spans="1:9" hidden="1" x14ac:dyDescent="0.25">
      <c r="A142" s="57" t="s">
        <v>285</v>
      </c>
      <c r="B142" s="58" t="s">
        <v>47</v>
      </c>
      <c r="C142" s="58">
        <v>2025</v>
      </c>
      <c r="D142" s="58" t="s">
        <v>33</v>
      </c>
      <c r="E142" s="62"/>
      <c r="F142" s="58" t="str">
        <f>INDEX(functionInfo[Service Lead],MATCH(FTE_stdWD[[#This Row],[Service Description]],functionInfo[Service Description For Invoicing &amp; SLA],0))</f>
        <v>Sasha Yan</v>
      </c>
      <c r="G142" s="58" t="str">
        <f>FTE_stdWD[[#This Row],[Service Description]]&amp;FTE_stdWD[[#This Row],[Country]]&amp;FTE_stdWD[[#This Row],[Year]]&amp;FTE_stdWD[[#This Row],[Month]]</f>
        <v>Air Freight - Operation - AustraliaMNL2025September</v>
      </c>
      <c r="H142" s="58" t="str">
        <f>INDEX(functionInfo[Daily Dashboard Set-up],MATCH(FTE_stdWD[[#This Row],[Service Description]],functionInfo[Service Description For Invoicing &amp; SLA],0))</f>
        <v>No</v>
      </c>
      <c r="I142" s="56" t="str">
        <f>INDEX(functionInfo[Monthly Dashboard],MATCH(FTE_stdWD[[#This Row],[Service Description]],functionInfo[Service Description For Invoicing &amp; SLA],0))</f>
        <v>Yes</v>
      </c>
    </row>
    <row r="143" spans="1:9" hidden="1" x14ac:dyDescent="0.25">
      <c r="A143" s="57" t="s">
        <v>285</v>
      </c>
      <c r="B143" s="58" t="s">
        <v>47</v>
      </c>
      <c r="C143" s="58">
        <v>2025</v>
      </c>
      <c r="D143" s="58" t="s">
        <v>25</v>
      </c>
      <c r="E143" s="62"/>
      <c r="F143" s="58" t="str">
        <f>INDEX(functionInfo[Service Lead],MATCH(FTE_stdWD[[#This Row],[Service Description]],functionInfo[Service Description For Invoicing &amp; SLA],0))</f>
        <v>Sasha Yan</v>
      </c>
      <c r="G143" s="58" t="str">
        <f>FTE_stdWD[[#This Row],[Service Description]]&amp;FTE_stdWD[[#This Row],[Country]]&amp;FTE_stdWD[[#This Row],[Year]]&amp;FTE_stdWD[[#This Row],[Month]]</f>
        <v>Air Freight - Operation - AustraliaMNL2025October</v>
      </c>
      <c r="H143" s="58" t="str">
        <f>INDEX(functionInfo[Daily Dashboard Set-up],MATCH(FTE_stdWD[[#This Row],[Service Description]],functionInfo[Service Description For Invoicing &amp; SLA],0))</f>
        <v>No</v>
      </c>
      <c r="I143" s="56" t="str">
        <f>INDEX(functionInfo[Monthly Dashboard],MATCH(FTE_stdWD[[#This Row],[Service Description]],functionInfo[Service Description For Invoicing &amp; SLA],0))</f>
        <v>Yes</v>
      </c>
    </row>
    <row r="144" spans="1:9" hidden="1" x14ac:dyDescent="0.25">
      <c r="A144" s="57" t="s">
        <v>285</v>
      </c>
      <c r="B144" s="58" t="s">
        <v>47</v>
      </c>
      <c r="C144" s="58">
        <v>2025</v>
      </c>
      <c r="D144" s="58" t="s">
        <v>26</v>
      </c>
      <c r="E144" s="62"/>
      <c r="F144" s="58" t="str">
        <f>INDEX(functionInfo[Service Lead],MATCH(FTE_stdWD[[#This Row],[Service Description]],functionInfo[Service Description For Invoicing &amp; SLA],0))</f>
        <v>Sasha Yan</v>
      </c>
      <c r="G144" s="58" t="str">
        <f>FTE_stdWD[[#This Row],[Service Description]]&amp;FTE_stdWD[[#This Row],[Country]]&amp;FTE_stdWD[[#This Row],[Year]]&amp;FTE_stdWD[[#This Row],[Month]]</f>
        <v>Air Freight - Operation - AustraliaMNL2025November</v>
      </c>
      <c r="H144" s="58" t="str">
        <f>INDEX(functionInfo[Daily Dashboard Set-up],MATCH(FTE_stdWD[[#This Row],[Service Description]],functionInfo[Service Description For Invoicing &amp; SLA],0))</f>
        <v>No</v>
      </c>
      <c r="I144" s="56" t="str">
        <f>INDEX(functionInfo[Monthly Dashboard],MATCH(FTE_stdWD[[#This Row],[Service Description]],functionInfo[Service Description For Invoicing &amp; SLA],0))</f>
        <v>Yes</v>
      </c>
    </row>
    <row r="145" spans="1:9" hidden="1" x14ac:dyDescent="0.25">
      <c r="A145" s="57" t="s">
        <v>285</v>
      </c>
      <c r="B145" s="58" t="s">
        <v>47</v>
      </c>
      <c r="C145" s="58">
        <v>2025</v>
      </c>
      <c r="D145" s="58" t="s">
        <v>27</v>
      </c>
      <c r="E145" s="62"/>
      <c r="F145" s="58" t="str">
        <f>INDEX(functionInfo[Service Lead],MATCH(FTE_stdWD[[#This Row],[Service Description]],functionInfo[Service Description For Invoicing &amp; SLA],0))</f>
        <v>Sasha Yan</v>
      </c>
      <c r="G145" s="58" t="str">
        <f>FTE_stdWD[[#This Row],[Service Description]]&amp;FTE_stdWD[[#This Row],[Country]]&amp;FTE_stdWD[[#This Row],[Year]]&amp;FTE_stdWD[[#This Row],[Month]]</f>
        <v>Air Freight - Operation - AustraliaMNL2025December</v>
      </c>
      <c r="H145" s="58" t="str">
        <f>INDEX(functionInfo[Daily Dashboard Set-up],MATCH(FTE_stdWD[[#This Row],[Service Description]],functionInfo[Service Description For Invoicing &amp; SLA],0))</f>
        <v>No</v>
      </c>
      <c r="I145" s="56" t="str">
        <f>INDEX(functionInfo[Monthly Dashboard],MATCH(FTE_stdWD[[#This Row],[Service Description]],functionInfo[Service Description For Invoicing &amp; SLA],0))</f>
        <v>Yes</v>
      </c>
    </row>
    <row r="146" spans="1:9" hidden="1" x14ac:dyDescent="0.25">
      <c r="A146" s="57" t="s">
        <v>39</v>
      </c>
      <c r="B146" s="58" t="s">
        <v>47</v>
      </c>
      <c r="C146" s="58">
        <v>2025</v>
      </c>
      <c r="D146" s="58" t="s">
        <v>14</v>
      </c>
      <c r="E146" s="62">
        <v>2</v>
      </c>
      <c r="F146" s="58" t="str">
        <f>INDEX(functionInfo[Service Lead],MATCH(FTE_stdWD[[#This Row],[Service Description]],functionInfo[Service Description For Invoicing &amp; SLA],0))</f>
        <v>Lovely Rose</v>
      </c>
      <c r="G146" s="58" t="str">
        <f>FTE_stdWD[[#This Row],[Service Description]]&amp;FTE_stdWD[[#This Row],[Country]]&amp;FTE_stdWD[[#This Row],[Year]]&amp;FTE_stdWD[[#This Row],[Month]]</f>
        <v>Finance - Credit ControlMNL2025January</v>
      </c>
      <c r="H146" s="58" t="str">
        <f>INDEX(functionInfo[Daily Dashboard Set-up],MATCH(FTE_stdWD[[#This Row],[Service Description]],functionInfo[Service Description For Invoicing &amp; SLA],0))</f>
        <v>Yes</v>
      </c>
      <c r="I146" s="56" t="str">
        <f>INDEX(functionInfo[Monthly Dashboard],MATCH(FTE_stdWD[[#This Row],[Service Description]],functionInfo[Service Description For Invoicing &amp; SLA],0))</f>
        <v>Yes</v>
      </c>
    </row>
    <row r="147" spans="1:9" hidden="1" x14ac:dyDescent="0.25">
      <c r="A147" s="57" t="s">
        <v>39</v>
      </c>
      <c r="B147" s="58" t="s">
        <v>47</v>
      </c>
      <c r="C147" s="58">
        <v>2025</v>
      </c>
      <c r="D147" s="58" t="s">
        <v>17</v>
      </c>
      <c r="E147" s="62">
        <v>2</v>
      </c>
      <c r="F147" s="58" t="str">
        <f>INDEX(functionInfo[Service Lead],MATCH(FTE_stdWD[[#This Row],[Service Description]],functionInfo[Service Description For Invoicing &amp; SLA],0))</f>
        <v>Lovely Rose</v>
      </c>
      <c r="G147" s="58" t="str">
        <f>FTE_stdWD[[#This Row],[Service Description]]&amp;FTE_stdWD[[#This Row],[Country]]&amp;FTE_stdWD[[#This Row],[Year]]&amp;FTE_stdWD[[#This Row],[Month]]</f>
        <v>Finance - Credit ControlMNL2025February</v>
      </c>
      <c r="H147" s="58" t="str">
        <f>INDEX(functionInfo[Daily Dashboard Set-up],MATCH(FTE_stdWD[[#This Row],[Service Description]],functionInfo[Service Description For Invoicing &amp; SLA],0))</f>
        <v>Yes</v>
      </c>
      <c r="I147" s="59" t="str">
        <f>INDEX(functionInfo[Monthly Dashboard],MATCH(FTE_stdWD[[#This Row],[Service Description]],functionInfo[Service Description For Invoicing &amp; SLA],0))</f>
        <v>Yes</v>
      </c>
    </row>
    <row r="148" spans="1:9" hidden="1" x14ac:dyDescent="0.25">
      <c r="A148" s="57" t="s">
        <v>39</v>
      </c>
      <c r="B148" s="58" t="s">
        <v>47</v>
      </c>
      <c r="C148" s="58">
        <v>2025</v>
      </c>
      <c r="D148" s="58" t="s">
        <v>18</v>
      </c>
      <c r="E148" s="62">
        <v>2</v>
      </c>
      <c r="F148" s="58" t="str">
        <f>INDEX(functionInfo[Service Lead],MATCH(FTE_stdWD[[#This Row],[Service Description]],functionInfo[Service Description For Invoicing &amp; SLA],0))</f>
        <v>Lovely Rose</v>
      </c>
      <c r="G148" s="58" t="str">
        <f>FTE_stdWD[[#This Row],[Service Description]]&amp;FTE_stdWD[[#This Row],[Country]]&amp;FTE_stdWD[[#This Row],[Year]]&amp;FTE_stdWD[[#This Row],[Month]]</f>
        <v>Finance - Credit ControlMNL2025March</v>
      </c>
      <c r="H148" s="58" t="str">
        <f>INDEX(functionInfo[Daily Dashboard Set-up],MATCH(FTE_stdWD[[#This Row],[Service Description]],functionInfo[Service Description For Invoicing &amp; SLA],0))</f>
        <v>Yes</v>
      </c>
      <c r="I148" s="59" t="str">
        <f>INDEX(functionInfo[Monthly Dashboard],MATCH(FTE_stdWD[[#This Row],[Service Description]],functionInfo[Service Description For Invoicing &amp; SLA],0))</f>
        <v>Yes</v>
      </c>
    </row>
    <row r="149" spans="1:9" hidden="1" x14ac:dyDescent="0.25">
      <c r="A149" s="57" t="s">
        <v>39</v>
      </c>
      <c r="B149" s="58" t="s">
        <v>47</v>
      </c>
      <c r="C149" s="58">
        <v>2025</v>
      </c>
      <c r="D149" s="58" t="s">
        <v>19</v>
      </c>
      <c r="E149" s="62">
        <v>2</v>
      </c>
      <c r="F149" s="58" t="str">
        <f>INDEX(functionInfo[Service Lead],MATCH(FTE_stdWD[[#This Row],[Service Description]],functionInfo[Service Description For Invoicing &amp; SLA],0))</f>
        <v>Lovely Rose</v>
      </c>
      <c r="G149" s="58" t="str">
        <f>FTE_stdWD[[#This Row],[Service Description]]&amp;FTE_stdWD[[#This Row],[Country]]&amp;FTE_stdWD[[#This Row],[Year]]&amp;FTE_stdWD[[#This Row],[Month]]</f>
        <v>Finance - Credit ControlMNL2025April</v>
      </c>
      <c r="H149" s="58" t="str">
        <f>INDEX(functionInfo[Daily Dashboard Set-up],MATCH(FTE_stdWD[[#This Row],[Service Description]],functionInfo[Service Description For Invoicing &amp; SLA],0))</f>
        <v>Yes</v>
      </c>
      <c r="I149" s="59" t="str">
        <f>INDEX(functionInfo[Monthly Dashboard],MATCH(FTE_stdWD[[#This Row],[Service Description]],functionInfo[Service Description For Invoicing &amp; SLA],0))</f>
        <v>Yes</v>
      </c>
    </row>
    <row r="150" spans="1:9" hidden="1" x14ac:dyDescent="0.25">
      <c r="A150" s="57" t="s">
        <v>39</v>
      </c>
      <c r="B150" s="58" t="s">
        <v>47</v>
      </c>
      <c r="C150" s="58">
        <v>2025</v>
      </c>
      <c r="D150" s="58" t="s">
        <v>20</v>
      </c>
      <c r="E150" s="62">
        <v>2</v>
      </c>
      <c r="F150" s="58" t="str">
        <f>INDEX(functionInfo[Service Lead],MATCH(FTE_stdWD[[#This Row],[Service Description]],functionInfo[Service Description For Invoicing &amp; SLA],0))</f>
        <v>Lovely Rose</v>
      </c>
      <c r="G150" s="58" t="str">
        <f>FTE_stdWD[[#This Row],[Service Description]]&amp;FTE_stdWD[[#This Row],[Country]]&amp;FTE_stdWD[[#This Row],[Year]]&amp;FTE_stdWD[[#This Row],[Month]]</f>
        <v>Finance - Credit ControlMNL2025May</v>
      </c>
      <c r="H150" s="58" t="str">
        <f>INDEX(functionInfo[Daily Dashboard Set-up],MATCH(FTE_stdWD[[#This Row],[Service Description]],functionInfo[Service Description For Invoicing &amp; SLA],0))</f>
        <v>Yes</v>
      </c>
      <c r="I150" s="59" t="str">
        <f>INDEX(functionInfo[Monthly Dashboard],MATCH(FTE_stdWD[[#This Row],[Service Description]],functionInfo[Service Description For Invoicing &amp; SLA],0))</f>
        <v>Yes</v>
      </c>
    </row>
    <row r="151" spans="1:9" hidden="1" x14ac:dyDescent="0.25">
      <c r="A151" s="57" t="s">
        <v>39</v>
      </c>
      <c r="B151" s="58" t="s">
        <v>47</v>
      </c>
      <c r="C151" s="58">
        <v>2025</v>
      </c>
      <c r="D151" s="58" t="s">
        <v>21</v>
      </c>
      <c r="E151" s="62">
        <v>2</v>
      </c>
      <c r="F151" s="58" t="str">
        <f>INDEX(functionInfo[Service Lead],MATCH(FTE_stdWD[[#This Row],[Service Description]],functionInfo[Service Description For Invoicing &amp; SLA],0))</f>
        <v>Lovely Rose</v>
      </c>
      <c r="G151" s="58" t="str">
        <f>FTE_stdWD[[#This Row],[Service Description]]&amp;FTE_stdWD[[#This Row],[Country]]&amp;FTE_stdWD[[#This Row],[Year]]&amp;FTE_stdWD[[#This Row],[Month]]</f>
        <v>Finance - Credit ControlMNL2025June</v>
      </c>
      <c r="H151" s="58" t="str">
        <f>INDEX(functionInfo[Daily Dashboard Set-up],MATCH(FTE_stdWD[[#This Row],[Service Description]],functionInfo[Service Description For Invoicing &amp; SLA],0))</f>
        <v>Yes</v>
      </c>
      <c r="I151" s="59" t="str">
        <f>INDEX(functionInfo[Monthly Dashboard],MATCH(FTE_stdWD[[#This Row],[Service Description]],functionInfo[Service Description For Invoicing &amp; SLA],0))</f>
        <v>Yes</v>
      </c>
    </row>
    <row r="152" spans="1:9" hidden="1" x14ac:dyDescent="0.25">
      <c r="A152" s="57" t="s">
        <v>39</v>
      </c>
      <c r="B152" s="58" t="s">
        <v>47</v>
      </c>
      <c r="C152" s="58">
        <v>2025</v>
      </c>
      <c r="D152" s="58" t="s">
        <v>22</v>
      </c>
      <c r="E152" s="62">
        <v>3</v>
      </c>
      <c r="F152" s="58" t="str">
        <f>INDEX(functionInfo[Service Lead],MATCH(FTE_stdWD[[#This Row],[Service Description]],functionInfo[Service Description For Invoicing &amp; SLA],0))</f>
        <v>Lovely Rose</v>
      </c>
      <c r="G152" s="58" t="str">
        <f>FTE_stdWD[[#This Row],[Service Description]]&amp;FTE_stdWD[[#This Row],[Country]]&amp;FTE_stdWD[[#This Row],[Year]]&amp;FTE_stdWD[[#This Row],[Month]]</f>
        <v>Finance - Credit ControlMNL2025July</v>
      </c>
      <c r="H152" s="58" t="str">
        <f>INDEX(functionInfo[Daily Dashboard Set-up],MATCH(FTE_stdWD[[#This Row],[Service Description]],functionInfo[Service Description For Invoicing &amp; SLA],0))</f>
        <v>Yes</v>
      </c>
      <c r="I152" s="59" t="str">
        <f>INDEX(functionInfo[Monthly Dashboard],MATCH(FTE_stdWD[[#This Row],[Service Description]],functionInfo[Service Description For Invoicing &amp; SLA],0))</f>
        <v>Yes</v>
      </c>
    </row>
    <row r="153" spans="1:9" hidden="1" x14ac:dyDescent="0.25">
      <c r="A153" s="57" t="s">
        <v>39</v>
      </c>
      <c r="B153" s="58" t="s">
        <v>47</v>
      </c>
      <c r="C153" s="58">
        <v>2025</v>
      </c>
      <c r="D153" s="58" t="s">
        <v>46</v>
      </c>
      <c r="E153" s="62">
        <v>3</v>
      </c>
      <c r="F153" s="58" t="str">
        <f>INDEX(functionInfo[Service Lead],MATCH(FTE_stdWD[[#This Row],[Service Description]],functionInfo[Service Description For Invoicing &amp; SLA],0))</f>
        <v>Lovely Rose</v>
      </c>
      <c r="G153" s="58" t="str">
        <f>FTE_stdWD[[#This Row],[Service Description]]&amp;FTE_stdWD[[#This Row],[Country]]&amp;FTE_stdWD[[#This Row],[Year]]&amp;FTE_stdWD[[#This Row],[Month]]</f>
        <v>Finance - Credit ControlMNL2025August</v>
      </c>
      <c r="H153" s="58" t="str">
        <f>INDEX(functionInfo[Daily Dashboard Set-up],MATCH(FTE_stdWD[[#This Row],[Service Description]],functionInfo[Service Description For Invoicing &amp; SLA],0))</f>
        <v>Yes</v>
      </c>
      <c r="I153" s="59" t="str">
        <f>INDEX(functionInfo[Monthly Dashboard],MATCH(FTE_stdWD[[#This Row],[Service Description]],functionInfo[Service Description For Invoicing &amp; SLA],0))</f>
        <v>Yes</v>
      </c>
    </row>
    <row r="154" spans="1:9" hidden="1" x14ac:dyDescent="0.25">
      <c r="A154" s="57" t="s">
        <v>39</v>
      </c>
      <c r="B154" s="58" t="s">
        <v>47</v>
      </c>
      <c r="C154" s="58">
        <v>2025</v>
      </c>
      <c r="D154" s="58" t="s">
        <v>33</v>
      </c>
      <c r="E154" s="62">
        <v>3</v>
      </c>
      <c r="F154" s="58" t="str">
        <f>INDEX(functionInfo[Service Lead],MATCH(FTE_stdWD[[#This Row],[Service Description]],functionInfo[Service Description For Invoicing &amp; SLA],0))</f>
        <v>Lovely Rose</v>
      </c>
      <c r="G154" s="58" t="str">
        <f>FTE_stdWD[[#This Row],[Service Description]]&amp;FTE_stdWD[[#This Row],[Country]]&amp;FTE_stdWD[[#This Row],[Year]]&amp;FTE_stdWD[[#This Row],[Month]]</f>
        <v>Finance - Credit ControlMNL2025September</v>
      </c>
      <c r="H154" s="58" t="str">
        <f>INDEX(functionInfo[Daily Dashboard Set-up],MATCH(FTE_stdWD[[#This Row],[Service Description]],functionInfo[Service Description For Invoicing &amp; SLA],0))</f>
        <v>Yes</v>
      </c>
      <c r="I154" s="59" t="str">
        <f>INDEX(functionInfo[Monthly Dashboard],MATCH(FTE_stdWD[[#This Row],[Service Description]],functionInfo[Service Description For Invoicing &amp; SLA],0))</f>
        <v>Yes</v>
      </c>
    </row>
    <row r="155" spans="1:9" hidden="1" x14ac:dyDescent="0.25">
      <c r="A155" s="57" t="s">
        <v>39</v>
      </c>
      <c r="B155" s="58" t="s">
        <v>47</v>
      </c>
      <c r="C155" s="58">
        <v>2025</v>
      </c>
      <c r="D155" s="58" t="s">
        <v>25</v>
      </c>
      <c r="E155" s="62">
        <v>3</v>
      </c>
      <c r="F155" s="58" t="str">
        <f>INDEX(functionInfo[Service Lead],MATCH(FTE_stdWD[[#This Row],[Service Description]],functionInfo[Service Description For Invoicing &amp; SLA],0))</f>
        <v>Lovely Rose</v>
      </c>
      <c r="G155" s="58" t="str">
        <f>FTE_stdWD[[#This Row],[Service Description]]&amp;FTE_stdWD[[#This Row],[Country]]&amp;FTE_stdWD[[#This Row],[Year]]&amp;FTE_stdWD[[#This Row],[Month]]</f>
        <v>Finance - Credit ControlMNL2025October</v>
      </c>
      <c r="H155" s="58" t="str">
        <f>INDEX(functionInfo[Daily Dashboard Set-up],MATCH(FTE_stdWD[[#This Row],[Service Description]],functionInfo[Service Description For Invoicing &amp; SLA],0))</f>
        <v>Yes</v>
      </c>
      <c r="I155" s="59" t="str">
        <f>INDEX(functionInfo[Monthly Dashboard],MATCH(FTE_stdWD[[#This Row],[Service Description]],functionInfo[Service Description For Invoicing &amp; SLA],0))</f>
        <v>Yes</v>
      </c>
    </row>
    <row r="156" spans="1:9" hidden="1" x14ac:dyDescent="0.25">
      <c r="A156" s="57" t="s">
        <v>39</v>
      </c>
      <c r="B156" s="58" t="s">
        <v>47</v>
      </c>
      <c r="C156" s="58">
        <v>2025</v>
      </c>
      <c r="D156" s="58" t="s">
        <v>26</v>
      </c>
      <c r="E156" s="62">
        <v>3</v>
      </c>
      <c r="F156" s="58" t="str">
        <f>INDEX(functionInfo[Service Lead],MATCH(FTE_stdWD[[#This Row],[Service Description]],functionInfo[Service Description For Invoicing &amp; SLA],0))</f>
        <v>Lovely Rose</v>
      </c>
      <c r="G156" s="58" t="str">
        <f>FTE_stdWD[[#This Row],[Service Description]]&amp;FTE_stdWD[[#This Row],[Country]]&amp;FTE_stdWD[[#This Row],[Year]]&amp;FTE_stdWD[[#This Row],[Month]]</f>
        <v>Finance - Credit ControlMNL2025November</v>
      </c>
      <c r="H156" s="58" t="str">
        <f>INDEX(functionInfo[Daily Dashboard Set-up],MATCH(FTE_stdWD[[#This Row],[Service Description]],functionInfo[Service Description For Invoicing &amp; SLA],0))</f>
        <v>Yes</v>
      </c>
      <c r="I156" s="59" t="str">
        <f>INDEX(functionInfo[Monthly Dashboard],MATCH(FTE_stdWD[[#This Row],[Service Description]],functionInfo[Service Description For Invoicing &amp; SLA],0))</f>
        <v>Yes</v>
      </c>
    </row>
    <row r="157" spans="1:9" hidden="1" x14ac:dyDescent="0.25">
      <c r="A157" s="57" t="s">
        <v>39</v>
      </c>
      <c r="B157" s="58" t="s">
        <v>47</v>
      </c>
      <c r="C157" s="58">
        <v>2025</v>
      </c>
      <c r="D157" s="58" t="s">
        <v>27</v>
      </c>
      <c r="E157" s="62">
        <v>3</v>
      </c>
      <c r="F157" s="58" t="str">
        <f>INDEX(functionInfo[Service Lead],MATCH(FTE_stdWD[[#This Row],[Service Description]],functionInfo[Service Description For Invoicing &amp; SLA],0))</f>
        <v>Lovely Rose</v>
      </c>
      <c r="G157" s="58" t="str">
        <f>FTE_stdWD[[#This Row],[Service Description]]&amp;FTE_stdWD[[#This Row],[Country]]&amp;FTE_stdWD[[#This Row],[Year]]&amp;FTE_stdWD[[#This Row],[Month]]</f>
        <v>Finance - Credit ControlMNL2025December</v>
      </c>
      <c r="H157" s="58" t="str">
        <f>INDEX(functionInfo[Daily Dashboard Set-up],MATCH(FTE_stdWD[[#This Row],[Service Description]],functionInfo[Service Description For Invoicing &amp; SLA],0))</f>
        <v>Yes</v>
      </c>
      <c r="I157" s="59" t="str">
        <f>INDEX(functionInfo[Monthly Dashboard],MATCH(FTE_stdWD[[#This Row],[Service Description]],functionInfo[Service Description For Invoicing &amp; SLA],0))</f>
        <v>Yes</v>
      </c>
    </row>
    <row r="158" spans="1:9" hidden="1" x14ac:dyDescent="0.25">
      <c r="A158" s="57" t="s">
        <v>278</v>
      </c>
      <c r="B158" s="58" t="s">
        <v>45</v>
      </c>
      <c r="C158" s="58">
        <v>2025</v>
      </c>
      <c r="D158" s="58" t="s">
        <v>14</v>
      </c>
      <c r="E158" s="62"/>
      <c r="F158" s="58" t="str">
        <f>INDEX(functionInfo[Service Lead],MATCH(FTE_stdWD[[#This Row],[Service Description]],functionInfo[Service Description For Invoicing &amp; SLA],0))</f>
        <v>Sasha Yan</v>
      </c>
      <c r="G158" s="58" t="str">
        <f>FTE_stdWD[[#This Row],[Service Description]]&amp;FTE_stdWD[[#This Row],[Country]]&amp;FTE_stdWD[[#This Row],[Year]]&amp;FTE_stdWD[[#This Row],[Month]]</f>
        <v>4PL - OperationWUH2025January</v>
      </c>
      <c r="H158" s="58" t="str">
        <f>INDEX(functionInfo[Daily Dashboard Set-up],MATCH(FTE_stdWD[[#This Row],[Service Description]],functionInfo[Service Description For Invoicing &amp; SLA],0))</f>
        <v>Yes</v>
      </c>
      <c r="I158" s="59" t="str">
        <f>INDEX(functionInfo[Monthly Dashboard],MATCH(FTE_stdWD[[#This Row],[Service Description]],functionInfo[Service Description For Invoicing &amp; SLA],0))</f>
        <v>Yes</v>
      </c>
    </row>
    <row r="159" spans="1:9" hidden="1" x14ac:dyDescent="0.25">
      <c r="A159" s="57" t="s">
        <v>278</v>
      </c>
      <c r="B159" s="58" t="s">
        <v>45</v>
      </c>
      <c r="C159" s="58">
        <v>2025</v>
      </c>
      <c r="D159" s="58" t="s">
        <v>17</v>
      </c>
      <c r="E159" s="62"/>
      <c r="F159" s="58" t="str">
        <f>INDEX(functionInfo[Service Lead],MATCH(FTE_stdWD[[#This Row],[Service Description]],functionInfo[Service Description For Invoicing &amp; SLA],0))</f>
        <v>Sasha Yan</v>
      </c>
      <c r="G159" s="58" t="str">
        <f>FTE_stdWD[[#This Row],[Service Description]]&amp;FTE_stdWD[[#This Row],[Country]]&amp;FTE_stdWD[[#This Row],[Year]]&amp;FTE_stdWD[[#This Row],[Month]]</f>
        <v>4PL - OperationWUH2025February</v>
      </c>
      <c r="H159" s="58" t="str">
        <f>INDEX(functionInfo[Daily Dashboard Set-up],MATCH(FTE_stdWD[[#This Row],[Service Description]],functionInfo[Service Description For Invoicing &amp; SLA],0))</f>
        <v>Yes</v>
      </c>
      <c r="I159" s="59" t="str">
        <f>INDEX(functionInfo[Monthly Dashboard],MATCH(FTE_stdWD[[#This Row],[Service Description]],functionInfo[Service Description For Invoicing &amp; SLA],0))</f>
        <v>Yes</v>
      </c>
    </row>
    <row r="160" spans="1:9" hidden="1" x14ac:dyDescent="0.25">
      <c r="A160" s="57" t="s">
        <v>278</v>
      </c>
      <c r="B160" s="58" t="s">
        <v>45</v>
      </c>
      <c r="C160" s="58">
        <v>2025</v>
      </c>
      <c r="D160" s="58" t="s">
        <v>18</v>
      </c>
      <c r="E160" s="62"/>
      <c r="F160" s="58" t="str">
        <f>INDEX(functionInfo[Service Lead],MATCH(FTE_stdWD[[#This Row],[Service Description]],functionInfo[Service Description For Invoicing &amp; SLA],0))</f>
        <v>Sasha Yan</v>
      </c>
      <c r="G160" s="58" t="str">
        <f>FTE_stdWD[[#This Row],[Service Description]]&amp;FTE_stdWD[[#This Row],[Country]]&amp;FTE_stdWD[[#This Row],[Year]]&amp;FTE_stdWD[[#This Row],[Month]]</f>
        <v>4PL - OperationWUH2025March</v>
      </c>
      <c r="H160" s="58" t="str">
        <f>INDEX(functionInfo[Daily Dashboard Set-up],MATCH(FTE_stdWD[[#This Row],[Service Description]],functionInfo[Service Description For Invoicing &amp; SLA],0))</f>
        <v>Yes</v>
      </c>
      <c r="I160" s="59" t="str">
        <f>INDEX(functionInfo[Monthly Dashboard],MATCH(FTE_stdWD[[#This Row],[Service Description]],functionInfo[Service Description For Invoicing &amp; SLA],0))</f>
        <v>Yes</v>
      </c>
    </row>
    <row r="161" spans="1:9" hidden="1" x14ac:dyDescent="0.25">
      <c r="A161" s="57" t="s">
        <v>278</v>
      </c>
      <c r="B161" s="58" t="s">
        <v>45</v>
      </c>
      <c r="C161" s="58">
        <v>2025</v>
      </c>
      <c r="D161" s="58" t="s">
        <v>19</v>
      </c>
      <c r="E161" s="62"/>
      <c r="F161" s="58" t="str">
        <f>INDEX(functionInfo[Service Lead],MATCH(FTE_stdWD[[#This Row],[Service Description]],functionInfo[Service Description For Invoicing &amp; SLA],0))</f>
        <v>Sasha Yan</v>
      </c>
      <c r="G161" s="58" t="str">
        <f>FTE_stdWD[[#This Row],[Service Description]]&amp;FTE_stdWD[[#This Row],[Country]]&amp;FTE_stdWD[[#This Row],[Year]]&amp;FTE_stdWD[[#This Row],[Month]]</f>
        <v>4PL - OperationWUH2025April</v>
      </c>
      <c r="H161" s="58" t="str">
        <f>INDEX(functionInfo[Daily Dashboard Set-up],MATCH(FTE_stdWD[[#This Row],[Service Description]],functionInfo[Service Description For Invoicing &amp; SLA],0))</f>
        <v>Yes</v>
      </c>
      <c r="I161" s="59" t="str">
        <f>INDEX(functionInfo[Monthly Dashboard],MATCH(FTE_stdWD[[#This Row],[Service Description]],functionInfo[Service Description For Invoicing &amp; SLA],0))</f>
        <v>Yes</v>
      </c>
    </row>
    <row r="162" spans="1:9" hidden="1" x14ac:dyDescent="0.25">
      <c r="A162" s="57" t="s">
        <v>278</v>
      </c>
      <c r="B162" s="58" t="s">
        <v>45</v>
      </c>
      <c r="C162" s="58">
        <v>2025</v>
      </c>
      <c r="D162" s="58" t="s">
        <v>20</v>
      </c>
      <c r="E162" s="62"/>
      <c r="F162" s="58" t="str">
        <f>INDEX(functionInfo[Service Lead],MATCH(FTE_stdWD[[#This Row],[Service Description]],functionInfo[Service Description For Invoicing &amp; SLA],0))</f>
        <v>Sasha Yan</v>
      </c>
      <c r="G162" s="58" t="str">
        <f>FTE_stdWD[[#This Row],[Service Description]]&amp;FTE_stdWD[[#This Row],[Country]]&amp;FTE_stdWD[[#This Row],[Year]]&amp;FTE_stdWD[[#This Row],[Month]]</f>
        <v>4PL - OperationWUH2025May</v>
      </c>
      <c r="H162" s="58" t="str">
        <f>INDEX(functionInfo[Daily Dashboard Set-up],MATCH(FTE_stdWD[[#This Row],[Service Description]],functionInfo[Service Description For Invoicing &amp; SLA],0))</f>
        <v>Yes</v>
      </c>
      <c r="I162" s="59" t="str">
        <f>INDEX(functionInfo[Monthly Dashboard],MATCH(FTE_stdWD[[#This Row],[Service Description]],functionInfo[Service Description For Invoicing &amp; SLA],0))</f>
        <v>Yes</v>
      </c>
    </row>
    <row r="163" spans="1:9" hidden="1" x14ac:dyDescent="0.25">
      <c r="A163" s="57" t="s">
        <v>278</v>
      </c>
      <c r="B163" s="58" t="s">
        <v>45</v>
      </c>
      <c r="C163" s="58">
        <v>2025</v>
      </c>
      <c r="D163" s="58" t="s">
        <v>21</v>
      </c>
      <c r="E163" s="62"/>
      <c r="F163" s="58" t="str">
        <f>INDEX(functionInfo[Service Lead],MATCH(FTE_stdWD[[#This Row],[Service Description]],functionInfo[Service Description For Invoicing &amp; SLA],0))</f>
        <v>Sasha Yan</v>
      </c>
      <c r="G163" s="58" t="str">
        <f>FTE_stdWD[[#This Row],[Service Description]]&amp;FTE_stdWD[[#This Row],[Country]]&amp;FTE_stdWD[[#This Row],[Year]]&amp;FTE_stdWD[[#This Row],[Month]]</f>
        <v>4PL - OperationWUH2025June</v>
      </c>
      <c r="H163" s="58" t="str">
        <f>INDEX(functionInfo[Daily Dashboard Set-up],MATCH(FTE_stdWD[[#This Row],[Service Description]],functionInfo[Service Description For Invoicing &amp; SLA],0))</f>
        <v>Yes</v>
      </c>
      <c r="I163" s="59" t="str">
        <f>INDEX(functionInfo[Monthly Dashboard],MATCH(FTE_stdWD[[#This Row],[Service Description]],functionInfo[Service Description For Invoicing &amp; SLA],0))</f>
        <v>Yes</v>
      </c>
    </row>
    <row r="164" spans="1:9" hidden="1" x14ac:dyDescent="0.25">
      <c r="A164" s="57" t="s">
        <v>278</v>
      </c>
      <c r="B164" s="58" t="s">
        <v>45</v>
      </c>
      <c r="C164" s="58">
        <v>2025</v>
      </c>
      <c r="D164" s="58" t="s">
        <v>22</v>
      </c>
      <c r="E164" s="62"/>
      <c r="F164" s="58" t="str">
        <f>INDEX(functionInfo[Service Lead],MATCH(FTE_stdWD[[#This Row],[Service Description]],functionInfo[Service Description For Invoicing &amp; SLA],0))</f>
        <v>Sasha Yan</v>
      </c>
      <c r="G164" s="58" t="str">
        <f>FTE_stdWD[[#This Row],[Service Description]]&amp;FTE_stdWD[[#This Row],[Country]]&amp;FTE_stdWD[[#This Row],[Year]]&amp;FTE_stdWD[[#This Row],[Month]]</f>
        <v>4PL - OperationWUH2025July</v>
      </c>
      <c r="H164" s="58" t="str">
        <f>INDEX(functionInfo[Daily Dashboard Set-up],MATCH(FTE_stdWD[[#This Row],[Service Description]],functionInfo[Service Description For Invoicing &amp; SLA],0))</f>
        <v>Yes</v>
      </c>
      <c r="I164" s="59" t="str">
        <f>INDEX(functionInfo[Monthly Dashboard],MATCH(FTE_stdWD[[#This Row],[Service Description]],functionInfo[Service Description For Invoicing &amp; SLA],0))</f>
        <v>Yes</v>
      </c>
    </row>
    <row r="165" spans="1:9" hidden="1" x14ac:dyDescent="0.25">
      <c r="A165" s="57" t="s">
        <v>278</v>
      </c>
      <c r="B165" s="58" t="s">
        <v>45</v>
      </c>
      <c r="C165" s="58">
        <v>2025</v>
      </c>
      <c r="D165" s="58" t="s">
        <v>46</v>
      </c>
      <c r="E165" s="62"/>
      <c r="F165" s="58" t="str">
        <f>INDEX(functionInfo[Service Lead],MATCH(FTE_stdWD[[#This Row],[Service Description]],functionInfo[Service Description For Invoicing &amp; SLA],0))</f>
        <v>Sasha Yan</v>
      </c>
      <c r="G165" s="58" t="str">
        <f>FTE_stdWD[[#This Row],[Service Description]]&amp;FTE_stdWD[[#This Row],[Country]]&amp;FTE_stdWD[[#This Row],[Year]]&amp;FTE_stdWD[[#This Row],[Month]]</f>
        <v>4PL - OperationWUH2025August</v>
      </c>
      <c r="H165" s="58" t="str">
        <f>INDEX(functionInfo[Daily Dashboard Set-up],MATCH(FTE_stdWD[[#This Row],[Service Description]],functionInfo[Service Description For Invoicing &amp; SLA],0))</f>
        <v>Yes</v>
      </c>
      <c r="I165" s="59" t="str">
        <f>INDEX(functionInfo[Monthly Dashboard],MATCH(FTE_stdWD[[#This Row],[Service Description]],functionInfo[Service Description For Invoicing &amp; SLA],0))</f>
        <v>Yes</v>
      </c>
    </row>
    <row r="166" spans="1:9" hidden="1" x14ac:dyDescent="0.25">
      <c r="A166" s="57" t="s">
        <v>278</v>
      </c>
      <c r="B166" s="58" t="s">
        <v>45</v>
      </c>
      <c r="C166" s="58">
        <v>2025</v>
      </c>
      <c r="D166" s="58" t="s">
        <v>33</v>
      </c>
      <c r="E166" s="62"/>
      <c r="F166" s="58" t="str">
        <f>INDEX(functionInfo[Service Lead],MATCH(FTE_stdWD[[#This Row],[Service Description]],functionInfo[Service Description For Invoicing &amp; SLA],0))</f>
        <v>Sasha Yan</v>
      </c>
      <c r="G166" s="58" t="str">
        <f>FTE_stdWD[[#This Row],[Service Description]]&amp;FTE_stdWD[[#This Row],[Country]]&amp;FTE_stdWD[[#This Row],[Year]]&amp;FTE_stdWD[[#This Row],[Month]]</f>
        <v>4PL - OperationWUH2025September</v>
      </c>
      <c r="H166" s="58" t="str">
        <f>INDEX(functionInfo[Daily Dashboard Set-up],MATCH(FTE_stdWD[[#This Row],[Service Description]],functionInfo[Service Description For Invoicing &amp; SLA],0))</f>
        <v>Yes</v>
      </c>
      <c r="I166" s="59" t="str">
        <f>INDEX(functionInfo[Monthly Dashboard],MATCH(FTE_stdWD[[#This Row],[Service Description]],functionInfo[Service Description For Invoicing &amp; SLA],0))</f>
        <v>Yes</v>
      </c>
    </row>
    <row r="167" spans="1:9" hidden="1" x14ac:dyDescent="0.25">
      <c r="A167" s="57" t="s">
        <v>278</v>
      </c>
      <c r="B167" s="58" t="s">
        <v>45</v>
      </c>
      <c r="C167" s="58">
        <v>2025</v>
      </c>
      <c r="D167" s="58" t="s">
        <v>25</v>
      </c>
      <c r="E167" s="62"/>
      <c r="F167" s="58" t="str">
        <f>INDEX(functionInfo[Service Lead],MATCH(FTE_stdWD[[#This Row],[Service Description]],functionInfo[Service Description For Invoicing &amp; SLA],0))</f>
        <v>Sasha Yan</v>
      </c>
      <c r="G167" s="58" t="str">
        <f>FTE_stdWD[[#This Row],[Service Description]]&amp;FTE_stdWD[[#This Row],[Country]]&amp;FTE_stdWD[[#This Row],[Year]]&amp;FTE_stdWD[[#This Row],[Month]]</f>
        <v>4PL - OperationWUH2025October</v>
      </c>
      <c r="H167" s="58" t="str">
        <f>INDEX(functionInfo[Daily Dashboard Set-up],MATCH(FTE_stdWD[[#This Row],[Service Description]],functionInfo[Service Description For Invoicing &amp; SLA],0))</f>
        <v>Yes</v>
      </c>
      <c r="I167" s="59" t="str">
        <f>INDEX(functionInfo[Monthly Dashboard],MATCH(FTE_stdWD[[#This Row],[Service Description]],functionInfo[Service Description For Invoicing &amp; SLA],0))</f>
        <v>Yes</v>
      </c>
    </row>
    <row r="168" spans="1:9" hidden="1" x14ac:dyDescent="0.25">
      <c r="A168" s="57" t="s">
        <v>278</v>
      </c>
      <c r="B168" s="58" t="s">
        <v>45</v>
      </c>
      <c r="C168" s="58">
        <v>2025</v>
      </c>
      <c r="D168" s="58" t="s">
        <v>26</v>
      </c>
      <c r="E168" s="62"/>
      <c r="F168" s="58" t="str">
        <f>INDEX(functionInfo[Service Lead],MATCH(FTE_stdWD[[#This Row],[Service Description]],functionInfo[Service Description For Invoicing &amp; SLA],0))</f>
        <v>Sasha Yan</v>
      </c>
      <c r="G168" s="58" t="str">
        <f>FTE_stdWD[[#This Row],[Service Description]]&amp;FTE_stdWD[[#This Row],[Country]]&amp;FTE_stdWD[[#This Row],[Year]]&amp;FTE_stdWD[[#This Row],[Month]]</f>
        <v>4PL - OperationWUH2025November</v>
      </c>
      <c r="H168" s="58" t="str">
        <f>INDEX(functionInfo[Daily Dashboard Set-up],MATCH(FTE_stdWD[[#This Row],[Service Description]],functionInfo[Service Description For Invoicing &amp; SLA],0))</f>
        <v>Yes</v>
      </c>
      <c r="I168" s="59" t="str">
        <f>INDEX(functionInfo[Monthly Dashboard],MATCH(FTE_stdWD[[#This Row],[Service Description]],functionInfo[Service Description For Invoicing &amp; SLA],0))</f>
        <v>Yes</v>
      </c>
    </row>
    <row r="169" spans="1:9" hidden="1" x14ac:dyDescent="0.25">
      <c r="A169" s="57" t="s">
        <v>278</v>
      </c>
      <c r="B169" s="58" t="s">
        <v>45</v>
      </c>
      <c r="C169" s="58">
        <v>2025</v>
      </c>
      <c r="D169" s="58" t="s">
        <v>27</v>
      </c>
      <c r="E169" s="62"/>
      <c r="F169" s="58" t="str">
        <f>INDEX(functionInfo[Service Lead],MATCH(FTE_stdWD[[#This Row],[Service Description]],functionInfo[Service Description For Invoicing &amp; SLA],0))</f>
        <v>Sasha Yan</v>
      </c>
      <c r="G169" s="58" t="str">
        <f>FTE_stdWD[[#This Row],[Service Description]]&amp;FTE_stdWD[[#This Row],[Country]]&amp;FTE_stdWD[[#This Row],[Year]]&amp;FTE_stdWD[[#This Row],[Month]]</f>
        <v>4PL - OperationWUH2025December</v>
      </c>
      <c r="H169" s="58" t="str">
        <f>INDEX(functionInfo[Daily Dashboard Set-up],MATCH(FTE_stdWD[[#This Row],[Service Description]],functionInfo[Service Description For Invoicing &amp; SLA],0))</f>
        <v>Yes</v>
      </c>
      <c r="I169" s="59" t="str">
        <f>INDEX(functionInfo[Monthly Dashboard],MATCH(FTE_stdWD[[#This Row],[Service Description]],functionInfo[Service Description For Invoicing &amp; SLA],0))</f>
        <v>Yes</v>
      </c>
    </row>
    <row r="170" spans="1:9" hidden="1" x14ac:dyDescent="0.25">
      <c r="A170" s="57" t="s">
        <v>278</v>
      </c>
      <c r="B170" s="58" t="s">
        <v>47</v>
      </c>
      <c r="C170" s="58">
        <v>2025</v>
      </c>
      <c r="D170" s="58" t="s">
        <v>14</v>
      </c>
      <c r="E170" s="62"/>
      <c r="F170" s="58" t="str">
        <f>INDEX(functionInfo[Service Lead],MATCH(FTE_stdWD[[#This Row],[Service Description]],functionInfo[Service Description For Invoicing &amp; SLA],0))</f>
        <v>Sasha Yan</v>
      </c>
      <c r="G170" s="58" t="str">
        <f>FTE_stdWD[[#This Row],[Service Description]]&amp;FTE_stdWD[[#This Row],[Country]]&amp;FTE_stdWD[[#This Row],[Year]]&amp;FTE_stdWD[[#This Row],[Month]]</f>
        <v>4PL - OperationMNL2025January</v>
      </c>
      <c r="H170" s="58" t="str">
        <f>INDEX(functionInfo[Daily Dashboard Set-up],MATCH(FTE_stdWD[[#This Row],[Service Description]],functionInfo[Service Description For Invoicing &amp; SLA],0))</f>
        <v>Yes</v>
      </c>
      <c r="I170" s="59" t="str">
        <f>INDEX(functionInfo[Monthly Dashboard],MATCH(FTE_stdWD[[#This Row],[Service Description]],functionInfo[Service Description For Invoicing &amp; SLA],0))</f>
        <v>Yes</v>
      </c>
    </row>
    <row r="171" spans="1:9" hidden="1" x14ac:dyDescent="0.25">
      <c r="A171" s="57" t="s">
        <v>278</v>
      </c>
      <c r="B171" s="58" t="s">
        <v>47</v>
      </c>
      <c r="C171" s="58">
        <v>2025</v>
      </c>
      <c r="D171" s="58" t="s">
        <v>17</v>
      </c>
      <c r="E171" s="62"/>
      <c r="F171" s="58" t="str">
        <f>INDEX(functionInfo[Service Lead],MATCH(FTE_stdWD[[#This Row],[Service Description]],functionInfo[Service Description For Invoicing &amp; SLA],0))</f>
        <v>Sasha Yan</v>
      </c>
      <c r="G171" s="58" t="str">
        <f>FTE_stdWD[[#This Row],[Service Description]]&amp;FTE_stdWD[[#This Row],[Country]]&amp;FTE_stdWD[[#This Row],[Year]]&amp;FTE_stdWD[[#This Row],[Month]]</f>
        <v>4PL - OperationMNL2025February</v>
      </c>
      <c r="H171" s="58" t="str">
        <f>INDEX(functionInfo[Daily Dashboard Set-up],MATCH(FTE_stdWD[[#This Row],[Service Description]],functionInfo[Service Description For Invoicing &amp; SLA],0))</f>
        <v>Yes</v>
      </c>
      <c r="I171" s="59" t="str">
        <f>INDEX(functionInfo[Monthly Dashboard],MATCH(FTE_stdWD[[#This Row],[Service Description]],functionInfo[Service Description For Invoicing &amp; SLA],0))</f>
        <v>Yes</v>
      </c>
    </row>
    <row r="172" spans="1:9" hidden="1" x14ac:dyDescent="0.25">
      <c r="A172" s="57" t="s">
        <v>278</v>
      </c>
      <c r="B172" s="58" t="s">
        <v>47</v>
      </c>
      <c r="C172" s="58">
        <v>2025</v>
      </c>
      <c r="D172" s="58" t="s">
        <v>18</v>
      </c>
      <c r="E172" s="62"/>
      <c r="F172" s="58" t="str">
        <f>INDEX(functionInfo[Service Lead],MATCH(FTE_stdWD[[#This Row],[Service Description]],functionInfo[Service Description For Invoicing &amp; SLA],0))</f>
        <v>Sasha Yan</v>
      </c>
      <c r="G172" s="58" t="str">
        <f>FTE_stdWD[[#This Row],[Service Description]]&amp;FTE_stdWD[[#This Row],[Country]]&amp;FTE_stdWD[[#This Row],[Year]]&amp;FTE_stdWD[[#This Row],[Month]]</f>
        <v>4PL - OperationMNL2025March</v>
      </c>
      <c r="H172" s="58" t="str">
        <f>INDEX(functionInfo[Daily Dashboard Set-up],MATCH(FTE_stdWD[[#This Row],[Service Description]],functionInfo[Service Description For Invoicing &amp; SLA],0))</f>
        <v>Yes</v>
      </c>
      <c r="I172" s="59" t="str">
        <f>INDEX(functionInfo[Monthly Dashboard],MATCH(FTE_stdWD[[#This Row],[Service Description]],functionInfo[Service Description For Invoicing &amp; SLA],0))</f>
        <v>Yes</v>
      </c>
    </row>
    <row r="173" spans="1:9" hidden="1" x14ac:dyDescent="0.25">
      <c r="A173" s="57" t="s">
        <v>278</v>
      </c>
      <c r="B173" s="58" t="s">
        <v>47</v>
      </c>
      <c r="C173" s="58">
        <v>2025</v>
      </c>
      <c r="D173" s="58" t="s">
        <v>19</v>
      </c>
      <c r="E173" s="62"/>
      <c r="F173" s="58" t="str">
        <f>INDEX(functionInfo[Service Lead],MATCH(FTE_stdWD[[#This Row],[Service Description]],functionInfo[Service Description For Invoicing &amp; SLA],0))</f>
        <v>Sasha Yan</v>
      </c>
      <c r="G173" s="58" t="str">
        <f>FTE_stdWD[[#This Row],[Service Description]]&amp;FTE_stdWD[[#This Row],[Country]]&amp;FTE_stdWD[[#This Row],[Year]]&amp;FTE_stdWD[[#This Row],[Month]]</f>
        <v>4PL - OperationMNL2025April</v>
      </c>
      <c r="H173" s="58" t="str">
        <f>INDEX(functionInfo[Daily Dashboard Set-up],MATCH(FTE_stdWD[[#This Row],[Service Description]],functionInfo[Service Description For Invoicing &amp; SLA],0))</f>
        <v>Yes</v>
      </c>
      <c r="I173" s="59" t="str">
        <f>INDEX(functionInfo[Monthly Dashboard],MATCH(FTE_stdWD[[#This Row],[Service Description]],functionInfo[Service Description For Invoicing &amp; SLA],0))</f>
        <v>Yes</v>
      </c>
    </row>
    <row r="174" spans="1:9" hidden="1" x14ac:dyDescent="0.25">
      <c r="A174" s="57" t="s">
        <v>278</v>
      </c>
      <c r="B174" s="58" t="s">
        <v>47</v>
      </c>
      <c r="C174" s="58">
        <v>2025</v>
      </c>
      <c r="D174" s="58" t="s">
        <v>20</v>
      </c>
      <c r="E174" s="62"/>
      <c r="F174" s="58" t="str">
        <f>INDEX(functionInfo[Service Lead],MATCH(FTE_stdWD[[#This Row],[Service Description]],functionInfo[Service Description For Invoicing &amp; SLA],0))</f>
        <v>Sasha Yan</v>
      </c>
      <c r="G174" s="58" t="str">
        <f>FTE_stdWD[[#This Row],[Service Description]]&amp;FTE_stdWD[[#This Row],[Country]]&amp;FTE_stdWD[[#This Row],[Year]]&amp;FTE_stdWD[[#This Row],[Month]]</f>
        <v>4PL - OperationMNL2025May</v>
      </c>
      <c r="H174" s="58" t="str">
        <f>INDEX(functionInfo[Daily Dashboard Set-up],MATCH(FTE_stdWD[[#This Row],[Service Description]],functionInfo[Service Description For Invoicing &amp; SLA],0))</f>
        <v>Yes</v>
      </c>
      <c r="I174" s="59" t="str">
        <f>INDEX(functionInfo[Monthly Dashboard],MATCH(FTE_stdWD[[#This Row],[Service Description]],functionInfo[Service Description For Invoicing &amp; SLA],0))</f>
        <v>Yes</v>
      </c>
    </row>
    <row r="175" spans="1:9" hidden="1" x14ac:dyDescent="0.25">
      <c r="A175" s="57" t="s">
        <v>278</v>
      </c>
      <c r="B175" s="58" t="s">
        <v>47</v>
      </c>
      <c r="C175" s="58">
        <v>2025</v>
      </c>
      <c r="D175" s="58" t="s">
        <v>21</v>
      </c>
      <c r="E175" s="62"/>
      <c r="F175" s="58" t="str">
        <f>INDEX(functionInfo[Service Lead],MATCH(FTE_stdWD[[#This Row],[Service Description]],functionInfo[Service Description For Invoicing &amp; SLA],0))</f>
        <v>Sasha Yan</v>
      </c>
      <c r="G175" s="58" t="str">
        <f>FTE_stdWD[[#This Row],[Service Description]]&amp;FTE_stdWD[[#This Row],[Country]]&amp;FTE_stdWD[[#This Row],[Year]]&amp;FTE_stdWD[[#This Row],[Month]]</f>
        <v>4PL - OperationMNL2025June</v>
      </c>
      <c r="H175" s="58" t="str">
        <f>INDEX(functionInfo[Daily Dashboard Set-up],MATCH(FTE_stdWD[[#This Row],[Service Description]],functionInfo[Service Description For Invoicing &amp; SLA],0))</f>
        <v>Yes</v>
      </c>
      <c r="I175" s="59" t="str">
        <f>INDEX(functionInfo[Monthly Dashboard],MATCH(FTE_stdWD[[#This Row],[Service Description]],functionInfo[Service Description For Invoicing &amp; SLA],0))</f>
        <v>Yes</v>
      </c>
    </row>
    <row r="176" spans="1:9" hidden="1" x14ac:dyDescent="0.25">
      <c r="A176" s="57" t="s">
        <v>278</v>
      </c>
      <c r="B176" s="58" t="s">
        <v>47</v>
      </c>
      <c r="C176" s="58">
        <v>2025</v>
      </c>
      <c r="D176" s="58" t="s">
        <v>22</v>
      </c>
      <c r="E176" s="62"/>
      <c r="F176" s="58" t="str">
        <f>INDEX(functionInfo[Service Lead],MATCH(FTE_stdWD[[#This Row],[Service Description]],functionInfo[Service Description For Invoicing &amp; SLA],0))</f>
        <v>Sasha Yan</v>
      </c>
      <c r="G176" s="58" t="str">
        <f>FTE_stdWD[[#This Row],[Service Description]]&amp;FTE_stdWD[[#This Row],[Country]]&amp;FTE_stdWD[[#This Row],[Year]]&amp;FTE_stdWD[[#This Row],[Month]]</f>
        <v>4PL - OperationMNL2025July</v>
      </c>
      <c r="H176" s="58" t="str">
        <f>INDEX(functionInfo[Daily Dashboard Set-up],MATCH(FTE_stdWD[[#This Row],[Service Description]],functionInfo[Service Description For Invoicing &amp; SLA],0))</f>
        <v>Yes</v>
      </c>
      <c r="I176" s="59" t="str">
        <f>INDEX(functionInfo[Monthly Dashboard],MATCH(FTE_stdWD[[#This Row],[Service Description]],functionInfo[Service Description For Invoicing &amp; SLA],0))</f>
        <v>Yes</v>
      </c>
    </row>
    <row r="177" spans="1:9" hidden="1" x14ac:dyDescent="0.25">
      <c r="A177" s="57" t="s">
        <v>278</v>
      </c>
      <c r="B177" s="58" t="s">
        <v>47</v>
      </c>
      <c r="C177" s="58">
        <v>2025</v>
      </c>
      <c r="D177" s="58" t="s">
        <v>46</v>
      </c>
      <c r="E177" s="62"/>
      <c r="F177" s="58" t="str">
        <f>INDEX(functionInfo[Service Lead],MATCH(FTE_stdWD[[#This Row],[Service Description]],functionInfo[Service Description For Invoicing &amp; SLA],0))</f>
        <v>Sasha Yan</v>
      </c>
      <c r="G177" s="58" t="str">
        <f>FTE_stdWD[[#This Row],[Service Description]]&amp;FTE_stdWD[[#This Row],[Country]]&amp;FTE_stdWD[[#This Row],[Year]]&amp;FTE_stdWD[[#This Row],[Month]]</f>
        <v>4PL - OperationMNL2025August</v>
      </c>
      <c r="H177" s="58" t="str">
        <f>INDEX(functionInfo[Daily Dashboard Set-up],MATCH(FTE_stdWD[[#This Row],[Service Description]],functionInfo[Service Description For Invoicing &amp; SLA],0))</f>
        <v>Yes</v>
      </c>
      <c r="I177" s="59" t="str">
        <f>INDEX(functionInfo[Monthly Dashboard],MATCH(FTE_stdWD[[#This Row],[Service Description]],functionInfo[Service Description For Invoicing &amp; SLA],0))</f>
        <v>Yes</v>
      </c>
    </row>
    <row r="178" spans="1:9" hidden="1" x14ac:dyDescent="0.25">
      <c r="A178" s="57" t="s">
        <v>278</v>
      </c>
      <c r="B178" s="58" t="s">
        <v>47</v>
      </c>
      <c r="C178" s="58">
        <v>2025</v>
      </c>
      <c r="D178" s="58" t="s">
        <v>33</v>
      </c>
      <c r="E178" s="62"/>
      <c r="F178" s="58" t="str">
        <f>INDEX(functionInfo[Service Lead],MATCH(FTE_stdWD[[#This Row],[Service Description]],functionInfo[Service Description For Invoicing &amp; SLA],0))</f>
        <v>Sasha Yan</v>
      </c>
      <c r="G178" s="58" t="str">
        <f>FTE_stdWD[[#This Row],[Service Description]]&amp;FTE_stdWD[[#This Row],[Country]]&amp;FTE_stdWD[[#This Row],[Year]]&amp;FTE_stdWD[[#This Row],[Month]]</f>
        <v>4PL - OperationMNL2025September</v>
      </c>
      <c r="H178" s="58" t="str">
        <f>INDEX(functionInfo[Daily Dashboard Set-up],MATCH(FTE_stdWD[[#This Row],[Service Description]],functionInfo[Service Description For Invoicing &amp; SLA],0))</f>
        <v>Yes</v>
      </c>
      <c r="I178" s="59" t="str">
        <f>INDEX(functionInfo[Monthly Dashboard],MATCH(FTE_stdWD[[#This Row],[Service Description]],functionInfo[Service Description For Invoicing &amp; SLA],0))</f>
        <v>Yes</v>
      </c>
    </row>
    <row r="179" spans="1:9" hidden="1" x14ac:dyDescent="0.25">
      <c r="A179" s="57" t="s">
        <v>278</v>
      </c>
      <c r="B179" s="58" t="s">
        <v>47</v>
      </c>
      <c r="C179" s="58">
        <v>2025</v>
      </c>
      <c r="D179" s="58" t="s">
        <v>25</v>
      </c>
      <c r="E179" s="62"/>
      <c r="F179" s="58" t="str">
        <f>INDEX(functionInfo[Service Lead],MATCH(FTE_stdWD[[#This Row],[Service Description]],functionInfo[Service Description For Invoicing &amp; SLA],0))</f>
        <v>Sasha Yan</v>
      </c>
      <c r="G179" s="58" t="str">
        <f>FTE_stdWD[[#This Row],[Service Description]]&amp;FTE_stdWD[[#This Row],[Country]]&amp;FTE_stdWD[[#This Row],[Year]]&amp;FTE_stdWD[[#This Row],[Month]]</f>
        <v>4PL - OperationMNL2025October</v>
      </c>
      <c r="H179" s="58" t="str">
        <f>INDEX(functionInfo[Daily Dashboard Set-up],MATCH(FTE_stdWD[[#This Row],[Service Description]],functionInfo[Service Description For Invoicing &amp; SLA],0))</f>
        <v>Yes</v>
      </c>
      <c r="I179" s="59" t="str">
        <f>INDEX(functionInfo[Monthly Dashboard],MATCH(FTE_stdWD[[#This Row],[Service Description]],functionInfo[Service Description For Invoicing &amp; SLA],0))</f>
        <v>Yes</v>
      </c>
    </row>
    <row r="180" spans="1:9" hidden="1" x14ac:dyDescent="0.25">
      <c r="A180" s="57" t="s">
        <v>278</v>
      </c>
      <c r="B180" s="58" t="s">
        <v>47</v>
      </c>
      <c r="C180" s="58">
        <v>2025</v>
      </c>
      <c r="D180" s="58" t="s">
        <v>26</v>
      </c>
      <c r="E180" s="62"/>
      <c r="F180" s="58" t="str">
        <f>INDEX(functionInfo[Service Lead],MATCH(FTE_stdWD[[#This Row],[Service Description]],functionInfo[Service Description For Invoicing &amp; SLA],0))</f>
        <v>Sasha Yan</v>
      </c>
      <c r="G180" s="58" t="str">
        <f>FTE_stdWD[[#This Row],[Service Description]]&amp;FTE_stdWD[[#This Row],[Country]]&amp;FTE_stdWD[[#This Row],[Year]]&amp;FTE_stdWD[[#This Row],[Month]]</f>
        <v>4PL - OperationMNL2025November</v>
      </c>
      <c r="H180" s="58" t="str">
        <f>INDEX(functionInfo[Daily Dashboard Set-up],MATCH(FTE_stdWD[[#This Row],[Service Description]],functionInfo[Service Description For Invoicing &amp; SLA],0))</f>
        <v>Yes</v>
      </c>
      <c r="I180" s="59" t="str">
        <f>INDEX(functionInfo[Monthly Dashboard],MATCH(FTE_stdWD[[#This Row],[Service Description]],functionInfo[Service Description For Invoicing &amp; SLA],0))</f>
        <v>Yes</v>
      </c>
    </row>
    <row r="181" spans="1:9" hidden="1" x14ac:dyDescent="0.25">
      <c r="A181" s="57" t="s">
        <v>278</v>
      </c>
      <c r="B181" s="58" t="s">
        <v>47</v>
      </c>
      <c r="C181" s="58">
        <v>2025</v>
      </c>
      <c r="D181" s="58" t="s">
        <v>27</v>
      </c>
      <c r="E181" s="62"/>
      <c r="F181" s="58" t="str">
        <f>INDEX(functionInfo[Service Lead],MATCH(FTE_stdWD[[#This Row],[Service Description]],functionInfo[Service Description For Invoicing &amp; SLA],0))</f>
        <v>Sasha Yan</v>
      </c>
      <c r="G181" s="58" t="str">
        <f>FTE_stdWD[[#This Row],[Service Description]]&amp;FTE_stdWD[[#This Row],[Country]]&amp;FTE_stdWD[[#This Row],[Year]]&amp;FTE_stdWD[[#This Row],[Month]]</f>
        <v>4PL - OperationMNL2025December</v>
      </c>
      <c r="H181" s="58" t="str">
        <f>INDEX(functionInfo[Daily Dashboard Set-up],MATCH(FTE_stdWD[[#This Row],[Service Description]],functionInfo[Service Description For Invoicing &amp; SLA],0))</f>
        <v>Yes</v>
      </c>
      <c r="I181" s="59" t="str">
        <f>INDEX(functionInfo[Monthly Dashboard],MATCH(FTE_stdWD[[#This Row],[Service Description]],functionInfo[Service Description For Invoicing &amp; SLA],0))</f>
        <v>Yes</v>
      </c>
    </row>
    <row r="182" spans="1:9" hidden="1" x14ac:dyDescent="0.25">
      <c r="A182" s="57" t="s">
        <v>183</v>
      </c>
      <c r="B182" s="58" t="s">
        <v>47</v>
      </c>
      <c r="C182" s="58">
        <v>2025</v>
      </c>
      <c r="D182" s="58" t="s">
        <v>14</v>
      </c>
      <c r="E182" s="62">
        <v>2</v>
      </c>
      <c r="F182" s="58" t="str">
        <f>INDEX(functionInfo[Service Lead],MATCH(FTE_stdWD[[#This Row],[Service Description]],functionInfo[Service Description For Invoicing &amp; SLA],0))</f>
        <v>Rey Michael Estela</v>
      </c>
      <c r="G182" s="58" t="str">
        <f>FTE_stdWD[[#This Row],[Service Description]]&amp;FTE_stdWD[[#This Row],[Country]]&amp;FTE_stdWD[[#This Row],[Year]]&amp;FTE_stdWD[[#This Row],[Month]]</f>
        <v>Sales - Customer ReportingMNL2025January</v>
      </c>
      <c r="H182" s="58" t="str">
        <f>INDEX(functionInfo[Daily Dashboard Set-up],MATCH(FTE_stdWD[[#This Row],[Service Description]],functionInfo[Service Description For Invoicing &amp; SLA],0))</f>
        <v>Yes</v>
      </c>
      <c r="I182" s="59" t="str">
        <f>INDEX(functionInfo[Monthly Dashboard],MATCH(FTE_stdWD[[#This Row],[Service Description]],functionInfo[Service Description For Invoicing &amp; SLA],0))</f>
        <v>Yes</v>
      </c>
    </row>
    <row r="183" spans="1:9" hidden="1" x14ac:dyDescent="0.25">
      <c r="A183" s="57" t="s">
        <v>183</v>
      </c>
      <c r="B183" s="58" t="s">
        <v>47</v>
      </c>
      <c r="C183" s="58">
        <v>2025</v>
      </c>
      <c r="D183" s="58" t="s">
        <v>17</v>
      </c>
      <c r="E183" s="62">
        <v>2</v>
      </c>
      <c r="F183" s="58" t="str">
        <f>INDEX(functionInfo[Service Lead],MATCH(FTE_stdWD[[#This Row],[Service Description]],functionInfo[Service Description For Invoicing &amp; SLA],0))</f>
        <v>Rey Michael Estela</v>
      </c>
      <c r="G183" s="58" t="str">
        <f>FTE_stdWD[[#This Row],[Service Description]]&amp;FTE_stdWD[[#This Row],[Country]]&amp;FTE_stdWD[[#This Row],[Year]]&amp;FTE_stdWD[[#This Row],[Month]]</f>
        <v>Sales - Customer ReportingMNL2025February</v>
      </c>
      <c r="H183" s="58" t="str">
        <f>INDEX(functionInfo[Daily Dashboard Set-up],MATCH(FTE_stdWD[[#This Row],[Service Description]],functionInfo[Service Description For Invoicing &amp; SLA],0))</f>
        <v>Yes</v>
      </c>
      <c r="I183" s="59" t="str">
        <f>INDEX(functionInfo[Monthly Dashboard],MATCH(FTE_stdWD[[#This Row],[Service Description]],functionInfo[Service Description For Invoicing &amp; SLA],0))</f>
        <v>Yes</v>
      </c>
    </row>
    <row r="184" spans="1:9" hidden="1" x14ac:dyDescent="0.25">
      <c r="A184" s="57" t="s">
        <v>183</v>
      </c>
      <c r="B184" s="58" t="s">
        <v>47</v>
      </c>
      <c r="C184" s="58">
        <v>2025</v>
      </c>
      <c r="D184" s="58" t="s">
        <v>18</v>
      </c>
      <c r="E184" s="62">
        <v>2</v>
      </c>
      <c r="F184" s="58" t="str">
        <f>INDEX(functionInfo[Service Lead],MATCH(FTE_stdWD[[#This Row],[Service Description]],functionInfo[Service Description For Invoicing &amp; SLA],0))</f>
        <v>Rey Michael Estela</v>
      </c>
      <c r="G184" s="58" t="str">
        <f>FTE_stdWD[[#This Row],[Service Description]]&amp;FTE_stdWD[[#This Row],[Country]]&amp;FTE_stdWD[[#This Row],[Year]]&amp;FTE_stdWD[[#This Row],[Month]]</f>
        <v>Sales - Customer ReportingMNL2025March</v>
      </c>
      <c r="H184" s="58" t="str">
        <f>INDEX(functionInfo[Daily Dashboard Set-up],MATCH(FTE_stdWD[[#This Row],[Service Description]],functionInfo[Service Description For Invoicing &amp; SLA],0))</f>
        <v>Yes</v>
      </c>
      <c r="I184" s="59" t="str">
        <f>INDEX(functionInfo[Monthly Dashboard],MATCH(FTE_stdWD[[#This Row],[Service Description]],functionInfo[Service Description For Invoicing &amp; SLA],0))</f>
        <v>Yes</v>
      </c>
    </row>
    <row r="185" spans="1:9" hidden="1" x14ac:dyDescent="0.25">
      <c r="A185" s="57" t="s">
        <v>183</v>
      </c>
      <c r="B185" s="58" t="s">
        <v>47</v>
      </c>
      <c r="C185" s="58">
        <v>2025</v>
      </c>
      <c r="D185" s="58" t="s">
        <v>19</v>
      </c>
      <c r="E185" s="62">
        <v>2</v>
      </c>
      <c r="F185" s="58" t="str">
        <f>INDEX(functionInfo[Service Lead],MATCH(FTE_stdWD[[#This Row],[Service Description]],functionInfo[Service Description For Invoicing &amp; SLA],0))</f>
        <v>Rey Michael Estela</v>
      </c>
      <c r="G185" s="58" t="str">
        <f>FTE_stdWD[[#This Row],[Service Description]]&amp;FTE_stdWD[[#This Row],[Country]]&amp;FTE_stdWD[[#This Row],[Year]]&amp;FTE_stdWD[[#This Row],[Month]]</f>
        <v>Sales - Customer ReportingMNL2025April</v>
      </c>
      <c r="H185" s="58" t="str">
        <f>INDEX(functionInfo[Daily Dashboard Set-up],MATCH(FTE_stdWD[[#This Row],[Service Description]],functionInfo[Service Description For Invoicing &amp; SLA],0))</f>
        <v>Yes</v>
      </c>
      <c r="I185" s="59" t="str">
        <f>INDEX(functionInfo[Monthly Dashboard],MATCH(FTE_stdWD[[#This Row],[Service Description]],functionInfo[Service Description For Invoicing &amp; SLA],0))</f>
        <v>Yes</v>
      </c>
    </row>
    <row r="186" spans="1:9" hidden="1" x14ac:dyDescent="0.25">
      <c r="A186" s="57" t="s">
        <v>183</v>
      </c>
      <c r="B186" s="58" t="s">
        <v>47</v>
      </c>
      <c r="C186" s="58">
        <v>2025</v>
      </c>
      <c r="D186" s="58" t="s">
        <v>20</v>
      </c>
      <c r="E186" s="62">
        <v>2</v>
      </c>
      <c r="F186" s="58" t="str">
        <f>INDEX(functionInfo[Service Lead],MATCH(FTE_stdWD[[#This Row],[Service Description]],functionInfo[Service Description For Invoicing &amp; SLA],0))</f>
        <v>Rey Michael Estela</v>
      </c>
      <c r="G186" s="58" t="str">
        <f>FTE_stdWD[[#This Row],[Service Description]]&amp;FTE_stdWD[[#This Row],[Country]]&amp;FTE_stdWD[[#This Row],[Year]]&amp;FTE_stdWD[[#This Row],[Month]]</f>
        <v>Sales - Customer ReportingMNL2025May</v>
      </c>
      <c r="H186" s="58" t="str">
        <f>INDEX(functionInfo[Daily Dashboard Set-up],MATCH(FTE_stdWD[[#This Row],[Service Description]],functionInfo[Service Description For Invoicing &amp; SLA],0))</f>
        <v>Yes</v>
      </c>
      <c r="I186" s="59" t="str">
        <f>INDEX(functionInfo[Monthly Dashboard],MATCH(FTE_stdWD[[#This Row],[Service Description]],functionInfo[Service Description For Invoicing &amp; SLA],0))</f>
        <v>Yes</v>
      </c>
    </row>
    <row r="187" spans="1:9" hidden="1" x14ac:dyDescent="0.25">
      <c r="A187" s="57" t="s">
        <v>183</v>
      </c>
      <c r="B187" s="58" t="s">
        <v>47</v>
      </c>
      <c r="C187" s="58">
        <v>2025</v>
      </c>
      <c r="D187" s="58" t="s">
        <v>21</v>
      </c>
      <c r="E187" s="62">
        <v>2</v>
      </c>
      <c r="F187" s="58" t="str">
        <f>INDEX(functionInfo[Service Lead],MATCH(FTE_stdWD[[#This Row],[Service Description]],functionInfo[Service Description For Invoicing &amp; SLA],0))</f>
        <v>Rey Michael Estela</v>
      </c>
      <c r="G187" s="58" t="str">
        <f>FTE_stdWD[[#This Row],[Service Description]]&amp;FTE_stdWD[[#This Row],[Country]]&amp;FTE_stdWD[[#This Row],[Year]]&amp;FTE_stdWD[[#This Row],[Month]]</f>
        <v>Sales - Customer ReportingMNL2025June</v>
      </c>
      <c r="H187" s="58" t="str">
        <f>INDEX(functionInfo[Daily Dashboard Set-up],MATCH(FTE_stdWD[[#This Row],[Service Description]],functionInfo[Service Description For Invoicing &amp; SLA],0))</f>
        <v>Yes</v>
      </c>
      <c r="I187" s="59" t="str">
        <f>INDEX(functionInfo[Monthly Dashboard],MATCH(FTE_stdWD[[#This Row],[Service Description]],functionInfo[Service Description For Invoicing &amp; SLA],0))</f>
        <v>Yes</v>
      </c>
    </row>
    <row r="188" spans="1:9" hidden="1" x14ac:dyDescent="0.25">
      <c r="A188" s="57" t="s">
        <v>183</v>
      </c>
      <c r="B188" s="58" t="s">
        <v>47</v>
      </c>
      <c r="C188" s="58">
        <v>2025</v>
      </c>
      <c r="D188" s="58" t="s">
        <v>22</v>
      </c>
      <c r="E188" s="62">
        <v>2</v>
      </c>
      <c r="F188" s="58" t="str">
        <f>INDEX(functionInfo[Service Lead],MATCH(FTE_stdWD[[#This Row],[Service Description]],functionInfo[Service Description For Invoicing &amp; SLA],0))</f>
        <v>Rey Michael Estela</v>
      </c>
      <c r="G188" s="58" t="str">
        <f>FTE_stdWD[[#This Row],[Service Description]]&amp;FTE_stdWD[[#This Row],[Country]]&amp;FTE_stdWD[[#This Row],[Year]]&amp;FTE_stdWD[[#This Row],[Month]]</f>
        <v>Sales - Customer ReportingMNL2025July</v>
      </c>
      <c r="H188" s="58" t="str">
        <f>INDEX(functionInfo[Daily Dashboard Set-up],MATCH(FTE_stdWD[[#This Row],[Service Description]],functionInfo[Service Description For Invoicing &amp; SLA],0))</f>
        <v>Yes</v>
      </c>
      <c r="I188" s="59" t="str">
        <f>INDEX(functionInfo[Monthly Dashboard],MATCH(FTE_stdWD[[#This Row],[Service Description]],functionInfo[Service Description For Invoicing &amp; SLA],0))</f>
        <v>Yes</v>
      </c>
    </row>
    <row r="189" spans="1:9" hidden="1" x14ac:dyDescent="0.25">
      <c r="A189" s="57" t="s">
        <v>183</v>
      </c>
      <c r="B189" s="58" t="s">
        <v>47</v>
      </c>
      <c r="C189" s="58">
        <v>2025</v>
      </c>
      <c r="D189" s="58" t="s">
        <v>46</v>
      </c>
      <c r="E189" s="62">
        <v>2</v>
      </c>
      <c r="F189" s="58" t="str">
        <f>INDEX(functionInfo[Service Lead],MATCH(FTE_stdWD[[#This Row],[Service Description]],functionInfo[Service Description For Invoicing &amp; SLA],0))</f>
        <v>Rey Michael Estela</v>
      </c>
      <c r="G189" s="58" t="str">
        <f>FTE_stdWD[[#This Row],[Service Description]]&amp;FTE_stdWD[[#This Row],[Country]]&amp;FTE_stdWD[[#This Row],[Year]]&amp;FTE_stdWD[[#This Row],[Month]]</f>
        <v>Sales - Customer ReportingMNL2025August</v>
      </c>
      <c r="H189" s="58" t="str">
        <f>INDEX(functionInfo[Daily Dashboard Set-up],MATCH(FTE_stdWD[[#This Row],[Service Description]],functionInfo[Service Description For Invoicing &amp; SLA],0))</f>
        <v>Yes</v>
      </c>
      <c r="I189" s="59" t="str">
        <f>INDEX(functionInfo[Monthly Dashboard],MATCH(FTE_stdWD[[#This Row],[Service Description]],functionInfo[Service Description For Invoicing &amp; SLA],0))</f>
        <v>Yes</v>
      </c>
    </row>
    <row r="190" spans="1:9" hidden="1" x14ac:dyDescent="0.25">
      <c r="A190" s="57" t="s">
        <v>183</v>
      </c>
      <c r="B190" s="58" t="s">
        <v>47</v>
      </c>
      <c r="C190" s="58">
        <v>2025</v>
      </c>
      <c r="D190" s="58" t="s">
        <v>33</v>
      </c>
      <c r="E190" s="62">
        <v>2</v>
      </c>
      <c r="F190" s="58" t="str">
        <f>INDEX(functionInfo[Service Lead],MATCH(FTE_stdWD[[#This Row],[Service Description]],functionInfo[Service Description For Invoicing &amp; SLA],0))</f>
        <v>Rey Michael Estela</v>
      </c>
      <c r="G190" s="58" t="str">
        <f>FTE_stdWD[[#This Row],[Service Description]]&amp;FTE_stdWD[[#This Row],[Country]]&amp;FTE_stdWD[[#This Row],[Year]]&amp;FTE_stdWD[[#This Row],[Month]]</f>
        <v>Sales - Customer ReportingMNL2025September</v>
      </c>
      <c r="H190" s="58" t="str">
        <f>INDEX(functionInfo[Daily Dashboard Set-up],MATCH(FTE_stdWD[[#This Row],[Service Description]],functionInfo[Service Description For Invoicing &amp; SLA],0))</f>
        <v>Yes</v>
      </c>
      <c r="I190" s="59" t="str">
        <f>INDEX(functionInfo[Monthly Dashboard],MATCH(FTE_stdWD[[#This Row],[Service Description]],functionInfo[Service Description For Invoicing &amp; SLA],0))</f>
        <v>Yes</v>
      </c>
    </row>
    <row r="191" spans="1:9" hidden="1" x14ac:dyDescent="0.25">
      <c r="A191" s="57" t="s">
        <v>183</v>
      </c>
      <c r="B191" s="58" t="s">
        <v>47</v>
      </c>
      <c r="C191" s="58">
        <v>2025</v>
      </c>
      <c r="D191" s="58" t="s">
        <v>25</v>
      </c>
      <c r="E191" s="62">
        <v>2</v>
      </c>
      <c r="F191" s="58" t="str">
        <f>INDEX(functionInfo[Service Lead],MATCH(FTE_stdWD[[#This Row],[Service Description]],functionInfo[Service Description For Invoicing &amp; SLA],0))</f>
        <v>Rey Michael Estela</v>
      </c>
      <c r="G191" s="58" t="str">
        <f>FTE_stdWD[[#This Row],[Service Description]]&amp;FTE_stdWD[[#This Row],[Country]]&amp;FTE_stdWD[[#This Row],[Year]]&amp;FTE_stdWD[[#This Row],[Month]]</f>
        <v>Sales - Customer ReportingMNL2025October</v>
      </c>
      <c r="H191" s="58" t="str">
        <f>INDEX(functionInfo[Daily Dashboard Set-up],MATCH(FTE_stdWD[[#This Row],[Service Description]],functionInfo[Service Description For Invoicing &amp; SLA],0))</f>
        <v>Yes</v>
      </c>
      <c r="I191" s="59" t="str">
        <f>INDEX(functionInfo[Monthly Dashboard],MATCH(FTE_stdWD[[#This Row],[Service Description]],functionInfo[Service Description For Invoicing &amp; SLA],0))</f>
        <v>Yes</v>
      </c>
    </row>
    <row r="192" spans="1:9" hidden="1" x14ac:dyDescent="0.25">
      <c r="A192" s="57" t="s">
        <v>183</v>
      </c>
      <c r="B192" s="58" t="s">
        <v>47</v>
      </c>
      <c r="C192" s="58">
        <v>2025</v>
      </c>
      <c r="D192" s="58" t="s">
        <v>26</v>
      </c>
      <c r="E192" s="62">
        <v>2</v>
      </c>
      <c r="F192" s="58" t="str">
        <f>INDEX(functionInfo[Service Lead],MATCH(FTE_stdWD[[#This Row],[Service Description]],functionInfo[Service Description For Invoicing &amp; SLA],0))</f>
        <v>Rey Michael Estela</v>
      </c>
      <c r="G192" s="58" t="str">
        <f>FTE_stdWD[[#This Row],[Service Description]]&amp;FTE_stdWD[[#This Row],[Country]]&amp;FTE_stdWD[[#This Row],[Year]]&amp;FTE_stdWD[[#This Row],[Month]]</f>
        <v>Sales - Customer ReportingMNL2025November</v>
      </c>
      <c r="H192" s="58" t="str">
        <f>INDEX(functionInfo[Daily Dashboard Set-up],MATCH(FTE_stdWD[[#This Row],[Service Description]],functionInfo[Service Description For Invoicing &amp; SLA],0))</f>
        <v>Yes</v>
      </c>
      <c r="I192" s="59" t="str">
        <f>INDEX(functionInfo[Monthly Dashboard],MATCH(FTE_stdWD[[#This Row],[Service Description]],functionInfo[Service Description For Invoicing &amp; SLA],0))</f>
        <v>Yes</v>
      </c>
    </row>
    <row r="193" spans="1:9" hidden="1" x14ac:dyDescent="0.25">
      <c r="A193" s="57" t="s">
        <v>183</v>
      </c>
      <c r="B193" s="58" t="s">
        <v>47</v>
      </c>
      <c r="C193" s="58">
        <v>2025</v>
      </c>
      <c r="D193" s="58" t="s">
        <v>27</v>
      </c>
      <c r="E193" s="62">
        <v>2</v>
      </c>
      <c r="F193" s="58" t="str">
        <f>INDEX(functionInfo[Service Lead],MATCH(FTE_stdWD[[#This Row],[Service Description]],functionInfo[Service Description For Invoicing &amp; SLA],0))</f>
        <v>Rey Michael Estela</v>
      </c>
      <c r="G193" s="58" t="str">
        <f>FTE_stdWD[[#This Row],[Service Description]]&amp;FTE_stdWD[[#This Row],[Country]]&amp;FTE_stdWD[[#This Row],[Year]]&amp;FTE_stdWD[[#This Row],[Month]]</f>
        <v>Sales - Customer ReportingMNL2025December</v>
      </c>
      <c r="H193" s="58" t="str">
        <f>INDEX(functionInfo[Daily Dashboard Set-up],MATCH(FTE_stdWD[[#This Row],[Service Description]],functionInfo[Service Description For Invoicing &amp; SLA],0))</f>
        <v>Yes</v>
      </c>
      <c r="I193" s="59" t="str">
        <f>INDEX(functionInfo[Monthly Dashboard],MATCH(FTE_stdWD[[#This Row],[Service Description]],functionInfo[Service Description For Invoicing &amp; SLA],0))</f>
        <v>Yes</v>
      </c>
    </row>
    <row r="194" spans="1:9" x14ac:dyDescent="0.25">
      <c r="A194" s="57" t="s">
        <v>67</v>
      </c>
      <c r="B194" s="58" t="s">
        <v>47</v>
      </c>
      <c r="C194" s="58">
        <v>2025</v>
      </c>
      <c r="D194" s="58" t="s">
        <v>14</v>
      </c>
      <c r="E194" s="62"/>
      <c r="F194" s="58" t="str">
        <f>INDEX(functionInfo[Service Lead],MATCH(FTE_stdWD[[#This Row],[Service Description]],functionInfo[Service Description For Invoicing &amp; SLA],0))</f>
        <v>Carlo</v>
      </c>
      <c r="G194" s="58" t="str">
        <f>FTE_stdWD[[#This Row],[Service Description]]&amp;FTE_stdWD[[#This Row],[Country]]&amp;FTE_stdWD[[#This Row],[Year]]&amp;FTE_stdWD[[#This Row],[Month]]</f>
        <v>Finance - Bank ReconciliationMNL2025January</v>
      </c>
      <c r="H194" s="58" t="str">
        <f>INDEX(functionInfo[Daily Dashboard Set-up],MATCH(FTE_stdWD[[#This Row],[Service Description]],functionInfo[Service Description For Invoicing &amp; SLA],0))</f>
        <v>Yes</v>
      </c>
      <c r="I194" s="59" t="str">
        <f>INDEX(functionInfo[Monthly Dashboard],MATCH(FTE_stdWD[[#This Row],[Service Description]],functionInfo[Service Description For Invoicing &amp; SLA],0))</f>
        <v>Yes</v>
      </c>
    </row>
    <row r="195" spans="1:9" x14ac:dyDescent="0.25">
      <c r="A195" s="57" t="s">
        <v>67</v>
      </c>
      <c r="B195" s="58" t="s">
        <v>47</v>
      </c>
      <c r="C195" s="58">
        <v>2025</v>
      </c>
      <c r="D195" s="58" t="s">
        <v>17</v>
      </c>
      <c r="E195" s="62"/>
      <c r="F195" s="58" t="str">
        <f>INDEX(functionInfo[Service Lead],MATCH(FTE_stdWD[[#This Row],[Service Description]],functionInfo[Service Description For Invoicing &amp; SLA],0))</f>
        <v>Carlo</v>
      </c>
      <c r="G195" s="58" t="str">
        <f>FTE_stdWD[[#This Row],[Service Description]]&amp;FTE_stdWD[[#This Row],[Country]]&amp;FTE_stdWD[[#This Row],[Year]]&amp;FTE_stdWD[[#This Row],[Month]]</f>
        <v>Finance - Bank ReconciliationMNL2025February</v>
      </c>
      <c r="H195" s="58" t="str">
        <f>INDEX(functionInfo[Daily Dashboard Set-up],MATCH(FTE_stdWD[[#This Row],[Service Description]],functionInfo[Service Description For Invoicing &amp; SLA],0))</f>
        <v>Yes</v>
      </c>
      <c r="I195" s="59" t="str">
        <f>INDEX(functionInfo[Monthly Dashboard],MATCH(FTE_stdWD[[#This Row],[Service Description]],functionInfo[Service Description For Invoicing &amp; SLA],0))</f>
        <v>Yes</v>
      </c>
    </row>
    <row r="196" spans="1:9" x14ac:dyDescent="0.25">
      <c r="A196" s="57" t="s">
        <v>67</v>
      </c>
      <c r="B196" s="58" t="s">
        <v>47</v>
      </c>
      <c r="C196" s="58">
        <v>2025</v>
      </c>
      <c r="D196" s="58" t="s">
        <v>18</v>
      </c>
      <c r="E196" s="62"/>
      <c r="F196" s="58" t="str">
        <f>INDEX(functionInfo[Service Lead],MATCH(FTE_stdWD[[#This Row],[Service Description]],functionInfo[Service Description For Invoicing &amp; SLA],0))</f>
        <v>Carlo</v>
      </c>
      <c r="G196" s="58" t="str">
        <f>FTE_stdWD[[#This Row],[Service Description]]&amp;FTE_stdWD[[#This Row],[Country]]&amp;FTE_stdWD[[#This Row],[Year]]&amp;FTE_stdWD[[#This Row],[Month]]</f>
        <v>Finance - Bank ReconciliationMNL2025March</v>
      </c>
      <c r="H196" s="58" t="str">
        <f>INDEX(functionInfo[Daily Dashboard Set-up],MATCH(FTE_stdWD[[#This Row],[Service Description]],functionInfo[Service Description For Invoicing &amp; SLA],0))</f>
        <v>Yes</v>
      </c>
      <c r="I196" s="59" t="str">
        <f>INDEX(functionInfo[Monthly Dashboard],MATCH(FTE_stdWD[[#This Row],[Service Description]],functionInfo[Service Description For Invoicing &amp; SLA],0))</f>
        <v>Yes</v>
      </c>
    </row>
    <row r="197" spans="1:9" x14ac:dyDescent="0.25">
      <c r="A197" s="57" t="s">
        <v>67</v>
      </c>
      <c r="B197" s="58" t="s">
        <v>47</v>
      </c>
      <c r="C197" s="58">
        <v>2025</v>
      </c>
      <c r="D197" s="58" t="s">
        <v>19</v>
      </c>
      <c r="E197" s="62"/>
      <c r="F197" s="58" t="str">
        <f>INDEX(functionInfo[Service Lead],MATCH(FTE_stdWD[[#This Row],[Service Description]],functionInfo[Service Description For Invoicing &amp; SLA],0))</f>
        <v>Carlo</v>
      </c>
      <c r="G197" s="58" t="str">
        <f>FTE_stdWD[[#This Row],[Service Description]]&amp;FTE_stdWD[[#This Row],[Country]]&amp;FTE_stdWD[[#This Row],[Year]]&amp;FTE_stdWD[[#This Row],[Month]]</f>
        <v>Finance - Bank ReconciliationMNL2025April</v>
      </c>
      <c r="H197" s="58" t="str">
        <f>INDEX(functionInfo[Daily Dashboard Set-up],MATCH(FTE_stdWD[[#This Row],[Service Description]],functionInfo[Service Description For Invoicing &amp; SLA],0))</f>
        <v>Yes</v>
      </c>
      <c r="I197" s="59" t="str">
        <f>INDEX(functionInfo[Monthly Dashboard],MATCH(FTE_stdWD[[#This Row],[Service Description]],functionInfo[Service Description For Invoicing &amp; SLA],0))</f>
        <v>Yes</v>
      </c>
    </row>
    <row r="198" spans="1:9" x14ac:dyDescent="0.25">
      <c r="A198" s="57" t="s">
        <v>67</v>
      </c>
      <c r="B198" s="58" t="s">
        <v>47</v>
      </c>
      <c r="C198" s="58">
        <v>2025</v>
      </c>
      <c r="D198" s="58" t="s">
        <v>20</v>
      </c>
      <c r="E198" s="62"/>
      <c r="F198" s="58" t="str">
        <f>INDEX(functionInfo[Service Lead],MATCH(FTE_stdWD[[#This Row],[Service Description]],functionInfo[Service Description For Invoicing &amp; SLA],0))</f>
        <v>Carlo</v>
      </c>
      <c r="G198" s="58" t="str">
        <f>FTE_stdWD[[#This Row],[Service Description]]&amp;FTE_stdWD[[#This Row],[Country]]&amp;FTE_stdWD[[#This Row],[Year]]&amp;FTE_stdWD[[#This Row],[Month]]</f>
        <v>Finance - Bank ReconciliationMNL2025May</v>
      </c>
      <c r="H198" s="58" t="str">
        <f>INDEX(functionInfo[Daily Dashboard Set-up],MATCH(FTE_stdWD[[#This Row],[Service Description]],functionInfo[Service Description For Invoicing &amp; SLA],0))</f>
        <v>Yes</v>
      </c>
      <c r="I198" s="59" t="str">
        <f>INDEX(functionInfo[Monthly Dashboard],MATCH(FTE_stdWD[[#This Row],[Service Description]],functionInfo[Service Description For Invoicing &amp; SLA],0))</f>
        <v>Yes</v>
      </c>
    </row>
    <row r="199" spans="1:9" x14ac:dyDescent="0.25">
      <c r="A199" s="57" t="s">
        <v>67</v>
      </c>
      <c r="B199" s="58" t="s">
        <v>47</v>
      </c>
      <c r="C199" s="58">
        <v>2025</v>
      </c>
      <c r="D199" s="58" t="s">
        <v>21</v>
      </c>
      <c r="E199" s="62">
        <v>3</v>
      </c>
      <c r="F199" s="58" t="str">
        <f>INDEX(functionInfo[Service Lead],MATCH(FTE_stdWD[[#This Row],[Service Description]],functionInfo[Service Description For Invoicing &amp; SLA],0))</f>
        <v>Carlo</v>
      </c>
      <c r="G199" s="58" t="str">
        <f>FTE_stdWD[[#This Row],[Service Description]]&amp;FTE_stdWD[[#This Row],[Country]]&amp;FTE_stdWD[[#This Row],[Year]]&amp;FTE_stdWD[[#This Row],[Month]]</f>
        <v>Finance - Bank ReconciliationMNL2025June</v>
      </c>
      <c r="H199" s="58" t="str">
        <f>INDEX(functionInfo[Daily Dashboard Set-up],MATCH(FTE_stdWD[[#This Row],[Service Description]],functionInfo[Service Description For Invoicing &amp; SLA],0))</f>
        <v>Yes</v>
      </c>
      <c r="I199" s="59" t="str">
        <f>INDEX(functionInfo[Monthly Dashboard],MATCH(FTE_stdWD[[#This Row],[Service Description]],functionInfo[Service Description For Invoicing &amp; SLA],0))</f>
        <v>Yes</v>
      </c>
    </row>
    <row r="200" spans="1:9" x14ac:dyDescent="0.25">
      <c r="A200" s="57" t="s">
        <v>67</v>
      </c>
      <c r="B200" s="58" t="s">
        <v>47</v>
      </c>
      <c r="C200" s="58">
        <v>2025</v>
      </c>
      <c r="D200" s="58" t="s">
        <v>22</v>
      </c>
      <c r="E200" s="62">
        <v>4</v>
      </c>
      <c r="F200" s="58" t="str">
        <f>INDEX(functionInfo[Service Lead],MATCH(FTE_stdWD[[#This Row],[Service Description]],functionInfo[Service Description For Invoicing &amp; SLA],0))</f>
        <v>Carlo</v>
      </c>
      <c r="G200" s="58" t="str">
        <f>FTE_stdWD[[#This Row],[Service Description]]&amp;FTE_stdWD[[#This Row],[Country]]&amp;FTE_stdWD[[#This Row],[Year]]&amp;FTE_stdWD[[#This Row],[Month]]</f>
        <v>Finance - Bank ReconciliationMNL2025July</v>
      </c>
      <c r="H200" s="58" t="str">
        <f>INDEX(functionInfo[Daily Dashboard Set-up],MATCH(FTE_stdWD[[#This Row],[Service Description]],functionInfo[Service Description For Invoicing &amp; SLA],0))</f>
        <v>Yes</v>
      </c>
      <c r="I200" s="59" t="str">
        <f>INDEX(functionInfo[Monthly Dashboard],MATCH(FTE_stdWD[[#This Row],[Service Description]],functionInfo[Service Description For Invoicing &amp; SLA],0))</f>
        <v>Yes</v>
      </c>
    </row>
    <row r="201" spans="1:9" x14ac:dyDescent="0.25">
      <c r="A201" s="57" t="s">
        <v>67</v>
      </c>
      <c r="B201" s="58" t="s">
        <v>47</v>
      </c>
      <c r="C201" s="58">
        <v>2025</v>
      </c>
      <c r="D201" s="58" t="s">
        <v>46</v>
      </c>
      <c r="E201" s="62">
        <v>4</v>
      </c>
      <c r="F201" s="58" t="str">
        <f>INDEX(functionInfo[Service Lead],MATCH(FTE_stdWD[[#This Row],[Service Description]],functionInfo[Service Description For Invoicing &amp; SLA],0))</f>
        <v>Carlo</v>
      </c>
      <c r="G201" s="58" t="str">
        <f>FTE_stdWD[[#This Row],[Service Description]]&amp;FTE_stdWD[[#This Row],[Country]]&amp;FTE_stdWD[[#This Row],[Year]]&amp;FTE_stdWD[[#This Row],[Month]]</f>
        <v>Finance - Bank ReconciliationMNL2025August</v>
      </c>
      <c r="H201" s="58" t="str">
        <f>INDEX(functionInfo[Daily Dashboard Set-up],MATCH(FTE_stdWD[[#This Row],[Service Description]],functionInfo[Service Description For Invoicing &amp; SLA],0))</f>
        <v>Yes</v>
      </c>
      <c r="I201" s="59" t="str">
        <f>INDEX(functionInfo[Monthly Dashboard],MATCH(FTE_stdWD[[#This Row],[Service Description]],functionInfo[Service Description For Invoicing &amp; SLA],0))</f>
        <v>Yes</v>
      </c>
    </row>
    <row r="202" spans="1:9" x14ac:dyDescent="0.25">
      <c r="A202" s="57" t="s">
        <v>67</v>
      </c>
      <c r="B202" s="58" t="s">
        <v>47</v>
      </c>
      <c r="C202" s="58">
        <v>2025</v>
      </c>
      <c r="D202" s="58" t="s">
        <v>33</v>
      </c>
      <c r="E202" s="62">
        <v>4</v>
      </c>
      <c r="F202" s="58" t="str">
        <f>INDEX(functionInfo[Service Lead],MATCH(FTE_stdWD[[#This Row],[Service Description]],functionInfo[Service Description For Invoicing &amp; SLA],0))</f>
        <v>Carlo</v>
      </c>
      <c r="G202" s="58" t="str">
        <f>FTE_stdWD[[#This Row],[Service Description]]&amp;FTE_stdWD[[#This Row],[Country]]&amp;FTE_stdWD[[#This Row],[Year]]&amp;FTE_stdWD[[#This Row],[Month]]</f>
        <v>Finance - Bank ReconciliationMNL2025September</v>
      </c>
      <c r="H202" s="58" t="str">
        <f>INDEX(functionInfo[Daily Dashboard Set-up],MATCH(FTE_stdWD[[#This Row],[Service Description]],functionInfo[Service Description For Invoicing &amp; SLA],0))</f>
        <v>Yes</v>
      </c>
      <c r="I202" s="59" t="str">
        <f>INDEX(functionInfo[Monthly Dashboard],MATCH(FTE_stdWD[[#This Row],[Service Description]],functionInfo[Service Description For Invoicing &amp; SLA],0))</f>
        <v>Yes</v>
      </c>
    </row>
    <row r="203" spans="1:9" x14ac:dyDescent="0.25">
      <c r="A203" s="57" t="s">
        <v>67</v>
      </c>
      <c r="B203" s="58" t="s">
        <v>47</v>
      </c>
      <c r="C203" s="58">
        <v>2025</v>
      </c>
      <c r="D203" s="58" t="s">
        <v>25</v>
      </c>
      <c r="E203" s="62">
        <v>4</v>
      </c>
      <c r="F203" s="58" t="str">
        <f>INDEX(functionInfo[Service Lead],MATCH(FTE_stdWD[[#This Row],[Service Description]],functionInfo[Service Description For Invoicing &amp; SLA],0))</f>
        <v>Carlo</v>
      </c>
      <c r="G203" s="58" t="str">
        <f>FTE_stdWD[[#This Row],[Service Description]]&amp;FTE_stdWD[[#This Row],[Country]]&amp;FTE_stdWD[[#This Row],[Year]]&amp;FTE_stdWD[[#This Row],[Month]]</f>
        <v>Finance - Bank ReconciliationMNL2025October</v>
      </c>
      <c r="H203" s="58" t="str">
        <f>INDEX(functionInfo[Daily Dashboard Set-up],MATCH(FTE_stdWD[[#This Row],[Service Description]],functionInfo[Service Description For Invoicing &amp; SLA],0))</f>
        <v>Yes</v>
      </c>
      <c r="I203" s="59" t="str">
        <f>INDEX(functionInfo[Monthly Dashboard],MATCH(FTE_stdWD[[#This Row],[Service Description]],functionInfo[Service Description For Invoicing &amp; SLA],0))</f>
        <v>Yes</v>
      </c>
    </row>
    <row r="204" spans="1:9" x14ac:dyDescent="0.25">
      <c r="A204" s="57" t="s">
        <v>67</v>
      </c>
      <c r="B204" s="58" t="s">
        <v>47</v>
      </c>
      <c r="C204" s="58">
        <v>2025</v>
      </c>
      <c r="D204" s="58" t="s">
        <v>26</v>
      </c>
      <c r="E204" s="62"/>
      <c r="F204" s="58" t="str">
        <f>INDEX(functionInfo[Service Lead],MATCH(FTE_stdWD[[#This Row],[Service Description]],functionInfo[Service Description For Invoicing &amp; SLA],0))</f>
        <v>Carlo</v>
      </c>
      <c r="G204" s="58" t="str">
        <f>FTE_stdWD[[#This Row],[Service Description]]&amp;FTE_stdWD[[#This Row],[Country]]&amp;FTE_stdWD[[#This Row],[Year]]&amp;FTE_stdWD[[#This Row],[Month]]</f>
        <v>Finance - Bank ReconciliationMNL2025November</v>
      </c>
      <c r="H204" s="58" t="str">
        <f>INDEX(functionInfo[Daily Dashboard Set-up],MATCH(FTE_stdWD[[#This Row],[Service Description]],functionInfo[Service Description For Invoicing &amp; SLA],0))</f>
        <v>Yes</v>
      </c>
      <c r="I204" s="59" t="str">
        <f>INDEX(functionInfo[Monthly Dashboard],MATCH(FTE_stdWD[[#This Row],[Service Description]],functionInfo[Service Description For Invoicing &amp; SLA],0))</f>
        <v>Yes</v>
      </c>
    </row>
    <row r="205" spans="1:9" x14ac:dyDescent="0.25">
      <c r="A205" s="57" t="s">
        <v>67</v>
      </c>
      <c r="B205" s="61" t="s">
        <v>47</v>
      </c>
      <c r="C205" s="61">
        <v>2025</v>
      </c>
      <c r="D205" s="61" t="s">
        <v>27</v>
      </c>
      <c r="E205" s="63"/>
      <c r="F205" s="61" t="str">
        <f>INDEX(functionInfo[Service Lead],MATCH(FTE_stdWD[[#This Row],[Service Description]],functionInfo[Service Description For Invoicing &amp; SLA],0))</f>
        <v>Carlo</v>
      </c>
      <c r="G205" s="61" t="str">
        <f>FTE_stdWD[[#This Row],[Service Description]]&amp;FTE_stdWD[[#This Row],[Country]]&amp;FTE_stdWD[[#This Row],[Year]]&amp;FTE_stdWD[[#This Row],[Month]]</f>
        <v>Finance - Bank ReconciliationMNL2025December</v>
      </c>
      <c r="H205" s="61" t="str">
        <f>INDEX(functionInfo[Daily Dashboard Set-up],MATCH(FTE_stdWD[[#This Row],[Service Description]],functionInfo[Service Description For Invoicing &amp; SLA],0))</f>
        <v>Yes</v>
      </c>
      <c r="I205" s="64" t="str">
        <f>INDEX(functionInfo[Monthly Dashboard],MATCH(FTE_stdWD[[#This Row],[Service Description]],functionInfo[Service Description For Invoicing &amp; SLA],0))</f>
        <v>Yes</v>
      </c>
    </row>
    <row r="206" spans="1:9" hidden="1" x14ac:dyDescent="0.25">
      <c r="A206" s="60" t="s">
        <v>296</v>
      </c>
      <c r="B206" s="61" t="s">
        <v>45</v>
      </c>
      <c r="C206" s="61">
        <v>2025</v>
      </c>
      <c r="D206" s="61" t="s">
        <v>14</v>
      </c>
      <c r="E206" s="63"/>
      <c r="F206" s="61" t="str">
        <f>INDEX(functionInfo[Service Lead],MATCH(FTE_stdWD[[#This Row],[Service Description]],functionInfo[Service Description For Invoicing &amp; SLA],0))</f>
        <v>Sasha Yan</v>
      </c>
      <c r="G206" s="61" t="str">
        <f>FTE_stdWD[[#This Row],[Service Description]]&amp;FTE_stdWD[[#This Row],[Country]]&amp;FTE_stdWD[[#This Row],[Year]]&amp;FTE_stdWD[[#This Row],[Month]]</f>
        <v>Air Freight - Operation - SingaporeWUH2025January</v>
      </c>
      <c r="H206" s="61" t="str">
        <f>INDEX(functionInfo[Daily Dashboard Set-up],MATCH(FTE_stdWD[[#This Row],[Service Description]],functionInfo[Service Description For Invoicing &amp; SLA],0))</f>
        <v>Yes</v>
      </c>
      <c r="I206" s="64" t="str">
        <f>INDEX(functionInfo[Monthly Dashboard],MATCH(FTE_stdWD[[#This Row],[Service Description]],functionInfo[Service Description For Invoicing &amp; SLA],0))</f>
        <v>Yes</v>
      </c>
    </row>
    <row r="207" spans="1:9" hidden="1" x14ac:dyDescent="0.25">
      <c r="A207" s="60" t="s">
        <v>296</v>
      </c>
      <c r="B207" s="58" t="s">
        <v>45</v>
      </c>
      <c r="C207" s="58">
        <v>2025</v>
      </c>
      <c r="D207" s="58" t="s">
        <v>17</v>
      </c>
      <c r="E207" s="62"/>
      <c r="F207" s="58" t="str">
        <f>INDEX(functionInfo[Service Lead],MATCH(FTE_stdWD[[#This Row],[Service Description]],functionInfo[Service Description For Invoicing &amp; SLA],0))</f>
        <v>Sasha Yan</v>
      </c>
      <c r="G207" s="58" t="str">
        <f>FTE_stdWD[[#This Row],[Service Description]]&amp;FTE_stdWD[[#This Row],[Country]]&amp;FTE_stdWD[[#This Row],[Year]]&amp;FTE_stdWD[[#This Row],[Month]]</f>
        <v>Air Freight - Operation - SingaporeWUH2025February</v>
      </c>
      <c r="H207" s="58" t="str">
        <f>INDEX(functionInfo[Daily Dashboard Set-up],MATCH(FTE_stdWD[[#This Row],[Service Description]],functionInfo[Service Description For Invoicing &amp; SLA],0))</f>
        <v>Yes</v>
      </c>
      <c r="I207" s="59" t="str">
        <f>INDEX(functionInfo[Monthly Dashboard],MATCH(FTE_stdWD[[#This Row],[Service Description]],functionInfo[Service Description For Invoicing &amp; SLA],0))</f>
        <v>Yes</v>
      </c>
    </row>
    <row r="208" spans="1:9" hidden="1" x14ac:dyDescent="0.25">
      <c r="A208" s="60" t="s">
        <v>296</v>
      </c>
      <c r="B208" s="58" t="s">
        <v>45</v>
      </c>
      <c r="C208" s="58">
        <v>2025</v>
      </c>
      <c r="D208" s="58" t="s">
        <v>18</v>
      </c>
      <c r="E208" s="62"/>
      <c r="F208" s="58" t="str">
        <f>INDEX(functionInfo[Service Lead],MATCH(FTE_stdWD[[#This Row],[Service Description]],functionInfo[Service Description For Invoicing &amp; SLA],0))</f>
        <v>Sasha Yan</v>
      </c>
      <c r="G208" s="58" t="str">
        <f>FTE_stdWD[[#This Row],[Service Description]]&amp;FTE_stdWD[[#This Row],[Country]]&amp;FTE_stdWD[[#This Row],[Year]]&amp;FTE_stdWD[[#This Row],[Month]]</f>
        <v>Air Freight - Operation - SingaporeWUH2025March</v>
      </c>
      <c r="H208" s="58" t="str">
        <f>INDEX(functionInfo[Daily Dashboard Set-up],MATCH(FTE_stdWD[[#This Row],[Service Description]],functionInfo[Service Description For Invoicing &amp; SLA],0))</f>
        <v>Yes</v>
      </c>
      <c r="I208" s="59" t="str">
        <f>INDEX(functionInfo[Monthly Dashboard],MATCH(FTE_stdWD[[#This Row],[Service Description]],functionInfo[Service Description For Invoicing &amp; SLA],0))</f>
        <v>Yes</v>
      </c>
    </row>
    <row r="209" spans="1:9" hidden="1" x14ac:dyDescent="0.25">
      <c r="A209" s="60" t="s">
        <v>296</v>
      </c>
      <c r="B209" s="58" t="s">
        <v>45</v>
      </c>
      <c r="C209" s="58">
        <v>2025</v>
      </c>
      <c r="D209" s="58" t="s">
        <v>19</v>
      </c>
      <c r="E209" s="62"/>
      <c r="F209" s="58" t="str">
        <f>INDEX(functionInfo[Service Lead],MATCH(FTE_stdWD[[#This Row],[Service Description]],functionInfo[Service Description For Invoicing &amp; SLA],0))</f>
        <v>Sasha Yan</v>
      </c>
      <c r="G209" s="58" t="str">
        <f>FTE_stdWD[[#This Row],[Service Description]]&amp;FTE_stdWD[[#This Row],[Country]]&amp;FTE_stdWD[[#This Row],[Year]]&amp;FTE_stdWD[[#This Row],[Month]]</f>
        <v>Air Freight - Operation - SingaporeWUH2025April</v>
      </c>
      <c r="H209" s="58" t="str">
        <f>INDEX(functionInfo[Daily Dashboard Set-up],MATCH(FTE_stdWD[[#This Row],[Service Description]],functionInfo[Service Description For Invoicing &amp; SLA],0))</f>
        <v>Yes</v>
      </c>
      <c r="I209" s="59" t="str">
        <f>INDEX(functionInfo[Monthly Dashboard],MATCH(FTE_stdWD[[#This Row],[Service Description]],functionInfo[Service Description For Invoicing &amp; SLA],0))</f>
        <v>Yes</v>
      </c>
    </row>
    <row r="210" spans="1:9" hidden="1" x14ac:dyDescent="0.25">
      <c r="A210" s="60" t="s">
        <v>296</v>
      </c>
      <c r="B210" s="58" t="s">
        <v>45</v>
      </c>
      <c r="C210" s="58">
        <v>2025</v>
      </c>
      <c r="D210" s="58" t="s">
        <v>20</v>
      </c>
      <c r="E210" s="62"/>
      <c r="F210" s="58" t="str">
        <f>INDEX(functionInfo[Service Lead],MATCH(FTE_stdWD[[#This Row],[Service Description]],functionInfo[Service Description For Invoicing &amp; SLA],0))</f>
        <v>Sasha Yan</v>
      </c>
      <c r="G210" s="58" t="str">
        <f>FTE_stdWD[[#This Row],[Service Description]]&amp;FTE_stdWD[[#This Row],[Country]]&amp;FTE_stdWD[[#This Row],[Year]]&amp;FTE_stdWD[[#This Row],[Month]]</f>
        <v>Air Freight - Operation - SingaporeWUH2025May</v>
      </c>
      <c r="H210" s="58" t="str">
        <f>INDEX(functionInfo[Daily Dashboard Set-up],MATCH(FTE_stdWD[[#This Row],[Service Description]],functionInfo[Service Description For Invoicing &amp; SLA],0))</f>
        <v>Yes</v>
      </c>
      <c r="I210" s="59" t="str">
        <f>INDEX(functionInfo[Monthly Dashboard],MATCH(FTE_stdWD[[#This Row],[Service Description]],functionInfo[Service Description For Invoicing &amp; SLA],0))</f>
        <v>Yes</v>
      </c>
    </row>
    <row r="211" spans="1:9" hidden="1" x14ac:dyDescent="0.25">
      <c r="A211" s="60" t="s">
        <v>296</v>
      </c>
      <c r="B211" s="58" t="s">
        <v>45</v>
      </c>
      <c r="C211" s="58">
        <v>2025</v>
      </c>
      <c r="D211" s="58" t="s">
        <v>21</v>
      </c>
      <c r="E211" s="62"/>
      <c r="F211" s="58" t="str">
        <f>INDEX(functionInfo[Service Lead],MATCH(FTE_stdWD[[#This Row],[Service Description]],functionInfo[Service Description For Invoicing &amp; SLA],0))</f>
        <v>Sasha Yan</v>
      </c>
      <c r="G211" s="58" t="str">
        <f>FTE_stdWD[[#This Row],[Service Description]]&amp;FTE_stdWD[[#This Row],[Country]]&amp;FTE_stdWD[[#This Row],[Year]]&amp;FTE_stdWD[[#This Row],[Month]]</f>
        <v>Air Freight - Operation - SingaporeWUH2025June</v>
      </c>
      <c r="H211" s="58" t="str">
        <f>INDEX(functionInfo[Daily Dashboard Set-up],MATCH(FTE_stdWD[[#This Row],[Service Description]],functionInfo[Service Description For Invoicing &amp; SLA],0))</f>
        <v>Yes</v>
      </c>
      <c r="I211" s="59" t="str">
        <f>INDEX(functionInfo[Monthly Dashboard],MATCH(FTE_stdWD[[#This Row],[Service Description]],functionInfo[Service Description For Invoicing &amp; SLA],0))</f>
        <v>Yes</v>
      </c>
    </row>
    <row r="212" spans="1:9" hidden="1" x14ac:dyDescent="0.25">
      <c r="A212" s="60" t="s">
        <v>296</v>
      </c>
      <c r="B212" s="58" t="s">
        <v>45</v>
      </c>
      <c r="C212" s="58">
        <v>2025</v>
      </c>
      <c r="D212" s="58" t="s">
        <v>22</v>
      </c>
      <c r="E212" s="62"/>
      <c r="F212" s="58" t="str">
        <f>INDEX(functionInfo[Service Lead],MATCH(FTE_stdWD[[#This Row],[Service Description]],functionInfo[Service Description For Invoicing &amp; SLA],0))</f>
        <v>Sasha Yan</v>
      </c>
      <c r="G212" s="58" t="str">
        <f>FTE_stdWD[[#This Row],[Service Description]]&amp;FTE_stdWD[[#This Row],[Country]]&amp;FTE_stdWD[[#This Row],[Year]]&amp;FTE_stdWD[[#This Row],[Month]]</f>
        <v>Air Freight - Operation - SingaporeWUH2025July</v>
      </c>
      <c r="H212" s="58" t="str">
        <f>INDEX(functionInfo[Daily Dashboard Set-up],MATCH(FTE_stdWD[[#This Row],[Service Description]],functionInfo[Service Description For Invoicing &amp; SLA],0))</f>
        <v>Yes</v>
      </c>
      <c r="I212" s="59" t="str">
        <f>INDEX(functionInfo[Monthly Dashboard],MATCH(FTE_stdWD[[#This Row],[Service Description]],functionInfo[Service Description For Invoicing &amp; SLA],0))</f>
        <v>Yes</v>
      </c>
    </row>
    <row r="213" spans="1:9" hidden="1" x14ac:dyDescent="0.25">
      <c r="A213" s="60" t="s">
        <v>296</v>
      </c>
      <c r="B213" s="58" t="s">
        <v>45</v>
      </c>
      <c r="C213" s="58">
        <v>2025</v>
      </c>
      <c r="D213" s="58" t="s">
        <v>46</v>
      </c>
      <c r="E213" s="62"/>
      <c r="F213" s="58" t="str">
        <f>INDEX(functionInfo[Service Lead],MATCH(FTE_stdWD[[#This Row],[Service Description]],functionInfo[Service Description For Invoicing &amp; SLA],0))</f>
        <v>Sasha Yan</v>
      </c>
      <c r="G213" s="58" t="str">
        <f>FTE_stdWD[[#This Row],[Service Description]]&amp;FTE_stdWD[[#This Row],[Country]]&amp;FTE_stdWD[[#This Row],[Year]]&amp;FTE_stdWD[[#This Row],[Month]]</f>
        <v>Air Freight - Operation - SingaporeWUH2025August</v>
      </c>
      <c r="H213" s="58" t="str">
        <f>INDEX(functionInfo[Daily Dashboard Set-up],MATCH(FTE_stdWD[[#This Row],[Service Description]],functionInfo[Service Description For Invoicing &amp; SLA],0))</f>
        <v>Yes</v>
      </c>
      <c r="I213" s="59" t="str">
        <f>INDEX(functionInfo[Monthly Dashboard],MATCH(FTE_stdWD[[#This Row],[Service Description]],functionInfo[Service Description For Invoicing &amp; SLA],0))</f>
        <v>Yes</v>
      </c>
    </row>
    <row r="214" spans="1:9" hidden="1" x14ac:dyDescent="0.25">
      <c r="A214" s="60" t="s">
        <v>296</v>
      </c>
      <c r="B214" s="58" t="s">
        <v>45</v>
      </c>
      <c r="C214" s="58">
        <v>2025</v>
      </c>
      <c r="D214" s="58" t="s">
        <v>33</v>
      </c>
      <c r="E214" s="62"/>
      <c r="F214" s="58" t="str">
        <f>INDEX(functionInfo[Service Lead],MATCH(FTE_stdWD[[#This Row],[Service Description]],functionInfo[Service Description For Invoicing &amp; SLA],0))</f>
        <v>Sasha Yan</v>
      </c>
      <c r="G214" s="58" t="str">
        <f>FTE_stdWD[[#This Row],[Service Description]]&amp;FTE_stdWD[[#This Row],[Country]]&amp;FTE_stdWD[[#This Row],[Year]]&amp;FTE_stdWD[[#This Row],[Month]]</f>
        <v>Air Freight - Operation - SingaporeWUH2025September</v>
      </c>
      <c r="H214" s="58" t="str">
        <f>INDEX(functionInfo[Daily Dashboard Set-up],MATCH(FTE_stdWD[[#This Row],[Service Description]],functionInfo[Service Description For Invoicing &amp; SLA],0))</f>
        <v>Yes</v>
      </c>
      <c r="I214" s="59" t="str">
        <f>INDEX(functionInfo[Monthly Dashboard],MATCH(FTE_stdWD[[#This Row],[Service Description]],functionInfo[Service Description For Invoicing &amp; SLA],0))</f>
        <v>Yes</v>
      </c>
    </row>
    <row r="215" spans="1:9" hidden="1" x14ac:dyDescent="0.25">
      <c r="A215" s="60" t="s">
        <v>296</v>
      </c>
      <c r="B215" s="58" t="s">
        <v>45</v>
      </c>
      <c r="C215" s="58">
        <v>2025</v>
      </c>
      <c r="D215" s="58" t="s">
        <v>25</v>
      </c>
      <c r="E215" s="62"/>
      <c r="F215" s="58" t="str">
        <f>INDEX(functionInfo[Service Lead],MATCH(FTE_stdWD[[#This Row],[Service Description]],functionInfo[Service Description For Invoicing &amp; SLA],0))</f>
        <v>Sasha Yan</v>
      </c>
      <c r="G215" s="58" t="str">
        <f>FTE_stdWD[[#This Row],[Service Description]]&amp;FTE_stdWD[[#This Row],[Country]]&amp;FTE_stdWD[[#This Row],[Year]]&amp;FTE_stdWD[[#This Row],[Month]]</f>
        <v>Air Freight - Operation - SingaporeWUH2025October</v>
      </c>
      <c r="H215" s="58" t="str">
        <f>INDEX(functionInfo[Daily Dashboard Set-up],MATCH(FTE_stdWD[[#This Row],[Service Description]],functionInfo[Service Description For Invoicing &amp; SLA],0))</f>
        <v>Yes</v>
      </c>
      <c r="I215" s="59" t="str">
        <f>INDEX(functionInfo[Monthly Dashboard],MATCH(FTE_stdWD[[#This Row],[Service Description]],functionInfo[Service Description For Invoicing &amp; SLA],0))</f>
        <v>Yes</v>
      </c>
    </row>
    <row r="216" spans="1:9" hidden="1" x14ac:dyDescent="0.25">
      <c r="A216" s="60" t="s">
        <v>296</v>
      </c>
      <c r="B216" s="58" t="s">
        <v>45</v>
      </c>
      <c r="C216" s="58">
        <v>2025</v>
      </c>
      <c r="D216" s="58" t="s">
        <v>26</v>
      </c>
      <c r="E216" s="62"/>
      <c r="F216" s="58" t="str">
        <f>INDEX(functionInfo[Service Lead],MATCH(FTE_stdWD[[#This Row],[Service Description]],functionInfo[Service Description For Invoicing &amp; SLA],0))</f>
        <v>Sasha Yan</v>
      </c>
      <c r="G216" s="58" t="str">
        <f>FTE_stdWD[[#This Row],[Service Description]]&amp;FTE_stdWD[[#This Row],[Country]]&amp;FTE_stdWD[[#This Row],[Year]]&amp;FTE_stdWD[[#This Row],[Month]]</f>
        <v>Air Freight - Operation - SingaporeWUH2025November</v>
      </c>
      <c r="H216" s="58" t="str">
        <f>INDEX(functionInfo[Daily Dashboard Set-up],MATCH(FTE_stdWD[[#This Row],[Service Description]],functionInfo[Service Description For Invoicing &amp; SLA],0))</f>
        <v>Yes</v>
      </c>
      <c r="I216" s="59" t="str">
        <f>INDEX(functionInfo[Monthly Dashboard],MATCH(FTE_stdWD[[#This Row],[Service Description]],functionInfo[Service Description For Invoicing &amp; SLA],0))</f>
        <v>Yes</v>
      </c>
    </row>
    <row r="217" spans="1:9" hidden="1" x14ac:dyDescent="0.25">
      <c r="A217" s="60" t="s">
        <v>296</v>
      </c>
      <c r="B217" s="58" t="s">
        <v>45</v>
      </c>
      <c r="C217" s="58">
        <v>2025</v>
      </c>
      <c r="D217" s="58" t="s">
        <v>27</v>
      </c>
      <c r="E217" s="62"/>
      <c r="F217" s="58" t="str">
        <f>INDEX(functionInfo[Service Lead],MATCH(FTE_stdWD[[#This Row],[Service Description]],functionInfo[Service Description For Invoicing &amp; SLA],0))</f>
        <v>Sasha Yan</v>
      </c>
      <c r="G217" s="58" t="str">
        <f>FTE_stdWD[[#This Row],[Service Description]]&amp;FTE_stdWD[[#This Row],[Country]]&amp;FTE_stdWD[[#This Row],[Year]]&amp;FTE_stdWD[[#This Row],[Month]]</f>
        <v>Air Freight - Operation - SingaporeWUH2025December</v>
      </c>
      <c r="H217" s="58" t="str">
        <f>INDEX(functionInfo[Daily Dashboard Set-up],MATCH(FTE_stdWD[[#This Row],[Service Description]],functionInfo[Service Description For Invoicing &amp; SLA],0))</f>
        <v>Yes</v>
      </c>
      <c r="I217" s="59" t="str">
        <f>INDEX(functionInfo[Monthly Dashboard],MATCH(FTE_stdWD[[#This Row],[Service Description]],functionInfo[Service Description For Invoicing &amp; SLA],0))</f>
        <v>Yes</v>
      </c>
    </row>
    <row r="218" spans="1:9" hidden="1" x14ac:dyDescent="0.25">
      <c r="A218" s="60" t="s">
        <v>296</v>
      </c>
      <c r="B218" s="58" t="s">
        <v>47</v>
      </c>
      <c r="C218" s="58">
        <v>2025</v>
      </c>
      <c r="D218" s="58" t="s">
        <v>14</v>
      </c>
      <c r="E218" s="62"/>
      <c r="F218" s="58" t="str">
        <f>INDEX(functionInfo[Service Lead],MATCH(FTE_stdWD[[#This Row],[Service Description]],functionInfo[Service Description For Invoicing &amp; SLA],0))</f>
        <v>Sasha Yan</v>
      </c>
      <c r="G218" s="58" t="str">
        <f>FTE_stdWD[[#This Row],[Service Description]]&amp;FTE_stdWD[[#This Row],[Country]]&amp;FTE_stdWD[[#This Row],[Year]]&amp;FTE_stdWD[[#This Row],[Month]]</f>
        <v>Air Freight - Operation - SingaporeMNL2025January</v>
      </c>
      <c r="H218" s="58" t="str">
        <f>INDEX(functionInfo[Daily Dashboard Set-up],MATCH(FTE_stdWD[[#This Row],[Service Description]],functionInfo[Service Description For Invoicing &amp; SLA],0))</f>
        <v>Yes</v>
      </c>
      <c r="I218" s="59" t="str">
        <f>INDEX(functionInfo[Monthly Dashboard],MATCH(FTE_stdWD[[#This Row],[Service Description]],functionInfo[Service Description For Invoicing &amp; SLA],0))</f>
        <v>Yes</v>
      </c>
    </row>
    <row r="219" spans="1:9" hidden="1" x14ac:dyDescent="0.25">
      <c r="A219" s="60" t="s">
        <v>296</v>
      </c>
      <c r="B219" s="58" t="s">
        <v>47</v>
      </c>
      <c r="C219" s="58">
        <v>2025</v>
      </c>
      <c r="D219" s="58" t="s">
        <v>17</v>
      </c>
      <c r="E219" s="62"/>
      <c r="F219" s="58" t="str">
        <f>INDEX(functionInfo[Service Lead],MATCH(FTE_stdWD[[#This Row],[Service Description]],functionInfo[Service Description For Invoicing &amp; SLA],0))</f>
        <v>Sasha Yan</v>
      </c>
      <c r="G219" s="58" t="str">
        <f>FTE_stdWD[[#This Row],[Service Description]]&amp;FTE_stdWD[[#This Row],[Country]]&amp;FTE_stdWD[[#This Row],[Year]]&amp;FTE_stdWD[[#This Row],[Month]]</f>
        <v>Air Freight - Operation - SingaporeMNL2025February</v>
      </c>
      <c r="H219" s="58" t="str">
        <f>INDEX(functionInfo[Daily Dashboard Set-up],MATCH(FTE_stdWD[[#This Row],[Service Description]],functionInfo[Service Description For Invoicing &amp; SLA],0))</f>
        <v>Yes</v>
      </c>
      <c r="I219" s="59" t="str">
        <f>INDEX(functionInfo[Monthly Dashboard],MATCH(FTE_stdWD[[#This Row],[Service Description]],functionInfo[Service Description For Invoicing &amp; SLA],0))</f>
        <v>Yes</v>
      </c>
    </row>
    <row r="220" spans="1:9" hidden="1" x14ac:dyDescent="0.25">
      <c r="A220" s="60" t="s">
        <v>296</v>
      </c>
      <c r="B220" s="58" t="s">
        <v>47</v>
      </c>
      <c r="C220" s="58">
        <v>2025</v>
      </c>
      <c r="D220" s="58" t="s">
        <v>18</v>
      </c>
      <c r="E220" s="62"/>
      <c r="F220" s="58" t="str">
        <f>INDEX(functionInfo[Service Lead],MATCH(FTE_stdWD[[#This Row],[Service Description]],functionInfo[Service Description For Invoicing &amp; SLA],0))</f>
        <v>Sasha Yan</v>
      </c>
      <c r="G220" s="58" t="str">
        <f>FTE_stdWD[[#This Row],[Service Description]]&amp;FTE_stdWD[[#This Row],[Country]]&amp;FTE_stdWD[[#This Row],[Year]]&amp;FTE_stdWD[[#This Row],[Month]]</f>
        <v>Air Freight - Operation - SingaporeMNL2025March</v>
      </c>
      <c r="H220" s="58" t="str">
        <f>INDEX(functionInfo[Daily Dashboard Set-up],MATCH(FTE_stdWD[[#This Row],[Service Description]],functionInfo[Service Description For Invoicing &amp; SLA],0))</f>
        <v>Yes</v>
      </c>
      <c r="I220" s="59" t="str">
        <f>INDEX(functionInfo[Monthly Dashboard],MATCH(FTE_stdWD[[#This Row],[Service Description]],functionInfo[Service Description For Invoicing &amp; SLA],0))</f>
        <v>Yes</v>
      </c>
    </row>
    <row r="221" spans="1:9" hidden="1" x14ac:dyDescent="0.25">
      <c r="A221" s="60" t="s">
        <v>296</v>
      </c>
      <c r="B221" s="58" t="s">
        <v>47</v>
      </c>
      <c r="C221" s="58">
        <v>2025</v>
      </c>
      <c r="D221" s="58" t="s">
        <v>19</v>
      </c>
      <c r="E221" s="62"/>
      <c r="F221" s="58" t="str">
        <f>INDEX(functionInfo[Service Lead],MATCH(FTE_stdWD[[#This Row],[Service Description]],functionInfo[Service Description For Invoicing &amp; SLA],0))</f>
        <v>Sasha Yan</v>
      </c>
      <c r="G221" s="58" t="str">
        <f>FTE_stdWD[[#This Row],[Service Description]]&amp;FTE_stdWD[[#This Row],[Country]]&amp;FTE_stdWD[[#This Row],[Year]]&amp;FTE_stdWD[[#This Row],[Month]]</f>
        <v>Air Freight - Operation - SingaporeMNL2025April</v>
      </c>
      <c r="H221" s="58" t="str">
        <f>INDEX(functionInfo[Daily Dashboard Set-up],MATCH(FTE_stdWD[[#This Row],[Service Description]],functionInfo[Service Description For Invoicing &amp; SLA],0))</f>
        <v>Yes</v>
      </c>
      <c r="I221" s="59" t="str">
        <f>INDEX(functionInfo[Monthly Dashboard],MATCH(FTE_stdWD[[#This Row],[Service Description]],functionInfo[Service Description For Invoicing &amp; SLA],0))</f>
        <v>Yes</v>
      </c>
    </row>
    <row r="222" spans="1:9" hidden="1" x14ac:dyDescent="0.25">
      <c r="A222" s="60" t="s">
        <v>296</v>
      </c>
      <c r="B222" s="58" t="s">
        <v>47</v>
      </c>
      <c r="C222" s="58">
        <v>2025</v>
      </c>
      <c r="D222" s="58" t="s">
        <v>20</v>
      </c>
      <c r="E222" s="62"/>
      <c r="F222" s="58" t="str">
        <f>INDEX(functionInfo[Service Lead],MATCH(FTE_stdWD[[#This Row],[Service Description]],functionInfo[Service Description For Invoicing &amp; SLA],0))</f>
        <v>Sasha Yan</v>
      </c>
      <c r="G222" s="58" t="str">
        <f>FTE_stdWD[[#This Row],[Service Description]]&amp;FTE_stdWD[[#This Row],[Country]]&amp;FTE_stdWD[[#This Row],[Year]]&amp;FTE_stdWD[[#This Row],[Month]]</f>
        <v>Air Freight - Operation - SingaporeMNL2025May</v>
      </c>
      <c r="H222" s="58" t="str">
        <f>INDEX(functionInfo[Daily Dashboard Set-up],MATCH(FTE_stdWD[[#This Row],[Service Description]],functionInfo[Service Description For Invoicing &amp; SLA],0))</f>
        <v>Yes</v>
      </c>
      <c r="I222" s="59" t="str">
        <f>INDEX(functionInfo[Monthly Dashboard],MATCH(FTE_stdWD[[#This Row],[Service Description]],functionInfo[Service Description For Invoicing &amp; SLA],0))</f>
        <v>Yes</v>
      </c>
    </row>
    <row r="223" spans="1:9" hidden="1" x14ac:dyDescent="0.25">
      <c r="A223" s="60" t="s">
        <v>296</v>
      </c>
      <c r="B223" s="58" t="s">
        <v>47</v>
      </c>
      <c r="C223" s="58">
        <v>2025</v>
      </c>
      <c r="D223" s="58" t="s">
        <v>21</v>
      </c>
      <c r="E223" s="62"/>
      <c r="F223" s="58" t="str">
        <f>INDEX(functionInfo[Service Lead],MATCH(FTE_stdWD[[#This Row],[Service Description]],functionInfo[Service Description For Invoicing &amp; SLA],0))</f>
        <v>Sasha Yan</v>
      </c>
      <c r="G223" s="58" t="str">
        <f>FTE_stdWD[[#This Row],[Service Description]]&amp;FTE_stdWD[[#This Row],[Country]]&amp;FTE_stdWD[[#This Row],[Year]]&amp;FTE_stdWD[[#This Row],[Month]]</f>
        <v>Air Freight - Operation - SingaporeMNL2025June</v>
      </c>
      <c r="H223" s="58" t="str">
        <f>INDEX(functionInfo[Daily Dashboard Set-up],MATCH(FTE_stdWD[[#This Row],[Service Description]],functionInfo[Service Description For Invoicing &amp; SLA],0))</f>
        <v>Yes</v>
      </c>
      <c r="I223" s="59" t="str">
        <f>INDEX(functionInfo[Monthly Dashboard],MATCH(FTE_stdWD[[#This Row],[Service Description]],functionInfo[Service Description For Invoicing &amp; SLA],0))</f>
        <v>Yes</v>
      </c>
    </row>
    <row r="224" spans="1:9" hidden="1" x14ac:dyDescent="0.25">
      <c r="A224" s="60" t="s">
        <v>296</v>
      </c>
      <c r="B224" s="58" t="s">
        <v>47</v>
      </c>
      <c r="C224" s="58">
        <v>2025</v>
      </c>
      <c r="D224" s="58" t="s">
        <v>22</v>
      </c>
      <c r="E224" s="62"/>
      <c r="F224" s="58" t="str">
        <f>INDEX(functionInfo[Service Lead],MATCH(FTE_stdWD[[#This Row],[Service Description]],functionInfo[Service Description For Invoicing &amp; SLA],0))</f>
        <v>Sasha Yan</v>
      </c>
      <c r="G224" s="58" t="str">
        <f>FTE_stdWD[[#This Row],[Service Description]]&amp;FTE_stdWD[[#This Row],[Country]]&amp;FTE_stdWD[[#This Row],[Year]]&amp;FTE_stdWD[[#This Row],[Month]]</f>
        <v>Air Freight - Operation - SingaporeMNL2025July</v>
      </c>
      <c r="H224" s="58" t="str">
        <f>INDEX(functionInfo[Daily Dashboard Set-up],MATCH(FTE_stdWD[[#This Row],[Service Description]],functionInfo[Service Description For Invoicing &amp; SLA],0))</f>
        <v>Yes</v>
      </c>
      <c r="I224" s="59" t="str">
        <f>INDEX(functionInfo[Monthly Dashboard],MATCH(FTE_stdWD[[#This Row],[Service Description]],functionInfo[Service Description For Invoicing &amp; SLA],0))</f>
        <v>Yes</v>
      </c>
    </row>
    <row r="225" spans="1:9" hidden="1" x14ac:dyDescent="0.25">
      <c r="A225" s="60" t="s">
        <v>296</v>
      </c>
      <c r="B225" s="58" t="s">
        <v>47</v>
      </c>
      <c r="C225" s="58">
        <v>2025</v>
      </c>
      <c r="D225" s="58" t="s">
        <v>46</v>
      </c>
      <c r="E225" s="62"/>
      <c r="F225" s="58" t="str">
        <f>INDEX(functionInfo[Service Lead],MATCH(FTE_stdWD[[#This Row],[Service Description]],functionInfo[Service Description For Invoicing &amp; SLA],0))</f>
        <v>Sasha Yan</v>
      </c>
      <c r="G225" s="58" t="str">
        <f>FTE_stdWD[[#This Row],[Service Description]]&amp;FTE_stdWD[[#This Row],[Country]]&amp;FTE_stdWD[[#This Row],[Year]]&amp;FTE_stdWD[[#This Row],[Month]]</f>
        <v>Air Freight - Operation - SingaporeMNL2025August</v>
      </c>
      <c r="H225" s="58" t="str">
        <f>INDEX(functionInfo[Daily Dashboard Set-up],MATCH(FTE_stdWD[[#This Row],[Service Description]],functionInfo[Service Description For Invoicing &amp; SLA],0))</f>
        <v>Yes</v>
      </c>
      <c r="I225" s="59" t="str">
        <f>INDEX(functionInfo[Monthly Dashboard],MATCH(FTE_stdWD[[#This Row],[Service Description]],functionInfo[Service Description For Invoicing &amp; SLA],0))</f>
        <v>Yes</v>
      </c>
    </row>
    <row r="226" spans="1:9" hidden="1" x14ac:dyDescent="0.25">
      <c r="A226" s="60" t="s">
        <v>296</v>
      </c>
      <c r="B226" s="58" t="s">
        <v>47</v>
      </c>
      <c r="C226" s="58">
        <v>2025</v>
      </c>
      <c r="D226" s="58" t="s">
        <v>33</v>
      </c>
      <c r="E226" s="62"/>
      <c r="F226" s="58" t="str">
        <f>INDEX(functionInfo[Service Lead],MATCH(FTE_stdWD[[#This Row],[Service Description]],functionInfo[Service Description For Invoicing &amp; SLA],0))</f>
        <v>Sasha Yan</v>
      </c>
      <c r="G226" s="58" t="str">
        <f>FTE_stdWD[[#This Row],[Service Description]]&amp;FTE_stdWD[[#This Row],[Country]]&amp;FTE_stdWD[[#This Row],[Year]]&amp;FTE_stdWD[[#This Row],[Month]]</f>
        <v>Air Freight - Operation - SingaporeMNL2025September</v>
      </c>
      <c r="H226" s="58" t="str">
        <f>INDEX(functionInfo[Daily Dashboard Set-up],MATCH(FTE_stdWD[[#This Row],[Service Description]],functionInfo[Service Description For Invoicing &amp; SLA],0))</f>
        <v>Yes</v>
      </c>
      <c r="I226" s="59" t="str">
        <f>INDEX(functionInfo[Monthly Dashboard],MATCH(FTE_stdWD[[#This Row],[Service Description]],functionInfo[Service Description For Invoicing &amp; SLA],0))</f>
        <v>Yes</v>
      </c>
    </row>
    <row r="227" spans="1:9" hidden="1" x14ac:dyDescent="0.25">
      <c r="A227" s="60" t="s">
        <v>296</v>
      </c>
      <c r="B227" s="58" t="s">
        <v>47</v>
      </c>
      <c r="C227" s="58">
        <v>2025</v>
      </c>
      <c r="D227" s="58" t="s">
        <v>25</v>
      </c>
      <c r="E227" s="62"/>
      <c r="F227" s="58" t="str">
        <f>INDEX(functionInfo[Service Lead],MATCH(FTE_stdWD[[#This Row],[Service Description]],functionInfo[Service Description For Invoicing &amp; SLA],0))</f>
        <v>Sasha Yan</v>
      </c>
      <c r="G227" s="58" t="str">
        <f>FTE_stdWD[[#This Row],[Service Description]]&amp;FTE_stdWD[[#This Row],[Country]]&amp;FTE_stdWD[[#This Row],[Year]]&amp;FTE_stdWD[[#This Row],[Month]]</f>
        <v>Air Freight - Operation - SingaporeMNL2025October</v>
      </c>
      <c r="H227" s="58" t="str">
        <f>INDEX(functionInfo[Daily Dashboard Set-up],MATCH(FTE_stdWD[[#This Row],[Service Description]],functionInfo[Service Description For Invoicing &amp; SLA],0))</f>
        <v>Yes</v>
      </c>
      <c r="I227" s="59" t="str">
        <f>INDEX(functionInfo[Monthly Dashboard],MATCH(FTE_stdWD[[#This Row],[Service Description]],functionInfo[Service Description For Invoicing &amp; SLA],0))</f>
        <v>Yes</v>
      </c>
    </row>
    <row r="228" spans="1:9" hidden="1" x14ac:dyDescent="0.25">
      <c r="A228" s="60" t="s">
        <v>296</v>
      </c>
      <c r="B228" s="58" t="s">
        <v>47</v>
      </c>
      <c r="C228" s="58">
        <v>2025</v>
      </c>
      <c r="D228" s="58" t="s">
        <v>26</v>
      </c>
      <c r="E228" s="62"/>
      <c r="F228" s="58" t="str">
        <f>INDEX(functionInfo[Service Lead],MATCH(FTE_stdWD[[#This Row],[Service Description]],functionInfo[Service Description For Invoicing &amp; SLA],0))</f>
        <v>Sasha Yan</v>
      </c>
      <c r="G228" s="58" t="str">
        <f>FTE_stdWD[[#This Row],[Service Description]]&amp;FTE_stdWD[[#This Row],[Country]]&amp;FTE_stdWD[[#This Row],[Year]]&amp;FTE_stdWD[[#This Row],[Month]]</f>
        <v>Air Freight - Operation - SingaporeMNL2025November</v>
      </c>
      <c r="H228" s="58" t="str">
        <f>INDEX(functionInfo[Daily Dashboard Set-up],MATCH(FTE_stdWD[[#This Row],[Service Description]],functionInfo[Service Description For Invoicing &amp; SLA],0))</f>
        <v>Yes</v>
      </c>
      <c r="I228" s="59" t="str">
        <f>INDEX(functionInfo[Monthly Dashboard],MATCH(FTE_stdWD[[#This Row],[Service Description]],functionInfo[Service Description For Invoicing &amp; SLA],0))</f>
        <v>Yes</v>
      </c>
    </row>
    <row r="229" spans="1:9" hidden="1" x14ac:dyDescent="0.25">
      <c r="A229" s="60" t="s">
        <v>296</v>
      </c>
      <c r="B229" s="58" t="s">
        <v>47</v>
      </c>
      <c r="C229" s="58">
        <v>2025</v>
      </c>
      <c r="D229" s="58" t="s">
        <v>27</v>
      </c>
      <c r="E229" s="62"/>
      <c r="F229" s="58" t="str">
        <f>INDEX(functionInfo[Service Lead],MATCH(FTE_stdWD[[#This Row],[Service Description]],functionInfo[Service Description For Invoicing &amp; SLA],0))</f>
        <v>Sasha Yan</v>
      </c>
      <c r="G229" s="58" t="str">
        <f>FTE_stdWD[[#This Row],[Service Description]]&amp;FTE_stdWD[[#This Row],[Country]]&amp;FTE_stdWD[[#This Row],[Year]]&amp;FTE_stdWD[[#This Row],[Month]]</f>
        <v>Air Freight - Operation - SingaporeMNL2025December</v>
      </c>
      <c r="H229" s="58" t="str">
        <f>INDEX(functionInfo[Daily Dashboard Set-up],MATCH(FTE_stdWD[[#This Row],[Service Description]],functionInfo[Service Description For Invoicing &amp; SLA],0))</f>
        <v>Yes</v>
      </c>
      <c r="I229" s="59" t="str">
        <f>INDEX(functionInfo[Monthly Dashboard],MATCH(FTE_stdWD[[#This Row],[Service Description]],functionInfo[Service Description For Invoicing &amp; SLA],0))</f>
        <v>Yes</v>
      </c>
    </row>
    <row r="230" spans="1:9" ht="30" hidden="1" x14ac:dyDescent="0.25">
      <c r="A230" s="60" t="s">
        <v>297</v>
      </c>
      <c r="B230" s="61" t="s">
        <v>45</v>
      </c>
      <c r="C230" s="61">
        <v>2025</v>
      </c>
      <c r="D230" s="61" t="s">
        <v>14</v>
      </c>
      <c r="E230" s="63"/>
      <c r="F230" s="61" t="str">
        <f>INDEX(functionInfo[Service Lead],MATCH(FTE_stdWD[[#This Row],[Service Description]],functionInfo[Service Description For Invoicing &amp; SLA],0))</f>
        <v>Sasha Yan</v>
      </c>
      <c r="G230" s="61" t="str">
        <f>FTE_stdWD[[#This Row],[Service Description]]&amp;FTE_stdWD[[#This Row],[Country]]&amp;FTE_stdWD[[#This Row],[Year]]&amp;FTE_stdWD[[#This Row],[Month]]</f>
        <v>Contract Logistics - Invoicing &amp; BillingWUH2025January</v>
      </c>
      <c r="H230" s="61" t="str">
        <f>INDEX(functionInfo[Daily Dashboard Set-up],MATCH(FTE_stdWD[[#This Row],[Service Description]],functionInfo[Service Description For Invoicing &amp; SLA],0))</f>
        <v>No</v>
      </c>
      <c r="I230" s="64" t="str">
        <f>INDEX(functionInfo[Monthly Dashboard],MATCH(FTE_stdWD[[#This Row],[Service Description]],functionInfo[Service Description For Invoicing &amp; SLA],0))</f>
        <v>Yes</v>
      </c>
    </row>
    <row r="231" spans="1:9" ht="30" hidden="1" x14ac:dyDescent="0.25">
      <c r="A231" s="60" t="s">
        <v>297</v>
      </c>
      <c r="B231" s="58" t="s">
        <v>45</v>
      </c>
      <c r="C231" s="58">
        <v>2025</v>
      </c>
      <c r="D231" s="58" t="s">
        <v>17</v>
      </c>
      <c r="E231" s="62"/>
      <c r="F231" s="58" t="str">
        <f>INDEX(functionInfo[Service Lead],MATCH(FTE_stdWD[[#This Row],[Service Description]],functionInfo[Service Description For Invoicing &amp; SLA],0))</f>
        <v>Sasha Yan</v>
      </c>
      <c r="G231" s="58" t="str">
        <f>FTE_stdWD[[#This Row],[Service Description]]&amp;FTE_stdWD[[#This Row],[Country]]&amp;FTE_stdWD[[#This Row],[Year]]&amp;FTE_stdWD[[#This Row],[Month]]</f>
        <v>Contract Logistics - Invoicing &amp; BillingWUH2025February</v>
      </c>
      <c r="H231" s="58" t="str">
        <f>INDEX(functionInfo[Daily Dashboard Set-up],MATCH(FTE_stdWD[[#This Row],[Service Description]],functionInfo[Service Description For Invoicing &amp; SLA],0))</f>
        <v>No</v>
      </c>
      <c r="I231" s="59" t="str">
        <f>INDEX(functionInfo[Monthly Dashboard],MATCH(FTE_stdWD[[#This Row],[Service Description]],functionInfo[Service Description For Invoicing &amp; SLA],0))</f>
        <v>Yes</v>
      </c>
    </row>
    <row r="232" spans="1:9" ht="30" hidden="1" x14ac:dyDescent="0.25">
      <c r="A232" s="60" t="s">
        <v>297</v>
      </c>
      <c r="B232" s="58" t="s">
        <v>45</v>
      </c>
      <c r="C232" s="58">
        <v>2025</v>
      </c>
      <c r="D232" s="58" t="s">
        <v>18</v>
      </c>
      <c r="E232" s="62"/>
      <c r="F232" s="58" t="str">
        <f>INDEX(functionInfo[Service Lead],MATCH(FTE_stdWD[[#This Row],[Service Description]],functionInfo[Service Description For Invoicing &amp; SLA],0))</f>
        <v>Sasha Yan</v>
      </c>
      <c r="G232" s="58" t="str">
        <f>FTE_stdWD[[#This Row],[Service Description]]&amp;FTE_stdWD[[#This Row],[Country]]&amp;FTE_stdWD[[#This Row],[Year]]&amp;FTE_stdWD[[#This Row],[Month]]</f>
        <v>Contract Logistics - Invoicing &amp; BillingWUH2025March</v>
      </c>
      <c r="H232" s="58" t="str">
        <f>INDEX(functionInfo[Daily Dashboard Set-up],MATCH(FTE_stdWD[[#This Row],[Service Description]],functionInfo[Service Description For Invoicing &amp; SLA],0))</f>
        <v>No</v>
      </c>
      <c r="I232" s="59" t="str">
        <f>INDEX(functionInfo[Monthly Dashboard],MATCH(FTE_stdWD[[#This Row],[Service Description]],functionInfo[Service Description For Invoicing &amp; SLA],0))</f>
        <v>Yes</v>
      </c>
    </row>
    <row r="233" spans="1:9" ht="30" hidden="1" x14ac:dyDescent="0.25">
      <c r="A233" s="60" t="s">
        <v>297</v>
      </c>
      <c r="B233" s="58" t="s">
        <v>45</v>
      </c>
      <c r="C233" s="58">
        <v>2025</v>
      </c>
      <c r="D233" s="58" t="s">
        <v>19</v>
      </c>
      <c r="E233" s="62"/>
      <c r="F233" s="58" t="str">
        <f>INDEX(functionInfo[Service Lead],MATCH(FTE_stdWD[[#This Row],[Service Description]],functionInfo[Service Description For Invoicing &amp; SLA],0))</f>
        <v>Sasha Yan</v>
      </c>
      <c r="G233" s="58" t="str">
        <f>FTE_stdWD[[#This Row],[Service Description]]&amp;FTE_stdWD[[#This Row],[Country]]&amp;FTE_stdWD[[#This Row],[Year]]&amp;FTE_stdWD[[#This Row],[Month]]</f>
        <v>Contract Logistics - Invoicing &amp; BillingWUH2025April</v>
      </c>
      <c r="H233" s="58" t="str">
        <f>INDEX(functionInfo[Daily Dashboard Set-up],MATCH(FTE_stdWD[[#This Row],[Service Description]],functionInfo[Service Description For Invoicing &amp; SLA],0))</f>
        <v>No</v>
      </c>
      <c r="I233" s="59" t="str">
        <f>INDEX(functionInfo[Monthly Dashboard],MATCH(FTE_stdWD[[#This Row],[Service Description]],functionInfo[Service Description For Invoicing &amp; SLA],0))</f>
        <v>Yes</v>
      </c>
    </row>
    <row r="234" spans="1:9" ht="30" hidden="1" x14ac:dyDescent="0.25">
      <c r="A234" s="60" t="s">
        <v>297</v>
      </c>
      <c r="B234" s="58" t="s">
        <v>45</v>
      </c>
      <c r="C234" s="58">
        <v>2025</v>
      </c>
      <c r="D234" s="58" t="s">
        <v>20</v>
      </c>
      <c r="E234" s="62"/>
      <c r="F234" s="58" t="str">
        <f>INDEX(functionInfo[Service Lead],MATCH(FTE_stdWD[[#This Row],[Service Description]],functionInfo[Service Description For Invoicing &amp; SLA],0))</f>
        <v>Sasha Yan</v>
      </c>
      <c r="G234" s="58" t="str">
        <f>FTE_stdWD[[#This Row],[Service Description]]&amp;FTE_stdWD[[#This Row],[Country]]&amp;FTE_stdWD[[#This Row],[Year]]&amp;FTE_stdWD[[#This Row],[Month]]</f>
        <v>Contract Logistics - Invoicing &amp; BillingWUH2025May</v>
      </c>
      <c r="H234" s="58" t="str">
        <f>INDEX(functionInfo[Daily Dashboard Set-up],MATCH(FTE_stdWD[[#This Row],[Service Description]],functionInfo[Service Description For Invoicing &amp; SLA],0))</f>
        <v>No</v>
      </c>
      <c r="I234" s="59" t="str">
        <f>INDEX(functionInfo[Monthly Dashboard],MATCH(FTE_stdWD[[#This Row],[Service Description]],functionInfo[Service Description For Invoicing &amp; SLA],0))</f>
        <v>Yes</v>
      </c>
    </row>
    <row r="235" spans="1:9" ht="30" hidden="1" x14ac:dyDescent="0.25">
      <c r="A235" s="60" t="s">
        <v>297</v>
      </c>
      <c r="B235" s="58" t="s">
        <v>45</v>
      </c>
      <c r="C235" s="58">
        <v>2025</v>
      </c>
      <c r="D235" s="58" t="s">
        <v>21</v>
      </c>
      <c r="E235" s="62"/>
      <c r="F235" s="58" t="str">
        <f>INDEX(functionInfo[Service Lead],MATCH(FTE_stdWD[[#This Row],[Service Description]],functionInfo[Service Description For Invoicing &amp; SLA],0))</f>
        <v>Sasha Yan</v>
      </c>
      <c r="G235" s="58" t="str">
        <f>FTE_stdWD[[#This Row],[Service Description]]&amp;FTE_stdWD[[#This Row],[Country]]&amp;FTE_stdWD[[#This Row],[Year]]&amp;FTE_stdWD[[#This Row],[Month]]</f>
        <v>Contract Logistics - Invoicing &amp; BillingWUH2025June</v>
      </c>
      <c r="H235" s="58" t="str">
        <f>INDEX(functionInfo[Daily Dashboard Set-up],MATCH(FTE_stdWD[[#This Row],[Service Description]],functionInfo[Service Description For Invoicing &amp; SLA],0))</f>
        <v>No</v>
      </c>
      <c r="I235" s="59" t="str">
        <f>INDEX(functionInfo[Monthly Dashboard],MATCH(FTE_stdWD[[#This Row],[Service Description]],functionInfo[Service Description For Invoicing &amp; SLA],0))</f>
        <v>Yes</v>
      </c>
    </row>
    <row r="236" spans="1:9" ht="30" hidden="1" x14ac:dyDescent="0.25">
      <c r="A236" s="60" t="s">
        <v>297</v>
      </c>
      <c r="B236" s="58" t="s">
        <v>45</v>
      </c>
      <c r="C236" s="58">
        <v>2025</v>
      </c>
      <c r="D236" s="58" t="s">
        <v>22</v>
      </c>
      <c r="E236" s="62"/>
      <c r="F236" s="58" t="str">
        <f>INDEX(functionInfo[Service Lead],MATCH(FTE_stdWD[[#This Row],[Service Description]],functionInfo[Service Description For Invoicing &amp; SLA],0))</f>
        <v>Sasha Yan</v>
      </c>
      <c r="G236" s="58" t="str">
        <f>FTE_stdWD[[#This Row],[Service Description]]&amp;FTE_stdWD[[#This Row],[Country]]&amp;FTE_stdWD[[#This Row],[Year]]&amp;FTE_stdWD[[#This Row],[Month]]</f>
        <v>Contract Logistics - Invoicing &amp; BillingWUH2025July</v>
      </c>
      <c r="H236" s="58" t="str">
        <f>INDEX(functionInfo[Daily Dashboard Set-up],MATCH(FTE_stdWD[[#This Row],[Service Description]],functionInfo[Service Description For Invoicing &amp; SLA],0))</f>
        <v>No</v>
      </c>
      <c r="I236" s="59" t="str">
        <f>INDEX(functionInfo[Monthly Dashboard],MATCH(FTE_stdWD[[#This Row],[Service Description]],functionInfo[Service Description For Invoicing &amp; SLA],0))</f>
        <v>Yes</v>
      </c>
    </row>
    <row r="237" spans="1:9" ht="30" hidden="1" x14ac:dyDescent="0.25">
      <c r="A237" s="60" t="s">
        <v>297</v>
      </c>
      <c r="B237" s="58" t="s">
        <v>45</v>
      </c>
      <c r="C237" s="58">
        <v>2025</v>
      </c>
      <c r="D237" s="58" t="s">
        <v>46</v>
      </c>
      <c r="E237" s="62"/>
      <c r="F237" s="58" t="str">
        <f>INDEX(functionInfo[Service Lead],MATCH(FTE_stdWD[[#This Row],[Service Description]],functionInfo[Service Description For Invoicing &amp; SLA],0))</f>
        <v>Sasha Yan</v>
      </c>
      <c r="G237" s="58" t="str">
        <f>FTE_stdWD[[#This Row],[Service Description]]&amp;FTE_stdWD[[#This Row],[Country]]&amp;FTE_stdWD[[#This Row],[Year]]&amp;FTE_stdWD[[#This Row],[Month]]</f>
        <v>Contract Logistics - Invoicing &amp; BillingWUH2025August</v>
      </c>
      <c r="H237" s="58" t="str">
        <f>INDEX(functionInfo[Daily Dashboard Set-up],MATCH(FTE_stdWD[[#This Row],[Service Description]],functionInfo[Service Description For Invoicing &amp; SLA],0))</f>
        <v>No</v>
      </c>
      <c r="I237" s="59" t="str">
        <f>INDEX(functionInfo[Monthly Dashboard],MATCH(FTE_stdWD[[#This Row],[Service Description]],functionInfo[Service Description For Invoicing &amp; SLA],0))</f>
        <v>Yes</v>
      </c>
    </row>
    <row r="238" spans="1:9" ht="30" hidden="1" x14ac:dyDescent="0.25">
      <c r="A238" s="60" t="s">
        <v>297</v>
      </c>
      <c r="B238" s="58" t="s">
        <v>45</v>
      </c>
      <c r="C238" s="58">
        <v>2025</v>
      </c>
      <c r="D238" s="58" t="s">
        <v>33</v>
      </c>
      <c r="E238" s="62"/>
      <c r="F238" s="58" t="str">
        <f>INDEX(functionInfo[Service Lead],MATCH(FTE_stdWD[[#This Row],[Service Description]],functionInfo[Service Description For Invoicing &amp; SLA],0))</f>
        <v>Sasha Yan</v>
      </c>
      <c r="G238" s="58" t="str">
        <f>FTE_stdWD[[#This Row],[Service Description]]&amp;FTE_stdWD[[#This Row],[Country]]&amp;FTE_stdWD[[#This Row],[Year]]&amp;FTE_stdWD[[#This Row],[Month]]</f>
        <v>Contract Logistics - Invoicing &amp; BillingWUH2025September</v>
      </c>
      <c r="H238" s="58" t="str">
        <f>INDEX(functionInfo[Daily Dashboard Set-up],MATCH(FTE_stdWD[[#This Row],[Service Description]],functionInfo[Service Description For Invoicing &amp; SLA],0))</f>
        <v>No</v>
      </c>
      <c r="I238" s="59" t="str">
        <f>INDEX(functionInfo[Monthly Dashboard],MATCH(FTE_stdWD[[#This Row],[Service Description]],functionInfo[Service Description For Invoicing &amp; SLA],0))</f>
        <v>Yes</v>
      </c>
    </row>
    <row r="239" spans="1:9" ht="30" hidden="1" x14ac:dyDescent="0.25">
      <c r="A239" s="60" t="s">
        <v>297</v>
      </c>
      <c r="B239" s="58" t="s">
        <v>45</v>
      </c>
      <c r="C239" s="58">
        <v>2025</v>
      </c>
      <c r="D239" s="58" t="s">
        <v>25</v>
      </c>
      <c r="E239" s="62"/>
      <c r="F239" s="58" t="str">
        <f>INDEX(functionInfo[Service Lead],MATCH(FTE_stdWD[[#This Row],[Service Description]],functionInfo[Service Description For Invoicing &amp; SLA],0))</f>
        <v>Sasha Yan</v>
      </c>
      <c r="G239" s="58" t="str">
        <f>FTE_stdWD[[#This Row],[Service Description]]&amp;FTE_stdWD[[#This Row],[Country]]&amp;FTE_stdWD[[#This Row],[Year]]&amp;FTE_stdWD[[#This Row],[Month]]</f>
        <v>Contract Logistics - Invoicing &amp; BillingWUH2025October</v>
      </c>
      <c r="H239" s="58" t="str">
        <f>INDEX(functionInfo[Daily Dashboard Set-up],MATCH(FTE_stdWD[[#This Row],[Service Description]],functionInfo[Service Description For Invoicing &amp; SLA],0))</f>
        <v>No</v>
      </c>
      <c r="I239" s="59" t="str">
        <f>INDEX(functionInfo[Monthly Dashboard],MATCH(FTE_stdWD[[#This Row],[Service Description]],functionInfo[Service Description For Invoicing &amp; SLA],0))</f>
        <v>Yes</v>
      </c>
    </row>
    <row r="240" spans="1:9" ht="30" hidden="1" x14ac:dyDescent="0.25">
      <c r="A240" s="60" t="s">
        <v>297</v>
      </c>
      <c r="B240" s="58" t="s">
        <v>45</v>
      </c>
      <c r="C240" s="58">
        <v>2025</v>
      </c>
      <c r="D240" s="58" t="s">
        <v>26</v>
      </c>
      <c r="E240" s="62"/>
      <c r="F240" s="58" t="str">
        <f>INDEX(functionInfo[Service Lead],MATCH(FTE_stdWD[[#This Row],[Service Description]],functionInfo[Service Description For Invoicing &amp; SLA],0))</f>
        <v>Sasha Yan</v>
      </c>
      <c r="G240" s="58" t="str">
        <f>FTE_stdWD[[#This Row],[Service Description]]&amp;FTE_stdWD[[#This Row],[Country]]&amp;FTE_stdWD[[#This Row],[Year]]&amp;FTE_stdWD[[#This Row],[Month]]</f>
        <v>Contract Logistics - Invoicing &amp; BillingWUH2025November</v>
      </c>
      <c r="H240" s="58" t="str">
        <f>INDEX(functionInfo[Daily Dashboard Set-up],MATCH(FTE_stdWD[[#This Row],[Service Description]],functionInfo[Service Description For Invoicing &amp; SLA],0))</f>
        <v>No</v>
      </c>
      <c r="I240" s="59" t="str">
        <f>INDEX(functionInfo[Monthly Dashboard],MATCH(FTE_stdWD[[#This Row],[Service Description]],functionInfo[Service Description For Invoicing &amp; SLA],0))</f>
        <v>Yes</v>
      </c>
    </row>
    <row r="241" spans="1:9" ht="30" hidden="1" x14ac:dyDescent="0.25">
      <c r="A241" s="60" t="s">
        <v>297</v>
      </c>
      <c r="B241" s="58" t="s">
        <v>45</v>
      </c>
      <c r="C241" s="58">
        <v>2025</v>
      </c>
      <c r="D241" s="58" t="s">
        <v>27</v>
      </c>
      <c r="E241" s="62"/>
      <c r="F241" s="58" t="str">
        <f>INDEX(functionInfo[Service Lead],MATCH(FTE_stdWD[[#This Row],[Service Description]],functionInfo[Service Description For Invoicing &amp; SLA],0))</f>
        <v>Sasha Yan</v>
      </c>
      <c r="G241" s="58" t="str">
        <f>FTE_stdWD[[#This Row],[Service Description]]&amp;FTE_stdWD[[#This Row],[Country]]&amp;FTE_stdWD[[#This Row],[Year]]&amp;FTE_stdWD[[#This Row],[Month]]</f>
        <v>Contract Logistics - Invoicing &amp; BillingWUH2025December</v>
      </c>
      <c r="H241" s="58" t="str">
        <f>INDEX(functionInfo[Daily Dashboard Set-up],MATCH(FTE_stdWD[[#This Row],[Service Description]],functionInfo[Service Description For Invoicing &amp; SLA],0))</f>
        <v>No</v>
      </c>
      <c r="I241" s="59" t="str">
        <f>INDEX(functionInfo[Monthly Dashboard],MATCH(FTE_stdWD[[#This Row],[Service Description]],functionInfo[Service Description For Invoicing &amp; SLA],0))</f>
        <v>Yes</v>
      </c>
    </row>
    <row r="242" spans="1:9" ht="30" hidden="1" x14ac:dyDescent="0.25">
      <c r="A242" s="60" t="s">
        <v>297</v>
      </c>
      <c r="B242" s="58" t="s">
        <v>47</v>
      </c>
      <c r="C242" s="58">
        <v>2025</v>
      </c>
      <c r="D242" s="58" t="s">
        <v>14</v>
      </c>
      <c r="E242" s="62"/>
      <c r="F242" s="58" t="str">
        <f>INDEX(functionInfo[Service Lead],MATCH(FTE_stdWD[[#This Row],[Service Description]],functionInfo[Service Description For Invoicing &amp; SLA],0))</f>
        <v>Sasha Yan</v>
      </c>
      <c r="G242" s="58" t="str">
        <f>FTE_stdWD[[#This Row],[Service Description]]&amp;FTE_stdWD[[#This Row],[Country]]&amp;FTE_stdWD[[#This Row],[Year]]&amp;FTE_stdWD[[#This Row],[Month]]</f>
        <v>Contract Logistics - Invoicing &amp; BillingMNL2025January</v>
      </c>
      <c r="H242" s="58" t="str">
        <f>INDEX(functionInfo[Daily Dashboard Set-up],MATCH(FTE_stdWD[[#This Row],[Service Description]],functionInfo[Service Description For Invoicing &amp; SLA],0))</f>
        <v>No</v>
      </c>
      <c r="I242" s="59" t="str">
        <f>INDEX(functionInfo[Monthly Dashboard],MATCH(FTE_stdWD[[#This Row],[Service Description]],functionInfo[Service Description For Invoicing &amp; SLA],0))</f>
        <v>Yes</v>
      </c>
    </row>
    <row r="243" spans="1:9" ht="30" hidden="1" x14ac:dyDescent="0.25">
      <c r="A243" s="60" t="s">
        <v>297</v>
      </c>
      <c r="B243" s="58" t="s">
        <v>47</v>
      </c>
      <c r="C243" s="58">
        <v>2025</v>
      </c>
      <c r="D243" s="58" t="s">
        <v>17</v>
      </c>
      <c r="E243" s="62"/>
      <c r="F243" s="58" t="str">
        <f>INDEX(functionInfo[Service Lead],MATCH(FTE_stdWD[[#This Row],[Service Description]],functionInfo[Service Description For Invoicing &amp; SLA],0))</f>
        <v>Sasha Yan</v>
      </c>
      <c r="G243" s="58" t="str">
        <f>FTE_stdWD[[#This Row],[Service Description]]&amp;FTE_stdWD[[#This Row],[Country]]&amp;FTE_stdWD[[#This Row],[Year]]&amp;FTE_stdWD[[#This Row],[Month]]</f>
        <v>Contract Logistics - Invoicing &amp; BillingMNL2025February</v>
      </c>
      <c r="H243" s="58" t="str">
        <f>INDEX(functionInfo[Daily Dashboard Set-up],MATCH(FTE_stdWD[[#This Row],[Service Description]],functionInfo[Service Description For Invoicing &amp; SLA],0))</f>
        <v>No</v>
      </c>
      <c r="I243" s="59" t="str">
        <f>INDEX(functionInfo[Monthly Dashboard],MATCH(FTE_stdWD[[#This Row],[Service Description]],functionInfo[Service Description For Invoicing &amp; SLA],0))</f>
        <v>Yes</v>
      </c>
    </row>
    <row r="244" spans="1:9" ht="30" hidden="1" x14ac:dyDescent="0.25">
      <c r="A244" s="60" t="s">
        <v>297</v>
      </c>
      <c r="B244" s="58" t="s">
        <v>47</v>
      </c>
      <c r="C244" s="58">
        <v>2025</v>
      </c>
      <c r="D244" s="58" t="s">
        <v>18</v>
      </c>
      <c r="E244" s="62"/>
      <c r="F244" s="58" t="str">
        <f>INDEX(functionInfo[Service Lead],MATCH(FTE_stdWD[[#This Row],[Service Description]],functionInfo[Service Description For Invoicing &amp; SLA],0))</f>
        <v>Sasha Yan</v>
      </c>
      <c r="G244" s="58" t="str">
        <f>FTE_stdWD[[#This Row],[Service Description]]&amp;FTE_stdWD[[#This Row],[Country]]&amp;FTE_stdWD[[#This Row],[Year]]&amp;FTE_stdWD[[#This Row],[Month]]</f>
        <v>Contract Logistics - Invoicing &amp; BillingMNL2025March</v>
      </c>
      <c r="H244" s="58" t="str">
        <f>INDEX(functionInfo[Daily Dashboard Set-up],MATCH(FTE_stdWD[[#This Row],[Service Description]],functionInfo[Service Description For Invoicing &amp; SLA],0))</f>
        <v>No</v>
      </c>
      <c r="I244" s="59" t="str">
        <f>INDEX(functionInfo[Monthly Dashboard],MATCH(FTE_stdWD[[#This Row],[Service Description]],functionInfo[Service Description For Invoicing &amp; SLA],0))</f>
        <v>Yes</v>
      </c>
    </row>
    <row r="245" spans="1:9" ht="30" hidden="1" x14ac:dyDescent="0.25">
      <c r="A245" s="60" t="s">
        <v>297</v>
      </c>
      <c r="B245" s="58" t="s">
        <v>47</v>
      </c>
      <c r="C245" s="58">
        <v>2025</v>
      </c>
      <c r="D245" s="58" t="s">
        <v>19</v>
      </c>
      <c r="E245" s="62"/>
      <c r="F245" s="58" t="str">
        <f>INDEX(functionInfo[Service Lead],MATCH(FTE_stdWD[[#This Row],[Service Description]],functionInfo[Service Description For Invoicing &amp; SLA],0))</f>
        <v>Sasha Yan</v>
      </c>
      <c r="G245" s="58" t="str">
        <f>FTE_stdWD[[#This Row],[Service Description]]&amp;FTE_stdWD[[#This Row],[Country]]&amp;FTE_stdWD[[#This Row],[Year]]&amp;FTE_stdWD[[#This Row],[Month]]</f>
        <v>Contract Logistics - Invoicing &amp; BillingMNL2025April</v>
      </c>
      <c r="H245" s="58" t="str">
        <f>INDEX(functionInfo[Daily Dashboard Set-up],MATCH(FTE_stdWD[[#This Row],[Service Description]],functionInfo[Service Description For Invoicing &amp; SLA],0))</f>
        <v>No</v>
      </c>
      <c r="I245" s="59" t="str">
        <f>INDEX(functionInfo[Monthly Dashboard],MATCH(FTE_stdWD[[#This Row],[Service Description]],functionInfo[Service Description For Invoicing &amp; SLA],0))</f>
        <v>Yes</v>
      </c>
    </row>
    <row r="246" spans="1:9" ht="30" hidden="1" x14ac:dyDescent="0.25">
      <c r="A246" s="60" t="s">
        <v>297</v>
      </c>
      <c r="B246" s="58" t="s">
        <v>47</v>
      </c>
      <c r="C246" s="58">
        <v>2025</v>
      </c>
      <c r="D246" s="58" t="s">
        <v>20</v>
      </c>
      <c r="E246" s="62"/>
      <c r="F246" s="58" t="str">
        <f>INDEX(functionInfo[Service Lead],MATCH(FTE_stdWD[[#This Row],[Service Description]],functionInfo[Service Description For Invoicing &amp; SLA],0))</f>
        <v>Sasha Yan</v>
      </c>
      <c r="G246" s="58" t="str">
        <f>FTE_stdWD[[#This Row],[Service Description]]&amp;FTE_stdWD[[#This Row],[Country]]&amp;FTE_stdWD[[#This Row],[Year]]&amp;FTE_stdWD[[#This Row],[Month]]</f>
        <v>Contract Logistics - Invoicing &amp; BillingMNL2025May</v>
      </c>
      <c r="H246" s="58" t="str">
        <f>INDEX(functionInfo[Daily Dashboard Set-up],MATCH(FTE_stdWD[[#This Row],[Service Description]],functionInfo[Service Description For Invoicing &amp; SLA],0))</f>
        <v>No</v>
      </c>
      <c r="I246" s="59" t="str">
        <f>INDEX(functionInfo[Monthly Dashboard],MATCH(FTE_stdWD[[#This Row],[Service Description]],functionInfo[Service Description For Invoicing &amp; SLA],0))</f>
        <v>Yes</v>
      </c>
    </row>
    <row r="247" spans="1:9" ht="30" hidden="1" x14ac:dyDescent="0.25">
      <c r="A247" s="60" t="s">
        <v>297</v>
      </c>
      <c r="B247" s="58" t="s">
        <v>47</v>
      </c>
      <c r="C247" s="58">
        <v>2025</v>
      </c>
      <c r="D247" s="58" t="s">
        <v>21</v>
      </c>
      <c r="E247" s="62"/>
      <c r="F247" s="58" t="str">
        <f>INDEX(functionInfo[Service Lead],MATCH(FTE_stdWD[[#This Row],[Service Description]],functionInfo[Service Description For Invoicing &amp; SLA],0))</f>
        <v>Sasha Yan</v>
      </c>
      <c r="G247" s="58" t="str">
        <f>FTE_stdWD[[#This Row],[Service Description]]&amp;FTE_stdWD[[#This Row],[Country]]&amp;FTE_stdWD[[#This Row],[Year]]&amp;FTE_stdWD[[#This Row],[Month]]</f>
        <v>Contract Logistics - Invoicing &amp; BillingMNL2025June</v>
      </c>
      <c r="H247" s="58" t="str">
        <f>INDEX(functionInfo[Daily Dashboard Set-up],MATCH(FTE_stdWD[[#This Row],[Service Description]],functionInfo[Service Description For Invoicing &amp; SLA],0))</f>
        <v>No</v>
      </c>
      <c r="I247" s="59" t="str">
        <f>INDEX(functionInfo[Monthly Dashboard],MATCH(FTE_stdWD[[#This Row],[Service Description]],functionInfo[Service Description For Invoicing &amp; SLA],0))</f>
        <v>Yes</v>
      </c>
    </row>
    <row r="248" spans="1:9" ht="30" hidden="1" x14ac:dyDescent="0.25">
      <c r="A248" s="60" t="s">
        <v>297</v>
      </c>
      <c r="B248" s="58" t="s">
        <v>47</v>
      </c>
      <c r="C248" s="58">
        <v>2025</v>
      </c>
      <c r="D248" s="58" t="s">
        <v>22</v>
      </c>
      <c r="E248" s="62"/>
      <c r="F248" s="58" t="str">
        <f>INDEX(functionInfo[Service Lead],MATCH(FTE_stdWD[[#This Row],[Service Description]],functionInfo[Service Description For Invoicing &amp; SLA],0))</f>
        <v>Sasha Yan</v>
      </c>
      <c r="G248" s="58" t="str">
        <f>FTE_stdWD[[#This Row],[Service Description]]&amp;FTE_stdWD[[#This Row],[Country]]&amp;FTE_stdWD[[#This Row],[Year]]&amp;FTE_stdWD[[#This Row],[Month]]</f>
        <v>Contract Logistics - Invoicing &amp; BillingMNL2025July</v>
      </c>
      <c r="H248" s="58" t="str">
        <f>INDEX(functionInfo[Daily Dashboard Set-up],MATCH(FTE_stdWD[[#This Row],[Service Description]],functionInfo[Service Description For Invoicing &amp; SLA],0))</f>
        <v>No</v>
      </c>
      <c r="I248" s="59" t="str">
        <f>INDEX(functionInfo[Monthly Dashboard],MATCH(FTE_stdWD[[#This Row],[Service Description]],functionInfo[Service Description For Invoicing &amp; SLA],0))</f>
        <v>Yes</v>
      </c>
    </row>
    <row r="249" spans="1:9" ht="30" hidden="1" x14ac:dyDescent="0.25">
      <c r="A249" s="60" t="s">
        <v>297</v>
      </c>
      <c r="B249" s="58" t="s">
        <v>47</v>
      </c>
      <c r="C249" s="58">
        <v>2025</v>
      </c>
      <c r="D249" s="58" t="s">
        <v>46</v>
      </c>
      <c r="E249" s="62"/>
      <c r="F249" s="58" t="str">
        <f>INDEX(functionInfo[Service Lead],MATCH(FTE_stdWD[[#This Row],[Service Description]],functionInfo[Service Description For Invoicing &amp; SLA],0))</f>
        <v>Sasha Yan</v>
      </c>
      <c r="G249" s="58" t="str">
        <f>FTE_stdWD[[#This Row],[Service Description]]&amp;FTE_stdWD[[#This Row],[Country]]&amp;FTE_stdWD[[#This Row],[Year]]&amp;FTE_stdWD[[#This Row],[Month]]</f>
        <v>Contract Logistics - Invoicing &amp; BillingMNL2025August</v>
      </c>
      <c r="H249" s="58" t="str">
        <f>INDEX(functionInfo[Daily Dashboard Set-up],MATCH(FTE_stdWD[[#This Row],[Service Description]],functionInfo[Service Description For Invoicing &amp; SLA],0))</f>
        <v>No</v>
      </c>
      <c r="I249" s="59" t="str">
        <f>INDEX(functionInfo[Monthly Dashboard],MATCH(FTE_stdWD[[#This Row],[Service Description]],functionInfo[Service Description For Invoicing &amp; SLA],0))</f>
        <v>Yes</v>
      </c>
    </row>
    <row r="250" spans="1:9" ht="30" hidden="1" x14ac:dyDescent="0.25">
      <c r="A250" s="60" t="s">
        <v>297</v>
      </c>
      <c r="B250" s="58" t="s">
        <v>47</v>
      </c>
      <c r="C250" s="58">
        <v>2025</v>
      </c>
      <c r="D250" s="58" t="s">
        <v>33</v>
      </c>
      <c r="E250" s="62"/>
      <c r="F250" s="58" t="str">
        <f>INDEX(functionInfo[Service Lead],MATCH(FTE_stdWD[[#This Row],[Service Description]],functionInfo[Service Description For Invoicing &amp; SLA],0))</f>
        <v>Sasha Yan</v>
      </c>
      <c r="G250" s="58" t="str">
        <f>FTE_stdWD[[#This Row],[Service Description]]&amp;FTE_stdWD[[#This Row],[Country]]&amp;FTE_stdWD[[#This Row],[Year]]&amp;FTE_stdWD[[#This Row],[Month]]</f>
        <v>Contract Logistics - Invoicing &amp; BillingMNL2025September</v>
      </c>
      <c r="H250" s="58" t="str">
        <f>INDEX(functionInfo[Daily Dashboard Set-up],MATCH(FTE_stdWD[[#This Row],[Service Description]],functionInfo[Service Description For Invoicing &amp; SLA],0))</f>
        <v>No</v>
      </c>
      <c r="I250" s="59" t="str">
        <f>INDEX(functionInfo[Monthly Dashboard],MATCH(FTE_stdWD[[#This Row],[Service Description]],functionInfo[Service Description For Invoicing &amp; SLA],0))</f>
        <v>Yes</v>
      </c>
    </row>
    <row r="251" spans="1:9" ht="30" hidden="1" x14ac:dyDescent="0.25">
      <c r="A251" s="60" t="s">
        <v>297</v>
      </c>
      <c r="B251" s="58" t="s">
        <v>47</v>
      </c>
      <c r="C251" s="58">
        <v>2025</v>
      </c>
      <c r="D251" s="58" t="s">
        <v>25</v>
      </c>
      <c r="E251" s="62"/>
      <c r="F251" s="58" t="str">
        <f>INDEX(functionInfo[Service Lead],MATCH(FTE_stdWD[[#This Row],[Service Description]],functionInfo[Service Description For Invoicing &amp; SLA],0))</f>
        <v>Sasha Yan</v>
      </c>
      <c r="G251" s="58" t="str">
        <f>FTE_stdWD[[#This Row],[Service Description]]&amp;FTE_stdWD[[#This Row],[Country]]&amp;FTE_stdWD[[#This Row],[Year]]&amp;FTE_stdWD[[#This Row],[Month]]</f>
        <v>Contract Logistics - Invoicing &amp; BillingMNL2025October</v>
      </c>
      <c r="H251" s="58" t="str">
        <f>INDEX(functionInfo[Daily Dashboard Set-up],MATCH(FTE_stdWD[[#This Row],[Service Description]],functionInfo[Service Description For Invoicing &amp; SLA],0))</f>
        <v>No</v>
      </c>
      <c r="I251" s="59" t="str">
        <f>INDEX(functionInfo[Monthly Dashboard],MATCH(FTE_stdWD[[#This Row],[Service Description]],functionInfo[Service Description For Invoicing &amp; SLA],0))</f>
        <v>Yes</v>
      </c>
    </row>
    <row r="252" spans="1:9" ht="30" hidden="1" x14ac:dyDescent="0.25">
      <c r="A252" s="60" t="s">
        <v>297</v>
      </c>
      <c r="B252" s="58" t="s">
        <v>47</v>
      </c>
      <c r="C252" s="58">
        <v>2025</v>
      </c>
      <c r="D252" s="58" t="s">
        <v>26</v>
      </c>
      <c r="E252" s="62"/>
      <c r="F252" s="58" t="str">
        <f>INDEX(functionInfo[Service Lead],MATCH(FTE_stdWD[[#This Row],[Service Description]],functionInfo[Service Description For Invoicing &amp; SLA],0))</f>
        <v>Sasha Yan</v>
      </c>
      <c r="G252" s="58" t="str">
        <f>FTE_stdWD[[#This Row],[Service Description]]&amp;FTE_stdWD[[#This Row],[Country]]&amp;FTE_stdWD[[#This Row],[Year]]&amp;FTE_stdWD[[#This Row],[Month]]</f>
        <v>Contract Logistics - Invoicing &amp; BillingMNL2025November</v>
      </c>
      <c r="H252" s="58" t="str">
        <f>INDEX(functionInfo[Daily Dashboard Set-up],MATCH(FTE_stdWD[[#This Row],[Service Description]],functionInfo[Service Description For Invoicing &amp; SLA],0))</f>
        <v>No</v>
      </c>
      <c r="I252" s="59" t="str">
        <f>INDEX(functionInfo[Monthly Dashboard],MATCH(FTE_stdWD[[#This Row],[Service Description]],functionInfo[Service Description For Invoicing &amp; SLA],0))</f>
        <v>Yes</v>
      </c>
    </row>
    <row r="253" spans="1:9" ht="30" hidden="1" x14ac:dyDescent="0.25">
      <c r="A253" s="60" t="s">
        <v>297</v>
      </c>
      <c r="B253" s="58" t="s">
        <v>47</v>
      </c>
      <c r="C253" s="58">
        <v>2025</v>
      </c>
      <c r="D253" s="58" t="s">
        <v>27</v>
      </c>
      <c r="E253" s="62"/>
      <c r="F253" s="58" t="str">
        <f>INDEX(functionInfo[Service Lead],MATCH(FTE_stdWD[[#This Row],[Service Description]],functionInfo[Service Description For Invoicing &amp; SLA],0))</f>
        <v>Sasha Yan</v>
      </c>
      <c r="G253" s="58" t="str">
        <f>FTE_stdWD[[#This Row],[Service Description]]&amp;FTE_stdWD[[#This Row],[Country]]&amp;FTE_stdWD[[#This Row],[Year]]&amp;FTE_stdWD[[#This Row],[Month]]</f>
        <v>Contract Logistics - Invoicing &amp; BillingMNL2025December</v>
      </c>
      <c r="H253" s="58" t="str">
        <f>INDEX(functionInfo[Daily Dashboard Set-up],MATCH(FTE_stdWD[[#This Row],[Service Description]],functionInfo[Service Description For Invoicing &amp; SLA],0))</f>
        <v>No</v>
      </c>
      <c r="I253" s="59" t="str">
        <f>INDEX(functionInfo[Monthly Dashboard],MATCH(FTE_stdWD[[#This Row],[Service Description]],functionInfo[Service Description For Invoicing &amp; SLA],0))</f>
        <v>Yes</v>
      </c>
    </row>
    <row r="254" spans="1:9" hidden="1" x14ac:dyDescent="0.25">
      <c r="A254" s="60" t="s">
        <v>292</v>
      </c>
      <c r="B254" s="61" t="s">
        <v>45</v>
      </c>
      <c r="C254" s="61">
        <v>2025</v>
      </c>
      <c r="D254" s="61" t="s">
        <v>14</v>
      </c>
      <c r="E254" s="63"/>
      <c r="F254" s="61" t="str">
        <f>INDEX(functionInfo[Service Lead],MATCH(FTE_stdWD[[#This Row],[Service Description]],functionInfo[Service Description For Invoicing &amp; SLA],0))</f>
        <v>Sasha Yan</v>
      </c>
      <c r="G254" s="61" t="str">
        <f>FTE_stdWD[[#This Row],[Service Description]]&amp;FTE_stdWD[[#This Row],[Country]]&amp;FTE_stdWD[[#This Row],[Year]]&amp;FTE_stdWD[[#This Row],[Month]]</f>
        <v>Sea Freight - Customs CompilerWUH2025January</v>
      </c>
      <c r="H254" s="61" t="str">
        <f>INDEX(functionInfo[Daily Dashboard Set-up],MATCH(FTE_stdWD[[#This Row],[Service Description]],functionInfo[Service Description For Invoicing &amp; SLA],0))</f>
        <v>Yes</v>
      </c>
      <c r="I254" s="64" t="str">
        <f>INDEX(functionInfo[Monthly Dashboard],MATCH(FTE_stdWD[[#This Row],[Service Description]],functionInfo[Service Description For Invoicing &amp; SLA],0))</f>
        <v>Yes</v>
      </c>
    </row>
    <row r="255" spans="1:9" hidden="1" x14ac:dyDescent="0.25">
      <c r="A255" s="60" t="s">
        <v>292</v>
      </c>
      <c r="B255" s="58" t="s">
        <v>45</v>
      </c>
      <c r="C255" s="58">
        <v>2025</v>
      </c>
      <c r="D255" s="58" t="s">
        <v>17</v>
      </c>
      <c r="E255" s="62"/>
      <c r="F255" s="58" t="str">
        <f>INDEX(functionInfo[Service Lead],MATCH(FTE_stdWD[[#This Row],[Service Description]],functionInfo[Service Description For Invoicing &amp; SLA],0))</f>
        <v>Sasha Yan</v>
      </c>
      <c r="G255" s="58" t="str">
        <f>FTE_stdWD[[#This Row],[Service Description]]&amp;FTE_stdWD[[#This Row],[Country]]&amp;FTE_stdWD[[#This Row],[Year]]&amp;FTE_stdWD[[#This Row],[Month]]</f>
        <v>Sea Freight - Customs CompilerWUH2025February</v>
      </c>
      <c r="H255" s="58" t="str">
        <f>INDEX(functionInfo[Daily Dashboard Set-up],MATCH(FTE_stdWD[[#This Row],[Service Description]],functionInfo[Service Description For Invoicing &amp; SLA],0))</f>
        <v>Yes</v>
      </c>
      <c r="I255" s="59" t="str">
        <f>INDEX(functionInfo[Monthly Dashboard],MATCH(FTE_stdWD[[#This Row],[Service Description]],functionInfo[Service Description For Invoicing &amp; SLA],0))</f>
        <v>Yes</v>
      </c>
    </row>
    <row r="256" spans="1:9" hidden="1" x14ac:dyDescent="0.25">
      <c r="A256" s="60" t="s">
        <v>292</v>
      </c>
      <c r="B256" s="58" t="s">
        <v>45</v>
      </c>
      <c r="C256" s="58">
        <v>2025</v>
      </c>
      <c r="D256" s="58" t="s">
        <v>18</v>
      </c>
      <c r="E256" s="62"/>
      <c r="F256" s="58" t="str">
        <f>INDEX(functionInfo[Service Lead],MATCH(FTE_stdWD[[#This Row],[Service Description]],functionInfo[Service Description For Invoicing &amp; SLA],0))</f>
        <v>Sasha Yan</v>
      </c>
      <c r="G256" s="58" t="str">
        <f>FTE_stdWD[[#This Row],[Service Description]]&amp;FTE_stdWD[[#This Row],[Country]]&amp;FTE_stdWD[[#This Row],[Year]]&amp;FTE_stdWD[[#This Row],[Month]]</f>
        <v>Sea Freight - Customs CompilerWUH2025March</v>
      </c>
      <c r="H256" s="58" t="str">
        <f>INDEX(functionInfo[Daily Dashboard Set-up],MATCH(FTE_stdWD[[#This Row],[Service Description]],functionInfo[Service Description For Invoicing &amp; SLA],0))</f>
        <v>Yes</v>
      </c>
      <c r="I256" s="59" t="str">
        <f>INDEX(functionInfo[Monthly Dashboard],MATCH(FTE_stdWD[[#This Row],[Service Description]],functionInfo[Service Description For Invoicing &amp; SLA],0))</f>
        <v>Yes</v>
      </c>
    </row>
    <row r="257" spans="1:9" hidden="1" x14ac:dyDescent="0.25">
      <c r="A257" s="60" t="s">
        <v>292</v>
      </c>
      <c r="B257" s="58" t="s">
        <v>45</v>
      </c>
      <c r="C257" s="58">
        <v>2025</v>
      </c>
      <c r="D257" s="58" t="s">
        <v>19</v>
      </c>
      <c r="E257" s="62"/>
      <c r="F257" s="58" t="str">
        <f>INDEX(functionInfo[Service Lead],MATCH(FTE_stdWD[[#This Row],[Service Description]],functionInfo[Service Description For Invoicing &amp; SLA],0))</f>
        <v>Sasha Yan</v>
      </c>
      <c r="G257" s="58" t="str">
        <f>FTE_stdWD[[#This Row],[Service Description]]&amp;FTE_stdWD[[#This Row],[Country]]&amp;FTE_stdWD[[#This Row],[Year]]&amp;FTE_stdWD[[#This Row],[Month]]</f>
        <v>Sea Freight - Customs CompilerWUH2025April</v>
      </c>
      <c r="H257" s="58" t="str">
        <f>INDEX(functionInfo[Daily Dashboard Set-up],MATCH(FTE_stdWD[[#This Row],[Service Description]],functionInfo[Service Description For Invoicing &amp; SLA],0))</f>
        <v>Yes</v>
      </c>
      <c r="I257" s="59" t="str">
        <f>INDEX(functionInfo[Monthly Dashboard],MATCH(FTE_stdWD[[#This Row],[Service Description]],functionInfo[Service Description For Invoicing &amp; SLA],0))</f>
        <v>Yes</v>
      </c>
    </row>
    <row r="258" spans="1:9" hidden="1" x14ac:dyDescent="0.25">
      <c r="A258" s="60" t="s">
        <v>292</v>
      </c>
      <c r="B258" s="58" t="s">
        <v>45</v>
      </c>
      <c r="C258" s="58">
        <v>2025</v>
      </c>
      <c r="D258" s="58" t="s">
        <v>20</v>
      </c>
      <c r="E258" s="62"/>
      <c r="F258" s="58" t="str">
        <f>INDEX(functionInfo[Service Lead],MATCH(FTE_stdWD[[#This Row],[Service Description]],functionInfo[Service Description For Invoicing &amp; SLA],0))</f>
        <v>Sasha Yan</v>
      </c>
      <c r="G258" s="58" t="str">
        <f>FTE_stdWD[[#This Row],[Service Description]]&amp;FTE_stdWD[[#This Row],[Country]]&amp;FTE_stdWD[[#This Row],[Year]]&amp;FTE_stdWD[[#This Row],[Month]]</f>
        <v>Sea Freight - Customs CompilerWUH2025May</v>
      </c>
      <c r="H258" s="58" t="str">
        <f>INDEX(functionInfo[Daily Dashboard Set-up],MATCH(FTE_stdWD[[#This Row],[Service Description]],functionInfo[Service Description For Invoicing &amp; SLA],0))</f>
        <v>Yes</v>
      </c>
      <c r="I258" s="59" t="str">
        <f>INDEX(functionInfo[Monthly Dashboard],MATCH(FTE_stdWD[[#This Row],[Service Description]],functionInfo[Service Description For Invoicing &amp; SLA],0))</f>
        <v>Yes</v>
      </c>
    </row>
    <row r="259" spans="1:9" hidden="1" x14ac:dyDescent="0.25">
      <c r="A259" s="60" t="s">
        <v>292</v>
      </c>
      <c r="B259" s="58" t="s">
        <v>45</v>
      </c>
      <c r="C259" s="58">
        <v>2025</v>
      </c>
      <c r="D259" s="58" t="s">
        <v>21</v>
      </c>
      <c r="E259" s="62"/>
      <c r="F259" s="58" t="str">
        <f>INDEX(functionInfo[Service Lead],MATCH(FTE_stdWD[[#This Row],[Service Description]],functionInfo[Service Description For Invoicing &amp; SLA],0))</f>
        <v>Sasha Yan</v>
      </c>
      <c r="G259" s="58" t="str">
        <f>FTE_stdWD[[#This Row],[Service Description]]&amp;FTE_stdWD[[#This Row],[Country]]&amp;FTE_stdWD[[#This Row],[Year]]&amp;FTE_stdWD[[#This Row],[Month]]</f>
        <v>Sea Freight - Customs CompilerWUH2025June</v>
      </c>
      <c r="H259" s="58" t="str">
        <f>INDEX(functionInfo[Daily Dashboard Set-up],MATCH(FTE_stdWD[[#This Row],[Service Description]],functionInfo[Service Description For Invoicing &amp; SLA],0))</f>
        <v>Yes</v>
      </c>
      <c r="I259" s="59" t="str">
        <f>INDEX(functionInfo[Monthly Dashboard],MATCH(FTE_stdWD[[#This Row],[Service Description]],functionInfo[Service Description For Invoicing &amp; SLA],0))</f>
        <v>Yes</v>
      </c>
    </row>
    <row r="260" spans="1:9" hidden="1" x14ac:dyDescent="0.25">
      <c r="A260" s="60" t="s">
        <v>292</v>
      </c>
      <c r="B260" s="58" t="s">
        <v>45</v>
      </c>
      <c r="C260" s="58">
        <v>2025</v>
      </c>
      <c r="D260" s="58" t="s">
        <v>22</v>
      </c>
      <c r="E260" s="62"/>
      <c r="F260" s="58" t="str">
        <f>INDEX(functionInfo[Service Lead],MATCH(FTE_stdWD[[#This Row],[Service Description]],functionInfo[Service Description For Invoicing &amp; SLA],0))</f>
        <v>Sasha Yan</v>
      </c>
      <c r="G260" s="58" t="str">
        <f>FTE_stdWD[[#This Row],[Service Description]]&amp;FTE_stdWD[[#This Row],[Country]]&amp;FTE_stdWD[[#This Row],[Year]]&amp;FTE_stdWD[[#This Row],[Month]]</f>
        <v>Sea Freight - Customs CompilerWUH2025July</v>
      </c>
      <c r="H260" s="58" t="str">
        <f>INDEX(functionInfo[Daily Dashboard Set-up],MATCH(FTE_stdWD[[#This Row],[Service Description]],functionInfo[Service Description For Invoicing &amp; SLA],0))</f>
        <v>Yes</v>
      </c>
      <c r="I260" s="59" t="str">
        <f>INDEX(functionInfo[Monthly Dashboard],MATCH(FTE_stdWD[[#This Row],[Service Description]],functionInfo[Service Description For Invoicing &amp; SLA],0))</f>
        <v>Yes</v>
      </c>
    </row>
    <row r="261" spans="1:9" hidden="1" x14ac:dyDescent="0.25">
      <c r="A261" s="60" t="s">
        <v>292</v>
      </c>
      <c r="B261" s="58" t="s">
        <v>45</v>
      </c>
      <c r="C261" s="58">
        <v>2025</v>
      </c>
      <c r="D261" s="58" t="s">
        <v>46</v>
      </c>
      <c r="E261" s="62"/>
      <c r="F261" s="58" t="str">
        <f>INDEX(functionInfo[Service Lead],MATCH(FTE_stdWD[[#This Row],[Service Description]],functionInfo[Service Description For Invoicing &amp; SLA],0))</f>
        <v>Sasha Yan</v>
      </c>
      <c r="G261" s="58" t="str">
        <f>FTE_stdWD[[#This Row],[Service Description]]&amp;FTE_stdWD[[#This Row],[Country]]&amp;FTE_stdWD[[#This Row],[Year]]&amp;FTE_stdWD[[#This Row],[Month]]</f>
        <v>Sea Freight - Customs CompilerWUH2025August</v>
      </c>
      <c r="H261" s="58" t="str">
        <f>INDEX(functionInfo[Daily Dashboard Set-up],MATCH(FTE_stdWD[[#This Row],[Service Description]],functionInfo[Service Description For Invoicing &amp; SLA],0))</f>
        <v>Yes</v>
      </c>
      <c r="I261" s="59" t="str">
        <f>INDEX(functionInfo[Monthly Dashboard],MATCH(FTE_stdWD[[#This Row],[Service Description]],functionInfo[Service Description For Invoicing &amp; SLA],0))</f>
        <v>Yes</v>
      </c>
    </row>
    <row r="262" spans="1:9" hidden="1" x14ac:dyDescent="0.25">
      <c r="A262" s="60" t="s">
        <v>292</v>
      </c>
      <c r="B262" s="58" t="s">
        <v>45</v>
      </c>
      <c r="C262" s="58">
        <v>2025</v>
      </c>
      <c r="D262" s="58" t="s">
        <v>33</v>
      </c>
      <c r="E262" s="62"/>
      <c r="F262" s="58" t="str">
        <f>INDEX(functionInfo[Service Lead],MATCH(FTE_stdWD[[#This Row],[Service Description]],functionInfo[Service Description For Invoicing &amp; SLA],0))</f>
        <v>Sasha Yan</v>
      </c>
      <c r="G262" s="58" t="str">
        <f>FTE_stdWD[[#This Row],[Service Description]]&amp;FTE_stdWD[[#This Row],[Country]]&amp;FTE_stdWD[[#This Row],[Year]]&amp;FTE_stdWD[[#This Row],[Month]]</f>
        <v>Sea Freight - Customs CompilerWUH2025September</v>
      </c>
      <c r="H262" s="58" t="str">
        <f>INDEX(functionInfo[Daily Dashboard Set-up],MATCH(FTE_stdWD[[#This Row],[Service Description]],functionInfo[Service Description For Invoicing &amp; SLA],0))</f>
        <v>Yes</v>
      </c>
      <c r="I262" s="59" t="str">
        <f>INDEX(functionInfo[Monthly Dashboard],MATCH(FTE_stdWD[[#This Row],[Service Description]],functionInfo[Service Description For Invoicing &amp; SLA],0))</f>
        <v>Yes</v>
      </c>
    </row>
    <row r="263" spans="1:9" hidden="1" x14ac:dyDescent="0.25">
      <c r="A263" s="60" t="s">
        <v>292</v>
      </c>
      <c r="B263" s="58" t="s">
        <v>45</v>
      </c>
      <c r="C263" s="58">
        <v>2025</v>
      </c>
      <c r="D263" s="58" t="s">
        <v>25</v>
      </c>
      <c r="E263" s="62"/>
      <c r="F263" s="58" t="str">
        <f>INDEX(functionInfo[Service Lead],MATCH(FTE_stdWD[[#This Row],[Service Description]],functionInfo[Service Description For Invoicing &amp; SLA],0))</f>
        <v>Sasha Yan</v>
      </c>
      <c r="G263" s="58" t="str">
        <f>FTE_stdWD[[#This Row],[Service Description]]&amp;FTE_stdWD[[#This Row],[Country]]&amp;FTE_stdWD[[#This Row],[Year]]&amp;FTE_stdWD[[#This Row],[Month]]</f>
        <v>Sea Freight - Customs CompilerWUH2025October</v>
      </c>
      <c r="H263" s="58" t="str">
        <f>INDEX(functionInfo[Daily Dashboard Set-up],MATCH(FTE_stdWD[[#This Row],[Service Description]],functionInfo[Service Description For Invoicing &amp; SLA],0))</f>
        <v>Yes</v>
      </c>
      <c r="I263" s="59" t="str">
        <f>INDEX(functionInfo[Monthly Dashboard],MATCH(FTE_stdWD[[#This Row],[Service Description]],functionInfo[Service Description For Invoicing &amp; SLA],0))</f>
        <v>Yes</v>
      </c>
    </row>
    <row r="264" spans="1:9" hidden="1" x14ac:dyDescent="0.25">
      <c r="A264" s="60" t="s">
        <v>292</v>
      </c>
      <c r="B264" s="58" t="s">
        <v>45</v>
      </c>
      <c r="C264" s="58">
        <v>2025</v>
      </c>
      <c r="D264" s="58" t="s">
        <v>26</v>
      </c>
      <c r="E264" s="62"/>
      <c r="F264" s="58" t="str">
        <f>INDEX(functionInfo[Service Lead],MATCH(FTE_stdWD[[#This Row],[Service Description]],functionInfo[Service Description For Invoicing &amp; SLA],0))</f>
        <v>Sasha Yan</v>
      </c>
      <c r="G264" s="58" t="str">
        <f>FTE_stdWD[[#This Row],[Service Description]]&amp;FTE_stdWD[[#This Row],[Country]]&amp;FTE_stdWD[[#This Row],[Year]]&amp;FTE_stdWD[[#This Row],[Month]]</f>
        <v>Sea Freight - Customs CompilerWUH2025November</v>
      </c>
      <c r="H264" s="58" t="str">
        <f>INDEX(functionInfo[Daily Dashboard Set-up],MATCH(FTE_stdWD[[#This Row],[Service Description]],functionInfo[Service Description For Invoicing &amp; SLA],0))</f>
        <v>Yes</v>
      </c>
      <c r="I264" s="59" t="str">
        <f>INDEX(functionInfo[Monthly Dashboard],MATCH(FTE_stdWD[[#This Row],[Service Description]],functionInfo[Service Description For Invoicing &amp; SLA],0))</f>
        <v>Yes</v>
      </c>
    </row>
    <row r="265" spans="1:9" hidden="1" x14ac:dyDescent="0.25">
      <c r="A265" s="60" t="s">
        <v>292</v>
      </c>
      <c r="B265" s="58" t="s">
        <v>45</v>
      </c>
      <c r="C265" s="58">
        <v>2025</v>
      </c>
      <c r="D265" s="58" t="s">
        <v>27</v>
      </c>
      <c r="E265" s="62"/>
      <c r="F265" s="58" t="str">
        <f>INDEX(functionInfo[Service Lead],MATCH(FTE_stdWD[[#This Row],[Service Description]],functionInfo[Service Description For Invoicing &amp; SLA],0))</f>
        <v>Sasha Yan</v>
      </c>
      <c r="G265" s="58" t="str">
        <f>FTE_stdWD[[#This Row],[Service Description]]&amp;FTE_stdWD[[#This Row],[Country]]&amp;FTE_stdWD[[#This Row],[Year]]&amp;FTE_stdWD[[#This Row],[Month]]</f>
        <v>Sea Freight - Customs CompilerWUH2025December</v>
      </c>
      <c r="H265" s="58" t="str">
        <f>INDEX(functionInfo[Daily Dashboard Set-up],MATCH(FTE_stdWD[[#This Row],[Service Description]],functionInfo[Service Description For Invoicing &amp; SLA],0))</f>
        <v>Yes</v>
      </c>
      <c r="I265" s="59" t="str">
        <f>INDEX(functionInfo[Monthly Dashboard],MATCH(FTE_stdWD[[#This Row],[Service Description]],functionInfo[Service Description For Invoicing &amp; SLA],0))</f>
        <v>Yes</v>
      </c>
    </row>
    <row r="266" spans="1:9" hidden="1" x14ac:dyDescent="0.25">
      <c r="A266" s="60" t="s">
        <v>292</v>
      </c>
      <c r="B266" s="58" t="s">
        <v>47</v>
      </c>
      <c r="C266" s="58">
        <v>2025</v>
      </c>
      <c r="D266" s="58" t="s">
        <v>14</v>
      </c>
      <c r="E266" s="62"/>
      <c r="F266" s="58" t="str">
        <f>INDEX(functionInfo[Service Lead],MATCH(FTE_stdWD[[#This Row],[Service Description]],functionInfo[Service Description For Invoicing &amp; SLA],0))</f>
        <v>Sasha Yan</v>
      </c>
      <c r="G266" s="58" t="str">
        <f>FTE_stdWD[[#This Row],[Service Description]]&amp;FTE_stdWD[[#This Row],[Country]]&amp;FTE_stdWD[[#This Row],[Year]]&amp;FTE_stdWD[[#This Row],[Month]]</f>
        <v>Sea Freight - Customs CompilerMNL2025January</v>
      </c>
      <c r="H266" s="58" t="str">
        <f>INDEX(functionInfo[Daily Dashboard Set-up],MATCH(FTE_stdWD[[#This Row],[Service Description]],functionInfo[Service Description For Invoicing &amp; SLA],0))</f>
        <v>Yes</v>
      </c>
      <c r="I266" s="59" t="str">
        <f>INDEX(functionInfo[Monthly Dashboard],MATCH(FTE_stdWD[[#This Row],[Service Description]],functionInfo[Service Description For Invoicing &amp; SLA],0))</f>
        <v>Yes</v>
      </c>
    </row>
    <row r="267" spans="1:9" hidden="1" x14ac:dyDescent="0.25">
      <c r="A267" s="60" t="s">
        <v>292</v>
      </c>
      <c r="B267" s="58" t="s">
        <v>47</v>
      </c>
      <c r="C267" s="58">
        <v>2025</v>
      </c>
      <c r="D267" s="58" t="s">
        <v>17</v>
      </c>
      <c r="E267" s="62"/>
      <c r="F267" s="58" t="str">
        <f>INDEX(functionInfo[Service Lead],MATCH(FTE_stdWD[[#This Row],[Service Description]],functionInfo[Service Description For Invoicing &amp; SLA],0))</f>
        <v>Sasha Yan</v>
      </c>
      <c r="G267" s="58" t="str">
        <f>FTE_stdWD[[#This Row],[Service Description]]&amp;FTE_stdWD[[#This Row],[Country]]&amp;FTE_stdWD[[#This Row],[Year]]&amp;FTE_stdWD[[#This Row],[Month]]</f>
        <v>Sea Freight - Customs CompilerMNL2025February</v>
      </c>
      <c r="H267" s="58" t="str">
        <f>INDEX(functionInfo[Daily Dashboard Set-up],MATCH(FTE_stdWD[[#This Row],[Service Description]],functionInfo[Service Description For Invoicing &amp; SLA],0))</f>
        <v>Yes</v>
      </c>
      <c r="I267" s="59" t="str">
        <f>INDEX(functionInfo[Monthly Dashboard],MATCH(FTE_stdWD[[#This Row],[Service Description]],functionInfo[Service Description For Invoicing &amp; SLA],0))</f>
        <v>Yes</v>
      </c>
    </row>
    <row r="268" spans="1:9" hidden="1" x14ac:dyDescent="0.25">
      <c r="A268" s="60" t="s">
        <v>292</v>
      </c>
      <c r="B268" s="58" t="s">
        <v>47</v>
      </c>
      <c r="C268" s="58">
        <v>2025</v>
      </c>
      <c r="D268" s="58" t="s">
        <v>18</v>
      </c>
      <c r="E268" s="62"/>
      <c r="F268" s="58" t="str">
        <f>INDEX(functionInfo[Service Lead],MATCH(FTE_stdWD[[#This Row],[Service Description]],functionInfo[Service Description For Invoicing &amp; SLA],0))</f>
        <v>Sasha Yan</v>
      </c>
      <c r="G268" s="58" t="str">
        <f>FTE_stdWD[[#This Row],[Service Description]]&amp;FTE_stdWD[[#This Row],[Country]]&amp;FTE_stdWD[[#This Row],[Year]]&amp;FTE_stdWD[[#This Row],[Month]]</f>
        <v>Sea Freight - Customs CompilerMNL2025March</v>
      </c>
      <c r="H268" s="58" t="str">
        <f>INDEX(functionInfo[Daily Dashboard Set-up],MATCH(FTE_stdWD[[#This Row],[Service Description]],functionInfo[Service Description For Invoicing &amp; SLA],0))</f>
        <v>Yes</v>
      </c>
      <c r="I268" s="59" t="str">
        <f>INDEX(functionInfo[Monthly Dashboard],MATCH(FTE_stdWD[[#This Row],[Service Description]],functionInfo[Service Description For Invoicing &amp; SLA],0))</f>
        <v>Yes</v>
      </c>
    </row>
    <row r="269" spans="1:9" hidden="1" x14ac:dyDescent="0.25">
      <c r="A269" s="60" t="s">
        <v>292</v>
      </c>
      <c r="B269" s="58" t="s">
        <v>47</v>
      </c>
      <c r="C269" s="58">
        <v>2025</v>
      </c>
      <c r="D269" s="58" t="s">
        <v>19</v>
      </c>
      <c r="E269" s="62"/>
      <c r="F269" s="58" t="str">
        <f>INDEX(functionInfo[Service Lead],MATCH(FTE_stdWD[[#This Row],[Service Description]],functionInfo[Service Description For Invoicing &amp; SLA],0))</f>
        <v>Sasha Yan</v>
      </c>
      <c r="G269" s="58" t="str">
        <f>FTE_stdWD[[#This Row],[Service Description]]&amp;FTE_stdWD[[#This Row],[Country]]&amp;FTE_stdWD[[#This Row],[Year]]&amp;FTE_stdWD[[#This Row],[Month]]</f>
        <v>Sea Freight - Customs CompilerMNL2025April</v>
      </c>
      <c r="H269" s="58" t="str">
        <f>INDEX(functionInfo[Daily Dashboard Set-up],MATCH(FTE_stdWD[[#This Row],[Service Description]],functionInfo[Service Description For Invoicing &amp; SLA],0))</f>
        <v>Yes</v>
      </c>
      <c r="I269" s="59" t="str">
        <f>INDEX(functionInfo[Monthly Dashboard],MATCH(FTE_stdWD[[#This Row],[Service Description]],functionInfo[Service Description For Invoicing &amp; SLA],0))</f>
        <v>Yes</v>
      </c>
    </row>
    <row r="270" spans="1:9" hidden="1" x14ac:dyDescent="0.25">
      <c r="A270" s="60" t="s">
        <v>292</v>
      </c>
      <c r="B270" s="58" t="s">
        <v>47</v>
      </c>
      <c r="C270" s="58">
        <v>2025</v>
      </c>
      <c r="D270" s="58" t="s">
        <v>20</v>
      </c>
      <c r="E270" s="62"/>
      <c r="F270" s="58" t="str">
        <f>INDEX(functionInfo[Service Lead],MATCH(FTE_stdWD[[#This Row],[Service Description]],functionInfo[Service Description For Invoicing &amp; SLA],0))</f>
        <v>Sasha Yan</v>
      </c>
      <c r="G270" s="58" t="str">
        <f>FTE_stdWD[[#This Row],[Service Description]]&amp;FTE_stdWD[[#This Row],[Country]]&amp;FTE_stdWD[[#This Row],[Year]]&amp;FTE_stdWD[[#This Row],[Month]]</f>
        <v>Sea Freight - Customs CompilerMNL2025May</v>
      </c>
      <c r="H270" s="58" t="str">
        <f>INDEX(functionInfo[Daily Dashboard Set-up],MATCH(FTE_stdWD[[#This Row],[Service Description]],functionInfo[Service Description For Invoicing &amp; SLA],0))</f>
        <v>Yes</v>
      </c>
      <c r="I270" s="59" t="str">
        <f>INDEX(functionInfo[Monthly Dashboard],MATCH(FTE_stdWD[[#This Row],[Service Description]],functionInfo[Service Description For Invoicing &amp; SLA],0))</f>
        <v>Yes</v>
      </c>
    </row>
    <row r="271" spans="1:9" hidden="1" x14ac:dyDescent="0.25">
      <c r="A271" s="60" t="s">
        <v>292</v>
      </c>
      <c r="B271" s="58" t="s">
        <v>47</v>
      </c>
      <c r="C271" s="58">
        <v>2025</v>
      </c>
      <c r="D271" s="58" t="s">
        <v>21</v>
      </c>
      <c r="E271" s="62"/>
      <c r="F271" s="58" t="str">
        <f>INDEX(functionInfo[Service Lead],MATCH(FTE_stdWD[[#This Row],[Service Description]],functionInfo[Service Description For Invoicing &amp; SLA],0))</f>
        <v>Sasha Yan</v>
      </c>
      <c r="G271" s="58" t="str">
        <f>FTE_stdWD[[#This Row],[Service Description]]&amp;FTE_stdWD[[#This Row],[Country]]&amp;FTE_stdWD[[#This Row],[Year]]&amp;FTE_stdWD[[#This Row],[Month]]</f>
        <v>Sea Freight - Customs CompilerMNL2025June</v>
      </c>
      <c r="H271" s="58" t="str">
        <f>INDEX(functionInfo[Daily Dashboard Set-up],MATCH(FTE_stdWD[[#This Row],[Service Description]],functionInfo[Service Description For Invoicing &amp; SLA],0))</f>
        <v>Yes</v>
      </c>
      <c r="I271" s="59" t="str">
        <f>INDEX(functionInfo[Monthly Dashboard],MATCH(FTE_stdWD[[#This Row],[Service Description]],functionInfo[Service Description For Invoicing &amp; SLA],0))</f>
        <v>Yes</v>
      </c>
    </row>
    <row r="272" spans="1:9" hidden="1" x14ac:dyDescent="0.25">
      <c r="A272" s="60" t="s">
        <v>292</v>
      </c>
      <c r="B272" s="58" t="s">
        <v>47</v>
      </c>
      <c r="C272" s="58">
        <v>2025</v>
      </c>
      <c r="D272" s="58" t="s">
        <v>22</v>
      </c>
      <c r="E272" s="62"/>
      <c r="F272" s="58" t="str">
        <f>INDEX(functionInfo[Service Lead],MATCH(FTE_stdWD[[#This Row],[Service Description]],functionInfo[Service Description For Invoicing &amp; SLA],0))</f>
        <v>Sasha Yan</v>
      </c>
      <c r="G272" s="58" t="str">
        <f>FTE_stdWD[[#This Row],[Service Description]]&amp;FTE_stdWD[[#This Row],[Country]]&amp;FTE_stdWD[[#This Row],[Year]]&amp;FTE_stdWD[[#This Row],[Month]]</f>
        <v>Sea Freight - Customs CompilerMNL2025July</v>
      </c>
      <c r="H272" s="58" t="str">
        <f>INDEX(functionInfo[Daily Dashboard Set-up],MATCH(FTE_stdWD[[#This Row],[Service Description]],functionInfo[Service Description For Invoicing &amp; SLA],0))</f>
        <v>Yes</v>
      </c>
      <c r="I272" s="59" t="str">
        <f>INDEX(functionInfo[Monthly Dashboard],MATCH(FTE_stdWD[[#This Row],[Service Description]],functionInfo[Service Description For Invoicing &amp; SLA],0))</f>
        <v>Yes</v>
      </c>
    </row>
    <row r="273" spans="1:9" hidden="1" x14ac:dyDescent="0.25">
      <c r="A273" s="60" t="s">
        <v>292</v>
      </c>
      <c r="B273" s="58" t="s">
        <v>47</v>
      </c>
      <c r="C273" s="58">
        <v>2025</v>
      </c>
      <c r="D273" s="58" t="s">
        <v>46</v>
      </c>
      <c r="E273" s="62"/>
      <c r="F273" s="58" t="str">
        <f>INDEX(functionInfo[Service Lead],MATCH(FTE_stdWD[[#This Row],[Service Description]],functionInfo[Service Description For Invoicing &amp; SLA],0))</f>
        <v>Sasha Yan</v>
      </c>
      <c r="G273" s="58" t="str">
        <f>FTE_stdWD[[#This Row],[Service Description]]&amp;FTE_stdWD[[#This Row],[Country]]&amp;FTE_stdWD[[#This Row],[Year]]&amp;FTE_stdWD[[#This Row],[Month]]</f>
        <v>Sea Freight - Customs CompilerMNL2025August</v>
      </c>
      <c r="H273" s="58" t="str">
        <f>INDEX(functionInfo[Daily Dashboard Set-up],MATCH(FTE_stdWD[[#This Row],[Service Description]],functionInfo[Service Description For Invoicing &amp; SLA],0))</f>
        <v>Yes</v>
      </c>
      <c r="I273" s="59" t="str">
        <f>INDEX(functionInfo[Monthly Dashboard],MATCH(FTE_stdWD[[#This Row],[Service Description]],functionInfo[Service Description For Invoicing &amp; SLA],0))</f>
        <v>Yes</v>
      </c>
    </row>
    <row r="274" spans="1:9" hidden="1" x14ac:dyDescent="0.25">
      <c r="A274" s="60" t="s">
        <v>292</v>
      </c>
      <c r="B274" s="58" t="s">
        <v>47</v>
      </c>
      <c r="C274" s="58">
        <v>2025</v>
      </c>
      <c r="D274" s="58" t="s">
        <v>33</v>
      </c>
      <c r="E274" s="62"/>
      <c r="F274" s="58" t="str">
        <f>INDEX(functionInfo[Service Lead],MATCH(FTE_stdWD[[#This Row],[Service Description]],functionInfo[Service Description For Invoicing &amp; SLA],0))</f>
        <v>Sasha Yan</v>
      </c>
      <c r="G274" s="58" t="str">
        <f>FTE_stdWD[[#This Row],[Service Description]]&amp;FTE_stdWD[[#This Row],[Country]]&amp;FTE_stdWD[[#This Row],[Year]]&amp;FTE_stdWD[[#This Row],[Month]]</f>
        <v>Sea Freight - Customs CompilerMNL2025September</v>
      </c>
      <c r="H274" s="58" t="str">
        <f>INDEX(functionInfo[Daily Dashboard Set-up],MATCH(FTE_stdWD[[#This Row],[Service Description]],functionInfo[Service Description For Invoicing &amp; SLA],0))</f>
        <v>Yes</v>
      </c>
      <c r="I274" s="59" t="str">
        <f>INDEX(functionInfo[Monthly Dashboard],MATCH(FTE_stdWD[[#This Row],[Service Description]],functionInfo[Service Description For Invoicing &amp; SLA],0))</f>
        <v>Yes</v>
      </c>
    </row>
    <row r="275" spans="1:9" hidden="1" x14ac:dyDescent="0.25">
      <c r="A275" s="60" t="s">
        <v>292</v>
      </c>
      <c r="B275" s="58" t="s">
        <v>47</v>
      </c>
      <c r="C275" s="58">
        <v>2025</v>
      </c>
      <c r="D275" s="58" t="s">
        <v>25</v>
      </c>
      <c r="E275" s="62"/>
      <c r="F275" s="58" t="str">
        <f>INDEX(functionInfo[Service Lead],MATCH(FTE_stdWD[[#This Row],[Service Description]],functionInfo[Service Description For Invoicing &amp; SLA],0))</f>
        <v>Sasha Yan</v>
      </c>
      <c r="G275" s="58" t="str">
        <f>FTE_stdWD[[#This Row],[Service Description]]&amp;FTE_stdWD[[#This Row],[Country]]&amp;FTE_stdWD[[#This Row],[Year]]&amp;FTE_stdWD[[#This Row],[Month]]</f>
        <v>Sea Freight - Customs CompilerMNL2025October</v>
      </c>
      <c r="H275" s="58" t="str">
        <f>INDEX(functionInfo[Daily Dashboard Set-up],MATCH(FTE_stdWD[[#This Row],[Service Description]],functionInfo[Service Description For Invoicing &amp; SLA],0))</f>
        <v>Yes</v>
      </c>
      <c r="I275" s="59" t="str">
        <f>INDEX(functionInfo[Monthly Dashboard],MATCH(FTE_stdWD[[#This Row],[Service Description]],functionInfo[Service Description For Invoicing &amp; SLA],0))</f>
        <v>Yes</v>
      </c>
    </row>
    <row r="276" spans="1:9" hidden="1" x14ac:dyDescent="0.25">
      <c r="A276" s="60" t="s">
        <v>292</v>
      </c>
      <c r="B276" s="58" t="s">
        <v>47</v>
      </c>
      <c r="C276" s="58">
        <v>2025</v>
      </c>
      <c r="D276" s="58" t="s">
        <v>26</v>
      </c>
      <c r="E276" s="62"/>
      <c r="F276" s="58" t="str">
        <f>INDEX(functionInfo[Service Lead],MATCH(FTE_stdWD[[#This Row],[Service Description]],functionInfo[Service Description For Invoicing &amp; SLA],0))</f>
        <v>Sasha Yan</v>
      </c>
      <c r="G276" s="58" t="str">
        <f>FTE_stdWD[[#This Row],[Service Description]]&amp;FTE_stdWD[[#This Row],[Country]]&amp;FTE_stdWD[[#This Row],[Year]]&amp;FTE_stdWD[[#This Row],[Month]]</f>
        <v>Sea Freight - Customs CompilerMNL2025November</v>
      </c>
      <c r="H276" s="58" t="str">
        <f>INDEX(functionInfo[Daily Dashboard Set-up],MATCH(FTE_stdWD[[#This Row],[Service Description]],functionInfo[Service Description For Invoicing &amp; SLA],0))</f>
        <v>Yes</v>
      </c>
      <c r="I276" s="59" t="str">
        <f>INDEX(functionInfo[Monthly Dashboard],MATCH(FTE_stdWD[[#This Row],[Service Description]],functionInfo[Service Description For Invoicing &amp; SLA],0))</f>
        <v>Yes</v>
      </c>
    </row>
    <row r="277" spans="1:9" hidden="1" x14ac:dyDescent="0.25">
      <c r="A277" s="60" t="s">
        <v>292</v>
      </c>
      <c r="B277" s="58" t="s">
        <v>47</v>
      </c>
      <c r="C277" s="58">
        <v>2025</v>
      </c>
      <c r="D277" s="58" t="s">
        <v>27</v>
      </c>
      <c r="E277" s="62"/>
      <c r="F277" s="58" t="str">
        <f>INDEX(functionInfo[Service Lead],MATCH(FTE_stdWD[[#This Row],[Service Description]],functionInfo[Service Description For Invoicing &amp; SLA],0))</f>
        <v>Sasha Yan</v>
      </c>
      <c r="G277" s="58" t="str">
        <f>FTE_stdWD[[#This Row],[Service Description]]&amp;FTE_stdWD[[#This Row],[Country]]&amp;FTE_stdWD[[#This Row],[Year]]&amp;FTE_stdWD[[#This Row],[Month]]</f>
        <v>Sea Freight - Customs CompilerMNL2025December</v>
      </c>
      <c r="H277" s="58" t="str">
        <f>INDEX(functionInfo[Daily Dashboard Set-up],MATCH(FTE_stdWD[[#This Row],[Service Description]],functionInfo[Service Description For Invoicing &amp; SLA],0))</f>
        <v>Yes</v>
      </c>
      <c r="I277" s="59" t="str">
        <f>INDEX(functionInfo[Monthly Dashboard],MATCH(FTE_stdWD[[#This Row],[Service Description]],functionInfo[Service Description For Invoicing &amp; SLA],0))</f>
        <v>Yes</v>
      </c>
    </row>
    <row r="278" spans="1:9" ht="30" hidden="1" x14ac:dyDescent="0.25">
      <c r="A278" s="60" t="s">
        <v>192</v>
      </c>
      <c r="B278" s="61" t="s">
        <v>45</v>
      </c>
      <c r="C278" s="61">
        <v>2025</v>
      </c>
      <c r="D278" s="61" t="s">
        <v>14</v>
      </c>
      <c r="E278" s="63"/>
      <c r="F278" s="61" t="str">
        <f>INDEX(functionInfo[Service Lead],MATCH(FTE_stdWD[[#This Row],[Service Description]],functionInfo[Service Description For Invoicing &amp; SLA],0))</f>
        <v>Coco Fan</v>
      </c>
      <c r="G278" s="61" t="str">
        <f>FTE_stdWD[[#This Row],[Service Description]]&amp;FTE_stdWD[[#This Row],[Country]]&amp;FTE_stdWD[[#This Row],[Year]]&amp;FTE_stdWD[[#This Row],[Month]]</f>
        <v>Sea Freight - Network Product PricingWUH2025January</v>
      </c>
      <c r="H278" s="61" t="str">
        <f>INDEX(functionInfo[Daily Dashboard Set-up],MATCH(FTE_stdWD[[#This Row],[Service Description]],functionInfo[Service Description For Invoicing &amp; SLA],0))</f>
        <v>Yes</v>
      </c>
      <c r="I278" s="64" t="str">
        <f>INDEX(functionInfo[Monthly Dashboard],MATCH(FTE_stdWD[[#This Row],[Service Description]],functionInfo[Service Description For Invoicing &amp; SLA],0))</f>
        <v>Yes</v>
      </c>
    </row>
    <row r="279" spans="1:9" ht="30" hidden="1" x14ac:dyDescent="0.25">
      <c r="A279" s="60" t="s">
        <v>192</v>
      </c>
      <c r="B279" s="58" t="s">
        <v>45</v>
      </c>
      <c r="C279" s="58">
        <v>2025</v>
      </c>
      <c r="D279" s="58" t="s">
        <v>17</v>
      </c>
      <c r="E279" s="62"/>
      <c r="F279" s="58" t="str">
        <f>INDEX(functionInfo[Service Lead],MATCH(FTE_stdWD[[#This Row],[Service Description]],functionInfo[Service Description For Invoicing &amp; SLA],0))</f>
        <v>Coco Fan</v>
      </c>
      <c r="G279" s="58" t="str">
        <f>FTE_stdWD[[#This Row],[Service Description]]&amp;FTE_stdWD[[#This Row],[Country]]&amp;FTE_stdWD[[#This Row],[Year]]&amp;FTE_stdWD[[#This Row],[Month]]</f>
        <v>Sea Freight - Network Product PricingWUH2025February</v>
      </c>
      <c r="H279" s="58" t="str">
        <f>INDEX(functionInfo[Daily Dashboard Set-up],MATCH(FTE_stdWD[[#This Row],[Service Description]],functionInfo[Service Description For Invoicing &amp; SLA],0))</f>
        <v>Yes</v>
      </c>
      <c r="I279" s="59" t="str">
        <f>INDEX(functionInfo[Monthly Dashboard],MATCH(FTE_stdWD[[#This Row],[Service Description]],functionInfo[Service Description For Invoicing &amp; SLA],0))</f>
        <v>Yes</v>
      </c>
    </row>
    <row r="280" spans="1:9" ht="30" hidden="1" x14ac:dyDescent="0.25">
      <c r="A280" s="60" t="s">
        <v>192</v>
      </c>
      <c r="B280" s="58" t="s">
        <v>45</v>
      </c>
      <c r="C280" s="58">
        <v>2025</v>
      </c>
      <c r="D280" s="58" t="s">
        <v>18</v>
      </c>
      <c r="E280" s="62"/>
      <c r="F280" s="58" t="str">
        <f>INDEX(functionInfo[Service Lead],MATCH(FTE_stdWD[[#This Row],[Service Description]],functionInfo[Service Description For Invoicing &amp; SLA],0))</f>
        <v>Coco Fan</v>
      </c>
      <c r="G280" s="58" t="str">
        <f>FTE_stdWD[[#This Row],[Service Description]]&amp;FTE_stdWD[[#This Row],[Country]]&amp;FTE_stdWD[[#This Row],[Year]]&amp;FTE_stdWD[[#This Row],[Month]]</f>
        <v>Sea Freight - Network Product PricingWUH2025March</v>
      </c>
      <c r="H280" s="58" t="str">
        <f>INDEX(functionInfo[Daily Dashboard Set-up],MATCH(FTE_stdWD[[#This Row],[Service Description]],functionInfo[Service Description For Invoicing &amp; SLA],0))</f>
        <v>Yes</v>
      </c>
      <c r="I280" s="59" t="str">
        <f>INDEX(functionInfo[Monthly Dashboard],MATCH(FTE_stdWD[[#This Row],[Service Description]],functionInfo[Service Description For Invoicing &amp; SLA],0))</f>
        <v>Yes</v>
      </c>
    </row>
    <row r="281" spans="1:9" ht="30" hidden="1" x14ac:dyDescent="0.25">
      <c r="A281" s="60" t="s">
        <v>192</v>
      </c>
      <c r="B281" s="58" t="s">
        <v>45</v>
      </c>
      <c r="C281" s="58">
        <v>2025</v>
      </c>
      <c r="D281" s="58" t="s">
        <v>19</v>
      </c>
      <c r="E281" s="62"/>
      <c r="F281" s="58" t="str">
        <f>INDEX(functionInfo[Service Lead],MATCH(FTE_stdWD[[#This Row],[Service Description]],functionInfo[Service Description For Invoicing &amp; SLA],0))</f>
        <v>Coco Fan</v>
      </c>
      <c r="G281" s="58" t="str">
        <f>FTE_stdWD[[#This Row],[Service Description]]&amp;FTE_stdWD[[#This Row],[Country]]&amp;FTE_stdWD[[#This Row],[Year]]&amp;FTE_stdWD[[#This Row],[Month]]</f>
        <v>Sea Freight - Network Product PricingWUH2025April</v>
      </c>
      <c r="H281" s="58" t="str">
        <f>INDEX(functionInfo[Daily Dashboard Set-up],MATCH(FTE_stdWD[[#This Row],[Service Description]],functionInfo[Service Description For Invoicing &amp; SLA],0))</f>
        <v>Yes</v>
      </c>
      <c r="I281" s="59" t="str">
        <f>INDEX(functionInfo[Monthly Dashboard],MATCH(FTE_stdWD[[#This Row],[Service Description]],functionInfo[Service Description For Invoicing &amp; SLA],0))</f>
        <v>Yes</v>
      </c>
    </row>
    <row r="282" spans="1:9" ht="30" hidden="1" x14ac:dyDescent="0.25">
      <c r="A282" s="60" t="s">
        <v>192</v>
      </c>
      <c r="B282" s="58" t="s">
        <v>45</v>
      </c>
      <c r="C282" s="58">
        <v>2025</v>
      </c>
      <c r="D282" s="58" t="s">
        <v>20</v>
      </c>
      <c r="E282" s="62"/>
      <c r="F282" s="58" t="str">
        <f>INDEX(functionInfo[Service Lead],MATCH(FTE_stdWD[[#This Row],[Service Description]],functionInfo[Service Description For Invoicing &amp; SLA],0))</f>
        <v>Coco Fan</v>
      </c>
      <c r="G282" s="58" t="str">
        <f>FTE_stdWD[[#This Row],[Service Description]]&amp;FTE_stdWD[[#This Row],[Country]]&amp;FTE_stdWD[[#This Row],[Year]]&amp;FTE_stdWD[[#This Row],[Month]]</f>
        <v>Sea Freight - Network Product PricingWUH2025May</v>
      </c>
      <c r="H282" s="58" t="str">
        <f>INDEX(functionInfo[Daily Dashboard Set-up],MATCH(FTE_stdWD[[#This Row],[Service Description]],functionInfo[Service Description For Invoicing &amp; SLA],0))</f>
        <v>Yes</v>
      </c>
      <c r="I282" s="59" t="str">
        <f>INDEX(functionInfo[Monthly Dashboard],MATCH(FTE_stdWD[[#This Row],[Service Description]],functionInfo[Service Description For Invoicing &amp; SLA],0))</f>
        <v>Yes</v>
      </c>
    </row>
    <row r="283" spans="1:9" ht="30" hidden="1" x14ac:dyDescent="0.25">
      <c r="A283" s="60" t="s">
        <v>192</v>
      </c>
      <c r="B283" s="58" t="s">
        <v>45</v>
      </c>
      <c r="C283" s="58">
        <v>2025</v>
      </c>
      <c r="D283" s="58" t="s">
        <v>21</v>
      </c>
      <c r="E283" s="62"/>
      <c r="F283" s="58" t="str">
        <f>INDEX(functionInfo[Service Lead],MATCH(FTE_stdWD[[#This Row],[Service Description]],functionInfo[Service Description For Invoicing &amp; SLA],0))</f>
        <v>Coco Fan</v>
      </c>
      <c r="G283" s="58" t="str">
        <f>FTE_stdWD[[#This Row],[Service Description]]&amp;FTE_stdWD[[#This Row],[Country]]&amp;FTE_stdWD[[#This Row],[Year]]&amp;FTE_stdWD[[#This Row],[Month]]</f>
        <v>Sea Freight - Network Product PricingWUH2025June</v>
      </c>
      <c r="H283" s="58" t="str">
        <f>INDEX(functionInfo[Daily Dashboard Set-up],MATCH(FTE_stdWD[[#This Row],[Service Description]],functionInfo[Service Description For Invoicing &amp; SLA],0))</f>
        <v>Yes</v>
      </c>
      <c r="I283" s="59" t="str">
        <f>INDEX(functionInfo[Monthly Dashboard],MATCH(FTE_stdWD[[#This Row],[Service Description]],functionInfo[Service Description For Invoicing &amp; SLA],0))</f>
        <v>Yes</v>
      </c>
    </row>
    <row r="284" spans="1:9" ht="30" hidden="1" x14ac:dyDescent="0.25">
      <c r="A284" s="60" t="s">
        <v>192</v>
      </c>
      <c r="B284" s="58" t="s">
        <v>45</v>
      </c>
      <c r="C284" s="58">
        <v>2025</v>
      </c>
      <c r="D284" s="58" t="s">
        <v>22</v>
      </c>
      <c r="E284" s="62"/>
      <c r="F284" s="58" t="str">
        <f>INDEX(functionInfo[Service Lead],MATCH(FTE_stdWD[[#This Row],[Service Description]],functionInfo[Service Description For Invoicing &amp; SLA],0))</f>
        <v>Coco Fan</v>
      </c>
      <c r="G284" s="58" t="str">
        <f>FTE_stdWD[[#This Row],[Service Description]]&amp;FTE_stdWD[[#This Row],[Country]]&amp;FTE_stdWD[[#This Row],[Year]]&amp;FTE_stdWD[[#This Row],[Month]]</f>
        <v>Sea Freight - Network Product PricingWUH2025July</v>
      </c>
      <c r="H284" s="58" t="str">
        <f>INDEX(functionInfo[Daily Dashboard Set-up],MATCH(FTE_stdWD[[#This Row],[Service Description]],functionInfo[Service Description For Invoicing &amp; SLA],0))</f>
        <v>Yes</v>
      </c>
      <c r="I284" s="59" t="str">
        <f>INDEX(functionInfo[Monthly Dashboard],MATCH(FTE_stdWD[[#This Row],[Service Description]],functionInfo[Service Description For Invoicing &amp; SLA],0))</f>
        <v>Yes</v>
      </c>
    </row>
    <row r="285" spans="1:9" ht="30" hidden="1" x14ac:dyDescent="0.25">
      <c r="A285" s="60" t="s">
        <v>192</v>
      </c>
      <c r="B285" s="58" t="s">
        <v>45</v>
      </c>
      <c r="C285" s="58">
        <v>2025</v>
      </c>
      <c r="D285" s="58" t="s">
        <v>46</v>
      </c>
      <c r="E285" s="62"/>
      <c r="F285" s="58" t="str">
        <f>INDEX(functionInfo[Service Lead],MATCH(FTE_stdWD[[#This Row],[Service Description]],functionInfo[Service Description For Invoicing &amp; SLA],0))</f>
        <v>Coco Fan</v>
      </c>
      <c r="G285" s="58" t="str">
        <f>FTE_stdWD[[#This Row],[Service Description]]&amp;FTE_stdWD[[#This Row],[Country]]&amp;FTE_stdWD[[#This Row],[Year]]&amp;FTE_stdWD[[#This Row],[Month]]</f>
        <v>Sea Freight - Network Product PricingWUH2025August</v>
      </c>
      <c r="H285" s="58" t="str">
        <f>INDEX(functionInfo[Daily Dashboard Set-up],MATCH(FTE_stdWD[[#This Row],[Service Description]],functionInfo[Service Description For Invoicing &amp; SLA],0))</f>
        <v>Yes</v>
      </c>
      <c r="I285" s="59" t="str">
        <f>INDEX(functionInfo[Monthly Dashboard],MATCH(FTE_stdWD[[#This Row],[Service Description]],functionInfo[Service Description For Invoicing &amp; SLA],0))</f>
        <v>Yes</v>
      </c>
    </row>
    <row r="286" spans="1:9" ht="30" hidden="1" x14ac:dyDescent="0.25">
      <c r="A286" s="60" t="s">
        <v>192</v>
      </c>
      <c r="B286" s="58" t="s">
        <v>45</v>
      </c>
      <c r="C286" s="58">
        <v>2025</v>
      </c>
      <c r="D286" s="58" t="s">
        <v>33</v>
      </c>
      <c r="E286" s="62"/>
      <c r="F286" s="58" t="str">
        <f>INDEX(functionInfo[Service Lead],MATCH(FTE_stdWD[[#This Row],[Service Description]],functionInfo[Service Description For Invoicing &amp; SLA],0))</f>
        <v>Coco Fan</v>
      </c>
      <c r="G286" s="58" t="str">
        <f>FTE_stdWD[[#This Row],[Service Description]]&amp;FTE_stdWD[[#This Row],[Country]]&amp;FTE_stdWD[[#This Row],[Year]]&amp;FTE_stdWD[[#This Row],[Month]]</f>
        <v>Sea Freight - Network Product PricingWUH2025September</v>
      </c>
      <c r="H286" s="58" t="str">
        <f>INDEX(functionInfo[Daily Dashboard Set-up],MATCH(FTE_stdWD[[#This Row],[Service Description]],functionInfo[Service Description For Invoicing &amp; SLA],0))</f>
        <v>Yes</v>
      </c>
      <c r="I286" s="59" t="str">
        <f>INDEX(functionInfo[Monthly Dashboard],MATCH(FTE_stdWD[[#This Row],[Service Description]],functionInfo[Service Description For Invoicing &amp; SLA],0))</f>
        <v>Yes</v>
      </c>
    </row>
    <row r="287" spans="1:9" ht="30" hidden="1" x14ac:dyDescent="0.25">
      <c r="A287" s="60" t="s">
        <v>192</v>
      </c>
      <c r="B287" s="58" t="s">
        <v>45</v>
      </c>
      <c r="C287" s="58">
        <v>2025</v>
      </c>
      <c r="D287" s="58" t="s">
        <v>25</v>
      </c>
      <c r="E287" s="62"/>
      <c r="F287" s="58" t="str">
        <f>INDEX(functionInfo[Service Lead],MATCH(FTE_stdWD[[#This Row],[Service Description]],functionInfo[Service Description For Invoicing &amp; SLA],0))</f>
        <v>Coco Fan</v>
      </c>
      <c r="G287" s="58" t="str">
        <f>FTE_stdWD[[#This Row],[Service Description]]&amp;FTE_stdWD[[#This Row],[Country]]&amp;FTE_stdWD[[#This Row],[Year]]&amp;FTE_stdWD[[#This Row],[Month]]</f>
        <v>Sea Freight - Network Product PricingWUH2025October</v>
      </c>
      <c r="H287" s="58" t="str">
        <f>INDEX(functionInfo[Daily Dashboard Set-up],MATCH(FTE_stdWD[[#This Row],[Service Description]],functionInfo[Service Description For Invoicing &amp; SLA],0))</f>
        <v>Yes</v>
      </c>
      <c r="I287" s="59" t="str">
        <f>INDEX(functionInfo[Monthly Dashboard],MATCH(FTE_stdWD[[#This Row],[Service Description]],functionInfo[Service Description For Invoicing &amp; SLA],0))</f>
        <v>Yes</v>
      </c>
    </row>
    <row r="288" spans="1:9" ht="30" hidden="1" x14ac:dyDescent="0.25">
      <c r="A288" s="60" t="s">
        <v>192</v>
      </c>
      <c r="B288" s="58" t="s">
        <v>45</v>
      </c>
      <c r="C288" s="58">
        <v>2025</v>
      </c>
      <c r="D288" s="58" t="s">
        <v>26</v>
      </c>
      <c r="E288" s="62"/>
      <c r="F288" s="58" t="str">
        <f>INDEX(functionInfo[Service Lead],MATCH(FTE_stdWD[[#This Row],[Service Description]],functionInfo[Service Description For Invoicing &amp; SLA],0))</f>
        <v>Coco Fan</v>
      </c>
      <c r="G288" s="58" t="str">
        <f>FTE_stdWD[[#This Row],[Service Description]]&amp;FTE_stdWD[[#This Row],[Country]]&amp;FTE_stdWD[[#This Row],[Year]]&amp;FTE_stdWD[[#This Row],[Month]]</f>
        <v>Sea Freight - Network Product PricingWUH2025November</v>
      </c>
      <c r="H288" s="58" t="str">
        <f>INDEX(functionInfo[Daily Dashboard Set-up],MATCH(FTE_stdWD[[#This Row],[Service Description]],functionInfo[Service Description For Invoicing &amp; SLA],0))</f>
        <v>Yes</v>
      </c>
      <c r="I288" s="59" t="str">
        <f>INDEX(functionInfo[Monthly Dashboard],MATCH(FTE_stdWD[[#This Row],[Service Description]],functionInfo[Service Description For Invoicing &amp; SLA],0))</f>
        <v>Yes</v>
      </c>
    </row>
    <row r="289" spans="1:9" ht="30" hidden="1" x14ac:dyDescent="0.25">
      <c r="A289" s="60" t="s">
        <v>192</v>
      </c>
      <c r="B289" s="58" t="s">
        <v>45</v>
      </c>
      <c r="C289" s="58">
        <v>2025</v>
      </c>
      <c r="D289" s="58" t="s">
        <v>27</v>
      </c>
      <c r="E289" s="62"/>
      <c r="F289" s="58" t="str">
        <f>INDEX(functionInfo[Service Lead],MATCH(FTE_stdWD[[#This Row],[Service Description]],functionInfo[Service Description For Invoicing &amp; SLA],0))</f>
        <v>Coco Fan</v>
      </c>
      <c r="G289" s="58" t="str">
        <f>FTE_stdWD[[#This Row],[Service Description]]&amp;FTE_stdWD[[#This Row],[Country]]&amp;FTE_stdWD[[#This Row],[Year]]&amp;FTE_stdWD[[#This Row],[Month]]</f>
        <v>Sea Freight - Network Product PricingWUH2025December</v>
      </c>
      <c r="H289" s="58" t="str">
        <f>INDEX(functionInfo[Daily Dashboard Set-up],MATCH(FTE_stdWD[[#This Row],[Service Description]],functionInfo[Service Description For Invoicing &amp; SLA],0))</f>
        <v>Yes</v>
      </c>
      <c r="I289" s="59" t="str">
        <f>INDEX(functionInfo[Monthly Dashboard],MATCH(FTE_stdWD[[#This Row],[Service Description]],functionInfo[Service Description For Invoicing &amp; SLA],0))</f>
        <v>Yes</v>
      </c>
    </row>
    <row r="290" spans="1:9" ht="30" hidden="1" x14ac:dyDescent="0.25">
      <c r="A290" s="60" t="s">
        <v>192</v>
      </c>
      <c r="B290" s="58" t="s">
        <v>47</v>
      </c>
      <c r="C290" s="58">
        <v>2025</v>
      </c>
      <c r="D290" s="58" t="s">
        <v>14</v>
      </c>
      <c r="E290" s="62"/>
      <c r="F290" s="58" t="str">
        <f>INDEX(functionInfo[Service Lead],MATCH(FTE_stdWD[[#This Row],[Service Description]],functionInfo[Service Description For Invoicing &amp; SLA],0))</f>
        <v>Coco Fan</v>
      </c>
      <c r="G290" s="58" t="str">
        <f>FTE_stdWD[[#This Row],[Service Description]]&amp;FTE_stdWD[[#This Row],[Country]]&amp;FTE_stdWD[[#This Row],[Year]]&amp;FTE_stdWD[[#This Row],[Month]]</f>
        <v>Sea Freight - Network Product PricingMNL2025January</v>
      </c>
      <c r="H290" s="58" t="str">
        <f>INDEX(functionInfo[Daily Dashboard Set-up],MATCH(FTE_stdWD[[#This Row],[Service Description]],functionInfo[Service Description For Invoicing &amp; SLA],0))</f>
        <v>Yes</v>
      </c>
      <c r="I290" s="59" t="str">
        <f>INDEX(functionInfo[Monthly Dashboard],MATCH(FTE_stdWD[[#This Row],[Service Description]],functionInfo[Service Description For Invoicing &amp; SLA],0))</f>
        <v>Yes</v>
      </c>
    </row>
    <row r="291" spans="1:9" ht="30" hidden="1" x14ac:dyDescent="0.25">
      <c r="A291" s="60" t="s">
        <v>192</v>
      </c>
      <c r="B291" s="58" t="s">
        <v>47</v>
      </c>
      <c r="C291" s="58">
        <v>2025</v>
      </c>
      <c r="D291" s="58" t="s">
        <v>17</v>
      </c>
      <c r="E291" s="62"/>
      <c r="F291" s="58" t="str">
        <f>INDEX(functionInfo[Service Lead],MATCH(FTE_stdWD[[#This Row],[Service Description]],functionInfo[Service Description For Invoicing &amp; SLA],0))</f>
        <v>Coco Fan</v>
      </c>
      <c r="G291" s="58" t="str">
        <f>FTE_stdWD[[#This Row],[Service Description]]&amp;FTE_stdWD[[#This Row],[Country]]&amp;FTE_stdWD[[#This Row],[Year]]&amp;FTE_stdWD[[#This Row],[Month]]</f>
        <v>Sea Freight - Network Product PricingMNL2025February</v>
      </c>
      <c r="H291" s="58" t="str">
        <f>INDEX(functionInfo[Daily Dashboard Set-up],MATCH(FTE_stdWD[[#This Row],[Service Description]],functionInfo[Service Description For Invoicing &amp; SLA],0))</f>
        <v>Yes</v>
      </c>
      <c r="I291" s="59" t="str">
        <f>INDEX(functionInfo[Monthly Dashboard],MATCH(FTE_stdWD[[#This Row],[Service Description]],functionInfo[Service Description For Invoicing &amp; SLA],0))</f>
        <v>Yes</v>
      </c>
    </row>
    <row r="292" spans="1:9" ht="30" hidden="1" x14ac:dyDescent="0.25">
      <c r="A292" s="60" t="s">
        <v>192</v>
      </c>
      <c r="B292" s="58" t="s">
        <v>47</v>
      </c>
      <c r="C292" s="58">
        <v>2025</v>
      </c>
      <c r="D292" s="58" t="s">
        <v>18</v>
      </c>
      <c r="E292" s="62"/>
      <c r="F292" s="58" t="str">
        <f>INDEX(functionInfo[Service Lead],MATCH(FTE_stdWD[[#This Row],[Service Description]],functionInfo[Service Description For Invoicing &amp; SLA],0))</f>
        <v>Coco Fan</v>
      </c>
      <c r="G292" s="58" t="str">
        <f>FTE_stdWD[[#This Row],[Service Description]]&amp;FTE_stdWD[[#This Row],[Country]]&amp;FTE_stdWD[[#This Row],[Year]]&amp;FTE_stdWD[[#This Row],[Month]]</f>
        <v>Sea Freight - Network Product PricingMNL2025March</v>
      </c>
      <c r="H292" s="58" t="str">
        <f>INDEX(functionInfo[Daily Dashboard Set-up],MATCH(FTE_stdWD[[#This Row],[Service Description]],functionInfo[Service Description For Invoicing &amp; SLA],0))</f>
        <v>Yes</v>
      </c>
      <c r="I292" s="59" t="str">
        <f>INDEX(functionInfo[Monthly Dashboard],MATCH(FTE_stdWD[[#This Row],[Service Description]],functionInfo[Service Description For Invoicing &amp; SLA],0))</f>
        <v>Yes</v>
      </c>
    </row>
    <row r="293" spans="1:9" ht="30" hidden="1" x14ac:dyDescent="0.25">
      <c r="A293" s="60" t="s">
        <v>192</v>
      </c>
      <c r="B293" s="58" t="s">
        <v>47</v>
      </c>
      <c r="C293" s="58">
        <v>2025</v>
      </c>
      <c r="D293" s="58" t="s">
        <v>19</v>
      </c>
      <c r="E293" s="62"/>
      <c r="F293" s="58" t="str">
        <f>INDEX(functionInfo[Service Lead],MATCH(FTE_stdWD[[#This Row],[Service Description]],functionInfo[Service Description For Invoicing &amp; SLA],0))</f>
        <v>Coco Fan</v>
      </c>
      <c r="G293" s="58" t="str">
        <f>FTE_stdWD[[#This Row],[Service Description]]&amp;FTE_stdWD[[#This Row],[Country]]&amp;FTE_stdWD[[#This Row],[Year]]&amp;FTE_stdWD[[#This Row],[Month]]</f>
        <v>Sea Freight - Network Product PricingMNL2025April</v>
      </c>
      <c r="H293" s="58" t="str">
        <f>INDEX(functionInfo[Daily Dashboard Set-up],MATCH(FTE_stdWD[[#This Row],[Service Description]],functionInfo[Service Description For Invoicing &amp; SLA],0))</f>
        <v>Yes</v>
      </c>
      <c r="I293" s="59" t="str">
        <f>INDEX(functionInfo[Monthly Dashboard],MATCH(FTE_stdWD[[#This Row],[Service Description]],functionInfo[Service Description For Invoicing &amp; SLA],0))</f>
        <v>Yes</v>
      </c>
    </row>
    <row r="294" spans="1:9" ht="30" hidden="1" x14ac:dyDescent="0.25">
      <c r="A294" s="60" t="s">
        <v>192</v>
      </c>
      <c r="B294" s="58" t="s">
        <v>47</v>
      </c>
      <c r="C294" s="58">
        <v>2025</v>
      </c>
      <c r="D294" s="58" t="s">
        <v>20</v>
      </c>
      <c r="E294" s="62"/>
      <c r="F294" s="58" t="str">
        <f>INDEX(functionInfo[Service Lead],MATCH(FTE_stdWD[[#This Row],[Service Description]],functionInfo[Service Description For Invoicing &amp; SLA],0))</f>
        <v>Coco Fan</v>
      </c>
      <c r="G294" s="58" t="str">
        <f>FTE_stdWD[[#This Row],[Service Description]]&amp;FTE_stdWD[[#This Row],[Country]]&amp;FTE_stdWD[[#This Row],[Year]]&amp;FTE_stdWD[[#This Row],[Month]]</f>
        <v>Sea Freight - Network Product PricingMNL2025May</v>
      </c>
      <c r="H294" s="58" t="str">
        <f>INDEX(functionInfo[Daily Dashboard Set-up],MATCH(FTE_stdWD[[#This Row],[Service Description]],functionInfo[Service Description For Invoicing &amp; SLA],0))</f>
        <v>Yes</v>
      </c>
      <c r="I294" s="59" t="str">
        <f>INDEX(functionInfo[Monthly Dashboard],MATCH(FTE_stdWD[[#This Row],[Service Description]],functionInfo[Service Description For Invoicing &amp; SLA],0))</f>
        <v>Yes</v>
      </c>
    </row>
    <row r="295" spans="1:9" ht="30" hidden="1" x14ac:dyDescent="0.25">
      <c r="A295" s="60" t="s">
        <v>192</v>
      </c>
      <c r="B295" s="58" t="s">
        <v>47</v>
      </c>
      <c r="C295" s="58">
        <v>2025</v>
      </c>
      <c r="D295" s="58" t="s">
        <v>21</v>
      </c>
      <c r="E295" s="62"/>
      <c r="F295" s="58" t="str">
        <f>INDEX(functionInfo[Service Lead],MATCH(FTE_stdWD[[#This Row],[Service Description]],functionInfo[Service Description For Invoicing &amp; SLA],0))</f>
        <v>Coco Fan</v>
      </c>
      <c r="G295" s="58" t="str">
        <f>FTE_stdWD[[#This Row],[Service Description]]&amp;FTE_stdWD[[#This Row],[Country]]&amp;FTE_stdWD[[#This Row],[Year]]&amp;FTE_stdWD[[#This Row],[Month]]</f>
        <v>Sea Freight - Network Product PricingMNL2025June</v>
      </c>
      <c r="H295" s="58" t="str">
        <f>INDEX(functionInfo[Daily Dashboard Set-up],MATCH(FTE_stdWD[[#This Row],[Service Description]],functionInfo[Service Description For Invoicing &amp; SLA],0))</f>
        <v>Yes</v>
      </c>
      <c r="I295" s="59" t="str">
        <f>INDEX(functionInfo[Monthly Dashboard],MATCH(FTE_stdWD[[#This Row],[Service Description]],functionInfo[Service Description For Invoicing &amp; SLA],0))</f>
        <v>Yes</v>
      </c>
    </row>
    <row r="296" spans="1:9" ht="30" hidden="1" x14ac:dyDescent="0.25">
      <c r="A296" s="60" t="s">
        <v>192</v>
      </c>
      <c r="B296" s="58" t="s">
        <v>47</v>
      </c>
      <c r="C296" s="58">
        <v>2025</v>
      </c>
      <c r="D296" s="58" t="s">
        <v>22</v>
      </c>
      <c r="E296" s="62"/>
      <c r="F296" s="58" t="str">
        <f>INDEX(functionInfo[Service Lead],MATCH(FTE_stdWD[[#This Row],[Service Description]],functionInfo[Service Description For Invoicing &amp; SLA],0))</f>
        <v>Coco Fan</v>
      </c>
      <c r="G296" s="58" t="str">
        <f>FTE_stdWD[[#This Row],[Service Description]]&amp;FTE_stdWD[[#This Row],[Country]]&amp;FTE_stdWD[[#This Row],[Year]]&amp;FTE_stdWD[[#This Row],[Month]]</f>
        <v>Sea Freight - Network Product PricingMNL2025July</v>
      </c>
      <c r="H296" s="58" t="str">
        <f>INDEX(functionInfo[Daily Dashboard Set-up],MATCH(FTE_stdWD[[#This Row],[Service Description]],functionInfo[Service Description For Invoicing &amp; SLA],0))</f>
        <v>Yes</v>
      </c>
      <c r="I296" s="59" t="str">
        <f>INDEX(functionInfo[Monthly Dashboard],MATCH(FTE_stdWD[[#This Row],[Service Description]],functionInfo[Service Description For Invoicing &amp; SLA],0))</f>
        <v>Yes</v>
      </c>
    </row>
    <row r="297" spans="1:9" ht="30" hidden="1" x14ac:dyDescent="0.25">
      <c r="A297" s="60" t="s">
        <v>192</v>
      </c>
      <c r="B297" s="58" t="s">
        <v>47</v>
      </c>
      <c r="C297" s="58">
        <v>2025</v>
      </c>
      <c r="D297" s="58" t="s">
        <v>46</v>
      </c>
      <c r="E297" s="62"/>
      <c r="F297" s="58" t="str">
        <f>INDEX(functionInfo[Service Lead],MATCH(FTE_stdWD[[#This Row],[Service Description]],functionInfo[Service Description For Invoicing &amp; SLA],0))</f>
        <v>Coco Fan</v>
      </c>
      <c r="G297" s="58" t="str">
        <f>FTE_stdWD[[#This Row],[Service Description]]&amp;FTE_stdWD[[#This Row],[Country]]&amp;FTE_stdWD[[#This Row],[Year]]&amp;FTE_stdWD[[#This Row],[Month]]</f>
        <v>Sea Freight - Network Product PricingMNL2025August</v>
      </c>
      <c r="H297" s="58" t="str">
        <f>INDEX(functionInfo[Daily Dashboard Set-up],MATCH(FTE_stdWD[[#This Row],[Service Description]],functionInfo[Service Description For Invoicing &amp; SLA],0))</f>
        <v>Yes</v>
      </c>
      <c r="I297" s="59" t="str">
        <f>INDEX(functionInfo[Monthly Dashboard],MATCH(FTE_stdWD[[#This Row],[Service Description]],functionInfo[Service Description For Invoicing &amp; SLA],0))</f>
        <v>Yes</v>
      </c>
    </row>
    <row r="298" spans="1:9" ht="30" hidden="1" x14ac:dyDescent="0.25">
      <c r="A298" s="60" t="s">
        <v>192</v>
      </c>
      <c r="B298" s="58" t="s">
        <v>47</v>
      </c>
      <c r="C298" s="58">
        <v>2025</v>
      </c>
      <c r="D298" s="58" t="s">
        <v>33</v>
      </c>
      <c r="E298" s="62"/>
      <c r="F298" s="58" t="str">
        <f>INDEX(functionInfo[Service Lead],MATCH(FTE_stdWD[[#This Row],[Service Description]],functionInfo[Service Description For Invoicing &amp; SLA],0))</f>
        <v>Coco Fan</v>
      </c>
      <c r="G298" s="58" t="str">
        <f>FTE_stdWD[[#This Row],[Service Description]]&amp;FTE_stdWD[[#This Row],[Country]]&amp;FTE_stdWD[[#This Row],[Year]]&amp;FTE_stdWD[[#This Row],[Month]]</f>
        <v>Sea Freight - Network Product PricingMNL2025September</v>
      </c>
      <c r="H298" s="58" t="str">
        <f>INDEX(functionInfo[Daily Dashboard Set-up],MATCH(FTE_stdWD[[#This Row],[Service Description]],functionInfo[Service Description For Invoicing &amp; SLA],0))</f>
        <v>Yes</v>
      </c>
      <c r="I298" s="59" t="str">
        <f>INDEX(functionInfo[Monthly Dashboard],MATCH(FTE_stdWD[[#This Row],[Service Description]],functionInfo[Service Description For Invoicing &amp; SLA],0))</f>
        <v>Yes</v>
      </c>
    </row>
    <row r="299" spans="1:9" ht="30" hidden="1" x14ac:dyDescent="0.25">
      <c r="A299" s="60" t="s">
        <v>192</v>
      </c>
      <c r="B299" s="58" t="s">
        <v>47</v>
      </c>
      <c r="C299" s="58">
        <v>2025</v>
      </c>
      <c r="D299" s="58" t="s">
        <v>25</v>
      </c>
      <c r="E299" s="62"/>
      <c r="F299" s="58" t="str">
        <f>INDEX(functionInfo[Service Lead],MATCH(FTE_stdWD[[#This Row],[Service Description]],functionInfo[Service Description For Invoicing &amp; SLA],0))</f>
        <v>Coco Fan</v>
      </c>
      <c r="G299" s="58" t="str">
        <f>FTE_stdWD[[#This Row],[Service Description]]&amp;FTE_stdWD[[#This Row],[Country]]&amp;FTE_stdWD[[#This Row],[Year]]&amp;FTE_stdWD[[#This Row],[Month]]</f>
        <v>Sea Freight - Network Product PricingMNL2025October</v>
      </c>
      <c r="H299" s="58" t="str">
        <f>INDEX(functionInfo[Daily Dashboard Set-up],MATCH(FTE_stdWD[[#This Row],[Service Description]],functionInfo[Service Description For Invoicing &amp; SLA],0))</f>
        <v>Yes</v>
      </c>
      <c r="I299" s="59" t="str">
        <f>INDEX(functionInfo[Monthly Dashboard],MATCH(FTE_stdWD[[#This Row],[Service Description]],functionInfo[Service Description For Invoicing &amp; SLA],0))</f>
        <v>Yes</v>
      </c>
    </row>
    <row r="300" spans="1:9" ht="30" hidden="1" x14ac:dyDescent="0.25">
      <c r="A300" s="60" t="s">
        <v>192</v>
      </c>
      <c r="B300" s="58" t="s">
        <v>47</v>
      </c>
      <c r="C300" s="58">
        <v>2025</v>
      </c>
      <c r="D300" s="58" t="s">
        <v>26</v>
      </c>
      <c r="E300" s="62"/>
      <c r="F300" s="58" t="str">
        <f>INDEX(functionInfo[Service Lead],MATCH(FTE_stdWD[[#This Row],[Service Description]],functionInfo[Service Description For Invoicing &amp; SLA],0))</f>
        <v>Coco Fan</v>
      </c>
      <c r="G300" s="58" t="str">
        <f>FTE_stdWD[[#This Row],[Service Description]]&amp;FTE_stdWD[[#This Row],[Country]]&amp;FTE_stdWD[[#This Row],[Year]]&amp;FTE_stdWD[[#This Row],[Month]]</f>
        <v>Sea Freight - Network Product PricingMNL2025November</v>
      </c>
      <c r="H300" s="58" t="str">
        <f>INDEX(functionInfo[Daily Dashboard Set-up],MATCH(FTE_stdWD[[#This Row],[Service Description]],functionInfo[Service Description For Invoicing &amp; SLA],0))</f>
        <v>Yes</v>
      </c>
      <c r="I300" s="59" t="str">
        <f>INDEX(functionInfo[Monthly Dashboard],MATCH(FTE_stdWD[[#This Row],[Service Description]],functionInfo[Service Description For Invoicing &amp; SLA],0))</f>
        <v>Yes</v>
      </c>
    </row>
    <row r="301" spans="1:9" ht="30" hidden="1" x14ac:dyDescent="0.25">
      <c r="A301" s="60" t="s">
        <v>192</v>
      </c>
      <c r="B301" s="58" t="s">
        <v>47</v>
      </c>
      <c r="C301" s="58">
        <v>2025</v>
      </c>
      <c r="D301" s="58" t="s">
        <v>27</v>
      </c>
      <c r="E301" s="62"/>
      <c r="F301" s="58" t="str">
        <f>INDEX(functionInfo[Service Lead],MATCH(FTE_stdWD[[#This Row],[Service Description]],functionInfo[Service Description For Invoicing &amp; SLA],0))</f>
        <v>Coco Fan</v>
      </c>
      <c r="G301" s="58" t="str">
        <f>FTE_stdWD[[#This Row],[Service Description]]&amp;FTE_stdWD[[#This Row],[Country]]&amp;FTE_stdWD[[#This Row],[Year]]&amp;FTE_stdWD[[#This Row],[Month]]</f>
        <v>Sea Freight - Network Product PricingMNL2025December</v>
      </c>
      <c r="H301" s="58" t="str">
        <f>INDEX(functionInfo[Daily Dashboard Set-up],MATCH(FTE_stdWD[[#This Row],[Service Description]],functionInfo[Service Description For Invoicing &amp; SLA],0))</f>
        <v>Yes</v>
      </c>
      <c r="I301" s="59" t="str">
        <f>INDEX(functionInfo[Monthly Dashboard],MATCH(FTE_stdWD[[#This Row],[Service Description]],functionInfo[Service Description For Invoicing &amp; SLA],0))</f>
        <v>Yes</v>
      </c>
    </row>
    <row r="302" spans="1:9" hidden="1" x14ac:dyDescent="0.25">
      <c r="A302" s="60" t="s">
        <v>300</v>
      </c>
      <c r="B302" s="159" t="s">
        <v>45</v>
      </c>
      <c r="C302" s="160">
        <v>2025</v>
      </c>
      <c r="D302" s="160" t="s">
        <v>14</v>
      </c>
      <c r="E302" s="63"/>
      <c r="F302" s="61" t="str">
        <f>INDEX(functionInfo[Service Lead],MATCH(FTE_stdWD[[#This Row],[Service Description]],functionInfo[Service Description For Invoicing &amp; SLA],0))</f>
        <v>Sasha Yan</v>
      </c>
      <c r="G302" s="61" t="str">
        <f>FTE_stdWD[[#This Row],[Service Description]]&amp;FTE_stdWD[[#This Row],[Country]]&amp;FTE_stdWD[[#This Row],[Year]]&amp;FTE_stdWD[[#This Row],[Month]]</f>
        <v>Sea Freight - Operation - AustraliaWUH2025January</v>
      </c>
      <c r="H302" s="61">
        <f>INDEX(functionInfo[Daily Dashboard Set-up],MATCH(FTE_stdWD[[#This Row],[Service Description]],functionInfo[Service Description For Invoicing &amp; SLA],0))</f>
        <v>0</v>
      </c>
      <c r="I302" s="64" t="str">
        <f>INDEX(functionInfo[Monthly Dashboard],MATCH(FTE_stdWD[[#This Row],[Service Description]],functionInfo[Service Description For Invoicing &amp; SLA],0))</f>
        <v>Yes</v>
      </c>
    </row>
    <row r="303" spans="1:9" hidden="1" x14ac:dyDescent="0.25">
      <c r="A303" s="60" t="s">
        <v>300</v>
      </c>
      <c r="B303" s="58" t="s">
        <v>45</v>
      </c>
      <c r="C303" s="58">
        <v>2025</v>
      </c>
      <c r="D303" s="58" t="s">
        <v>17</v>
      </c>
      <c r="E303" s="62"/>
      <c r="F303" s="58" t="str">
        <f>INDEX(functionInfo[Service Lead],MATCH(FTE_stdWD[[#This Row],[Service Description]],functionInfo[Service Description For Invoicing &amp; SLA],0))</f>
        <v>Sasha Yan</v>
      </c>
      <c r="G303" s="58" t="str">
        <f>FTE_stdWD[[#This Row],[Service Description]]&amp;FTE_stdWD[[#This Row],[Country]]&amp;FTE_stdWD[[#This Row],[Year]]&amp;FTE_stdWD[[#This Row],[Month]]</f>
        <v>Sea Freight - Operation - AustraliaWUH2025February</v>
      </c>
      <c r="H303" s="58">
        <f>INDEX(functionInfo[Daily Dashboard Set-up],MATCH(FTE_stdWD[[#This Row],[Service Description]],functionInfo[Service Description For Invoicing &amp; SLA],0))</f>
        <v>0</v>
      </c>
      <c r="I303" s="59" t="str">
        <f>INDEX(functionInfo[Monthly Dashboard],MATCH(FTE_stdWD[[#This Row],[Service Description]],functionInfo[Service Description For Invoicing &amp; SLA],0))</f>
        <v>Yes</v>
      </c>
    </row>
    <row r="304" spans="1:9" hidden="1" x14ac:dyDescent="0.25">
      <c r="A304" s="60" t="s">
        <v>300</v>
      </c>
      <c r="B304" s="58" t="s">
        <v>45</v>
      </c>
      <c r="C304" s="58">
        <v>2025</v>
      </c>
      <c r="D304" s="58" t="s">
        <v>18</v>
      </c>
      <c r="E304" s="62"/>
      <c r="F304" s="58" t="str">
        <f>INDEX(functionInfo[Service Lead],MATCH(FTE_stdWD[[#This Row],[Service Description]],functionInfo[Service Description For Invoicing &amp; SLA],0))</f>
        <v>Sasha Yan</v>
      </c>
      <c r="G304" s="58" t="str">
        <f>FTE_stdWD[[#This Row],[Service Description]]&amp;FTE_stdWD[[#This Row],[Country]]&amp;FTE_stdWD[[#This Row],[Year]]&amp;FTE_stdWD[[#This Row],[Month]]</f>
        <v>Sea Freight - Operation - AustraliaWUH2025March</v>
      </c>
      <c r="H304" s="58">
        <f>INDEX(functionInfo[Daily Dashboard Set-up],MATCH(FTE_stdWD[[#This Row],[Service Description]],functionInfo[Service Description For Invoicing &amp; SLA],0))</f>
        <v>0</v>
      </c>
      <c r="I304" s="59" t="str">
        <f>INDEX(functionInfo[Monthly Dashboard],MATCH(FTE_stdWD[[#This Row],[Service Description]],functionInfo[Service Description For Invoicing &amp; SLA],0))</f>
        <v>Yes</v>
      </c>
    </row>
    <row r="305" spans="1:9" hidden="1" x14ac:dyDescent="0.25">
      <c r="A305" s="60" t="s">
        <v>300</v>
      </c>
      <c r="B305" s="58" t="s">
        <v>45</v>
      </c>
      <c r="C305" s="58">
        <v>2025</v>
      </c>
      <c r="D305" s="58" t="s">
        <v>19</v>
      </c>
      <c r="E305" s="62"/>
      <c r="F305" s="58" t="str">
        <f>INDEX(functionInfo[Service Lead],MATCH(FTE_stdWD[[#This Row],[Service Description]],functionInfo[Service Description For Invoicing &amp; SLA],0))</f>
        <v>Sasha Yan</v>
      </c>
      <c r="G305" s="58" t="str">
        <f>FTE_stdWD[[#This Row],[Service Description]]&amp;FTE_stdWD[[#This Row],[Country]]&amp;FTE_stdWD[[#This Row],[Year]]&amp;FTE_stdWD[[#This Row],[Month]]</f>
        <v>Sea Freight - Operation - AustraliaWUH2025April</v>
      </c>
      <c r="H305" s="58">
        <f>INDEX(functionInfo[Daily Dashboard Set-up],MATCH(FTE_stdWD[[#This Row],[Service Description]],functionInfo[Service Description For Invoicing &amp; SLA],0))</f>
        <v>0</v>
      </c>
      <c r="I305" s="59" t="str">
        <f>INDEX(functionInfo[Monthly Dashboard],MATCH(FTE_stdWD[[#This Row],[Service Description]],functionInfo[Service Description For Invoicing &amp; SLA],0))</f>
        <v>Yes</v>
      </c>
    </row>
    <row r="306" spans="1:9" hidden="1" x14ac:dyDescent="0.25">
      <c r="A306" s="60" t="s">
        <v>300</v>
      </c>
      <c r="B306" s="58" t="s">
        <v>45</v>
      </c>
      <c r="C306" s="58">
        <v>2025</v>
      </c>
      <c r="D306" s="58" t="s">
        <v>20</v>
      </c>
      <c r="E306" s="62"/>
      <c r="F306" s="58" t="str">
        <f>INDEX(functionInfo[Service Lead],MATCH(FTE_stdWD[[#This Row],[Service Description]],functionInfo[Service Description For Invoicing &amp; SLA],0))</f>
        <v>Sasha Yan</v>
      </c>
      <c r="G306" s="58" t="str">
        <f>FTE_stdWD[[#This Row],[Service Description]]&amp;FTE_stdWD[[#This Row],[Country]]&amp;FTE_stdWD[[#This Row],[Year]]&amp;FTE_stdWD[[#This Row],[Month]]</f>
        <v>Sea Freight - Operation - AustraliaWUH2025May</v>
      </c>
      <c r="H306" s="58">
        <f>INDEX(functionInfo[Daily Dashboard Set-up],MATCH(FTE_stdWD[[#This Row],[Service Description]],functionInfo[Service Description For Invoicing &amp; SLA],0))</f>
        <v>0</v>
      </c>
      <c r="I306" s="59" t="str">
        <f>INDEX(functionInfo[Monthly Dashboard],MATCH(FTE_stdWD[[#This Row],[Service Description]],functionInfo[Service Description For Invoicing &amp; SLA],0))</f>
        <v>Yes</v>
      </c>
    </row>
    <row r="307" spans="1:9" hidden="1" x14ac:dyDescent="0.25">
      <c r="A307" s="60" t="s">
        <v>300</v>
      </c>
      <c r="B307" s="58" t="s">
        <v>45</v>
      </c>
      <c r="C307" s="58">
        <v>2025</v>
      </c>
      <c r="D307" s="58" t="s">
        <v>21</v>
      </c>
      <c r="E307" s="62"/>
      <c r="F307" s="58" t="str">
        <f>INDEX(functionInfo[Service Lead],MATCH(FTE_stdWD[[#This Row],[Service Description]],functionInfo[Service Description For Invoicing &amp; SLA],0))</f>
        <v>Sasha Yan</v>
      </c>
      <c r="G307" s="58" t="str">
        <f>FTE_stdWD[[#This Row],[Service Description]]&amp;FTE_stdWD[[#This Row],[Country]]&amp;FTE_stdWD[[#This Row],[Year]]&amp;FTE_stdWD[[#This Row],[Month]]</f>
        <v>Sea Freight - Operation - AustraliaWUH2025June</v>
      </c>
      <c r="H307" s="58">
        <f>INDEX(functionInfo[Daily Dashboard Set-up],MATCH(FTE_stdWD[[#This Row],[Service Description]],functionInfo[Service Description For Invoicing &amp; SLA],0))</f>
        <v>0</v>
      </c>
      <c r="I307" s="59" t="str">
        <f>INDEX(functionInfo[Monthly Dashboard],MATCH(FTE_stdWD[[#This Row],[Service Description]],functionInfo[Service Description For Invoicing &amp; SLA],0))</f>
        <v>Yes</v>
      </c>
    </row>
    <row r="308" spans="1:9" hidden="1" x14ac:dyDescent="0.25">
      <c r="A308" s="60" t="s">
        <v>300</v>
      </c>
      <c r="B308" s="58" t="s">
        <v>45</v>
      </c>
      <c r="C308" s="58">
        <v>2025</v>
      </c>
      <c r="D308" s="58" t="s">
        <v>22</v>
      </c>
      <c r="E308" s="62"/>
      <c r="F308" s="58" t="str">
        <f>INDEX(functionInfo[Service Lead],MATCH(FTE_stdWD[[#This Row],[Service Description]],functionInfo[Service Description For Invoicing &amp; SLA],0))</f>
        <v>Sasha Yan</v>
      </c>
      <c r="G308" s="58" t="str">
        <f>FTE_stdWD[[#This Row],[Service Description]]&amp;FTE_stdWD[[#This Row],[Country]]&amp;FTE_stdWD[[#This Row],[Year]]&amp;FTE_stdWD[[#This Row],[Month]]</f>
        <v>Sea Freight - Operation - AustraliaWUH2025July</v>
      </c>
      <c r="H308" s="58">
        <f>INDEX(functionInfo[Daily Dashboard Set-up],MATCH(FTE_stdWD[[#This Row],[Service Description]],functionInfo[Service Description For Invoicing &amp; SLA],0))</f>
        <v>0</v>
      </c>
      <c r="I308" s="59" t="str">
        <f>INDEX(functionInfo[Monthly Dashboard],MATCH(FTE_stdWD[[#This Row],[Service Description]],functionInfo[Service Description For Invoicing &amp; SLA],0))</f>
        <v>Yes</v>
      </c>
    </row>
    <row r="309" spans="1:9" hidden="1" x14ac:dyDescent="0.25">
      <c r="A309" s="60" t="s">
        <v>300</v>
      </c>
      <c r="B309" s="58" t="s">
        <v>45</v>
      </c>
      <c r="C309" s="58">
        <v>2025</v>
      </c>
      <c r="D309" s="58" t="s">
        <v>46</v>
      </c>
      <c r="E309" s="62"/>
      <c r="F309" s="58" t="str">
        <f>INDEX(functionInfo[Service Lead],MATCH(FTE_stdWD[[#This Row],[Service Description]],functionInfo[Service Description For Invoicing &amp; SLA],0))</f>
        <v>Sasha Yan</v>
      </c>
      <c r="G309" s="58" t="str">
        <f>FTE_stdWD[[#This Row],[Service Description]]&amp;FTE_stdWD[[#This Row],[Country]]&amp;FTE_stdWD[[#This Row],[Year]]&amp;FTE_stdWD[[#This Row],[Month]]</f>
        <v>Sea Freight - Operation - AustraliaWUH2025August</v>
      </c>
      <c r="H309" s="58">
        <f>INDEX(functionInfo[Daily Dashboard Set-up],MATCH(FTE_stdWD[[#This Row],[Service Description]],functionInfo[Service Description For Invoicing &amp; SLA],0))</f>
        <v>0</v>
      </c>
      <c r="I309" s="59" t="str">
        <f>INDEX(functionInfo[Monthly Dashboard],MATCH(FTE_stdWD[[#This Row],[Service Description]],functionInfo[Service Description For Invoicing &amp; SLA],0))</f>
        <v>Yes</v>
      </c>
    </row>
    <row r="310" spans="1:9" hidden="1" x14ac:dyDescent="0.25">
      <c r="A310" s="60" t="s">
        <v>300</v>
      </c>
      <c r="B310" s="58" t="s">
        <v>45</v>
      </c>
      <c r="C310" s="58">
        <v>2025</v>
      </c>
      <c r="D310" s="58" t="s">
        <v>33</v>
      </c>
      <c r="E310" s="62"/>
      <c r="F310" s="58" t="str">
        <f>INDEX(functionInfo[Service Lead],MATCH(FTE_stdWD[[#This Row],[Service Description]],functionInfo[Service Description For Invoicing &amp; SLA],0))</f>
        <v>Sasha Yan</v>
      </c>
      <c r="G310" s="58" t="str">
        <f>FTE_stdWD[[#This Row],[Service Description]]&amp;FTE_stdWD[[#This Row],[Country]]&amp;FTE_stdWD[[#This Row],[Year]]&amp;FTE_stdWD[[#This Row],[Month]]</f>
        <v>Sea Freight - Operation - AustraliaWUH2025September</v>
      </c>
      <c r="H310" s="58">
        <f>INDEX(functionInfo[Daily Dashboard Set-up],MATCH(FTE_stdWD[[#This Row],[Service Description]],functionInfo[Service Description For Invoicing &amp; SLA],0))</f>
        <v>0</v>
      </c>
      <c r="I310" s="59" t="str">
        <f>INDEX(functionInfo[Monthly Dashboard],MATCH(FTE_stdWD[[#This Row],[Service Description]],functionInfo[Service Description For Invoicing &amp; SLA],0))</f>
        <v>Yes</v>
      </c>
    </row>
    <row r="311" spans="1:9" hidden="1" x14ac:dyDescent="0.25">
      <c r="A311" s="60" t="s">
        <v>300</v>
      </c>
      <c r="B311" s="58" t="s">
        <v>45</v>
      </c>
      <c r="C311" s="58">
        <v>2025</v>
      </c>
      <c r="D311" s="58" t="s">
        <v>25</v>
      </c>
      <c r="E311" s="62"/>
      <c r="F311" s="58" t="str">
        <f>INDEX(functionInfo[Service Lead],MATCH(FTE_stdWD[[#This Row],[Service Description]],functionInfo[Service Description For Invoicing &amp; SLA],0))</f>
        <v>Sasha Yan</v>
      </c>
      <c r="G311" s="58" t="str">
        <f>FTE_stdWD[[#This Row],[Service Description]]&amp;FTE_stdWD[[#This Row],[Country]]&amp;FTE_stdWD[[#This Row],[Year]]&amp;FTE_stdWD[[#This Row],[Month]]</f>
        <v>Sea Freight - Operation - AustraliaWUH2025October</v>
      </c>
      <c r="H311" s="58">
        <f>INDEX(functionInfo[Daily Dashboard Set-up],MATCH(FTE_stdWD[[#This Row],[Service Description]],functionInfo[Service Description For Invoicing &amp; SLA],0))</f>
        <v>0</v>
      </c>
      <c r="I311" s="59" t="str">
        <f>INDEX(functionInfo[Monthly Dashboard],MATCH(FTE_stdWD[[#This Row],[Service Description]],functionInfo[Service Description For Invoicing &amp; SLA],0))</f>
        <v>Yes</v>
      </c>
    </row>
    <row r="312" spans="1:9" hidden="1" x14ac:dyDescent="0.25">
      <c r="A312" s="60" t="s">
        <v>300</v>
      </c>
      <c r="B312" s="58" t="s">
        <v>45</v>
      </c>
      <c r="C312" s="58">
        <v>2025</v>
      </c>
      <c r="D312" s="58" t="s">
        <v>26</v>
      </c>
      <c r="E312" s="62"/>
      <c r="F312" s="58" t="str">
        <f>INDEX(functionInfo[Service Lead],MATCH(FTE_stdWD[[#This Row],[Service Description]],functionInfo[Service Description For Invoicing &amp; SLA],0))</f>
        <v>Sasha Yan</v>
      </c>
      <c r="G312" s="58" t="str">
        <f>FTE_stdWD[[#This Row],[Service Description]]&amp;FTE_stdWD[[#This Row],[Country]]&amp;FTE_stdWD[[#This Row],[Year]]&amp;FTE_stdWD[[#This Row],[Month]]</f>
        <v>Sea Freight - Operation - AustraliaWUH2025November</v>
      </c>
      <c r="H312" s="58">
        <f>INDEX(functionInfo[Daily Dashboard Set-up],MATCH(FTE_stdWD[[#This Row],[Service Description]],functionInfo[Service Description For Invoicing &amp; SLA],0))</f>
        <v>0</v>
      </c>
      <c r="I312" s="59" t="str">
        <f>INDEX(functionInfo[Monthly Dashboard],MATCH(FTE_stdWD[[#This Row],[Service Description]],functionInfo[Service Description For Invoicing &amp; SLA],0))</f>
        <v>Yes</v>
      </c>
    </row>
    <row r="313" spans="1:9" hidden="1" x14ac:dyDescent="0.25">
      <c r="A313" s="60" t="s">
        <v>300</v>
      </c>
      <c r="B313" s="58" t="s">
        <v>45</v>
      </c>
      <c r="C313" s="58">
        <v>2025</v>
      </c>
      <c r="D313" s="58" t="s">
        <v>27</v>
      </c>
      <c r="E313" s="62"/>
      <c r="F313" s="58" t="str">
        <f>INDEX(functionInfo[Service Lead],MATCH(FTE_stdWD[[#This Row],[Service Description]],functionInfo[Service Description For Invoicing &amp; SLA],0))</f>
        <v>Sasha Yan</v>
      </c>
      <c r="G313" s="58" t="str">
        <f>FTE_stdWD[[#This Row],[Service Description]]&amp;FTE_stdWD[[#This Row],[Country]]&amp;FTE_stdWD[[#This Row],[Year]]&amp;FTE_stdWD[[#This Row],[Month]]</f>
        <v>Sea Freight - Operation - AustraliaWUH2025December</v>
      </c>
      <c r="H313" s="58">
        <f>INDEX(functionInfo[Daily Dashboard Set-up],MATCH(FTE_stdWD[[#This Row],[Service Description]],functionInfo[Service Description For Invoicing &amp; SLA],0))</f>
        <v>0</v>
      </c>
      <c r="I313" s="59" t="str">
        <f>INDEX(functionInfo[Monthly Dashboard],MATCH(FTE_stdWD[[#This Row],[Service Description]],functionInfo[Service Description For Invoicing &amp; SLA],0))</f>
        <v>Yes</v>
      </c>
    </row>
    <row r="314" spans="1:9" hidden="1" x14ac:dyDescent="0.25">
      <c r="A314" s="60" t="s">
        <v>300</v>
      </c>
      <c r="B314" s="58" t="s">
        <v>47</v>
      </c>
      <c r="C314" s="58">
        <v>2025</v>
      </c>
      <c r="D314" s="58" t="s">
        <v>14</v>
      </c>
      <c r="E314" s="62"/>
      <c r="F314" s="58" t="str">
        <f>INDEX(functionInfo[Service Lead],MATCH(FTE_stdWD[[#This Row],[Service Description]],functionInfo[Service Description For Invoicing &amp; SLA],0))</f>
        <v>Sasha Yan</v>
      </c>
      <c r="G314" s="58" t="str">
        <f>FTE_stdWD[[#This Row],[Service Description]]&amp;FTE_stdWD[[#This Row],[Country]]&amp;FTE_stdWD[[#This Row],[Year]]&amp;FTE_stdWD[[#This Row],[Month]]</f>
        <v>Sea Freight - Operation - AustraliaMNL2025January</v>
      </c>
      <c r="H314" s="58">
        <f>INDEX(functionInfo[Daily Dashboard Set-up],MATCH(FTE_stdWD[[#This Row],[Service Description]],functionInfo[Service Description For Invoicing &amp; SLA],0))</f>
        <v>0</v>
      </c>
      <c r="I314" s="59" t="str">
        <f>INDEX(functionInfo[Monthly Dashboard],MATCH(FTE_stdWD[[#This Row],[Service Description]],functionInfo[Service Description For Invoicing &amp; SLA],0))</f>
        <v>Yes</v>
      </c>
    </row>
    <row r="315" spans="1:9" hidden="1" x14ac:dyDescent="0.25">
      <c r="A315" s="60" t="s">
        <v>300</v>
      </c>
      <c r="B315" s="58" t="s">
        <v>47</v>
      </c>
      <c r="C315" s="58">
        <v>2025</v>
      </c>
      <c r="D315" s="58" t="s">
        <v>17</v>
      </c>
      <c r="E315" s="62"/>
      <c r="F315" s="58" t="str">
        <f>INDEX(functionInfo[Service Lead],MATCH(FTE_stdWD[[#This Row],[Service Description]],functionInfo[Service Description For Invoicing &amp; SLA],0))</f>
        <v>Sasha Yan</v>
      </c>
      <c r="G315" s="58" t="str">
        <f>FTE_stdWD[[#This Row],[Service Description]]&amp;FTE_stdWD[[#This Row],[Country]]&amp;FTE_stdWD[[#This Row],[Year]]&amp;FTE_stdWD[[#This Row],[Month]]</f>
        <v>Sea Freight - Operation - AustraliaMNL2025February</v>
      </c>
      <c r="H315" s="58">
        <f>INDEX(functionInfo[Daily Dashboard Set-up],MATCH(FTE_stdWD[[#This Row],[Service Description]],functionInfo[Service Description For Invoicing &amp; SLA],0))</f>
        <v>0</v>
      </c>
      <c r="I315" s="59" t="str">
        <f>INDEX(functionInfo[Monthly Dashboard],MATCH(FTE_stdWD[[#This Row],[Service Description]],functionInfo[Service Description For Invoicing &amp; SLA],0))</f>
        <v>Yes</v>
      </c>
    </row>
    <row r="316" spans="1:9" hidden="1" x14ac:dyDescent="0.25">
      <c r="A316" s="60" t="s">
        <v>300</v>
      </c>
      <c r="B316" s="58" t="s">
        <v>47</v>
      </c>
      <c r="C316" s="58">
        <v>2025</v>
      </c>
      <c r="D316" s="58" t="s">
        <v>18</v>
      </c>
      <c r="E316" s="62"/>
      <c r="F316" s="58" t="str">
        <f>INDEX(functionInfo[Service Lead],MATCH(FTE_stdWD[[#This Row],[Service Description]],functionInfo[Service Description For Invoicing &amp; SLA],0))</f>
        <v>Sasha Yan</v>
      </c>
      <c r="G316" s="58" t="str">
        <f>FTE_stdWD[[#This Row],[Service Description]]&amp;FTE_stdWD[[#This Row],[Country]]&amp;FTE_stdWD[[#This Row],[Year]]&amp;FTE_stdWD[[#This Row],[Month]]</f>
        <v>Sea Freight - Operation - AustraliaMNL2025March</v>
      </c>
      <c r="H316" s="58">
        <f>INDEX(functionInfo[Daily Dashboard Set-up],MATCH(FTE_stdWD[[#This Row],[Service Description]],functionInfo[Service Description For Invoicing &amp; SLA],0))</f>
        <v>0</v>
      </c>
      <c r="I316" s="59" t="str">
        <f>INDEX(functionInfo[Monthly Dashboard],MATCH(FTE_stdWD[[#This Row],[Service Description]],functionInfo[Service Description For Invoicing &amp; SLA],0))</f>
        <v>Yes</v>
      </c>
    </row>
    <row r="317" spans="1:9" hidden="1" x14ac:dyDescent="0.25">
      <c r="A317" s="60" t="s">
        <v>300</v>
      </c>
      <c r="B317" s="58" t="s">
        <v>47</v>
      </c>
      <c r="C317" s="58">
        <v>2025</v>
      </c>
      <c r="D317" s="58" t="s">
        <v>19</v>
      </c>
      <c r="E317" s="62"/>
      <c r="F317" s="58" t="str">
        <f>INDEX(functionInfo[Service Lead],MATCH(FTE_stdWD[[#This Row],[Service Description]],functionInfo[Service Description For Invoicing &amp; SLA],0))</f>
        <v>Sasha Yan</v>
      </c>
      <c r="G317" s="58" t="str">
        <f>FTE_stdWD[[#This Row],[Service Description]]&amp;FTE_stdWD[[#This Row],[Country]]&amp;FTE_stdWD[[#This Row],[Year]]&amp;FTE_stdWD[[#This Row],[Month]]</f>
        <v>Sea Freight - Operation - AustraliaMNL2025April</v>
      </c>
      <c r="H317" s="58">
        <f>INDEX(functionInfo[Daily Dashboard Set-up],MATCH(FTE_stdWD[[#This Row],[Service Description]],functionInfo[Service Description For Invoicing &amp; SLA],0))</f>
        <v>0</v>
      </c>
      <c r="I317" s="59" t="str">
        <f>INDEX(functionInfo[Monthly Dashboard],MATCH(FTE_stdWD[[#This Row],[Service Description]],functionInfo[Service Description For Invoicing &amp; SLA],0))</f>
        <v>Yes</v>
      </c>
    </row>
    <row r="318" spans="1:9" hidden="1" x14ac:dyDescent="0.25">
      <c r="A318" s="60" t="s">
        <v>300</v>
      </c>
      <c r="B318" s="58" t="s">
        <v>47</v>
      </c>
      <c r="C318" s="58">
        <v>2025</v>
      </c>
      <c r="D318" s="58" t="s">
        <v>20</v>
      </c>
      <c r="E318" s="62"/>
      <c r="F318" s="58" t="str">
        <f>INDEX(functionInfo[Service Lead],MATCH(FTE_stdWD[[#This Row],[Service Description]],functionInfo[Service Description For Invoicing &amp; SLA],0))</f>
        <v>Sasha Yan</v>
      </c>
      <c r="G318" s="58" t="str">
        <f>FTE_stdWD[[#This Row],[Service Description]]&amp;FTE_stdWD[[#This Row],[Country]]&amp;FTE_stdWD[[#This Row],[Year]]&amp;FTE_stdWD[[#This Row],[Month]]</f>
        <v>Sea Freight - Operation - AustraliaMNL2025May</v>
      </c>
      <c r="H318" s="58">
        <f>INDEX(functionInfo[Daily Dashboard Set-up],MATCH(FTE_stdWD[[#This Row],[Service Description]],functionInfo[Service Description For Invoicing &amp; SLA],0))</f>
        <v>0</v>
      </c>
      <c r="I318" s="59" t="str">
        <f>INDEX(functionInfo[Monthly Dashboard],MATCH(FTE_stdWD[[#This Row],[Service Description]],functionInfo[Service Description For Invoicing &amp; SLA],0))</f>
        <v>Yes</v>
      </c>
    </row>
    <row r="319" spans="1:9" hidden="1" x14ac:dyDescent="0.25">
      <c r="A319" s="60" t="s">
        <v>300</v>
      </c>
      <c r="B319" s="58" t="s">
        <v>47</v>
      </c>
      <c r="C319" s="58">
        <v>2025</v>
      </c>
      <c r="D319" s="58" t="s">
        <v>21</v>
      </c>
      <c r="E319" s="62"/>
      <c r="F319" s="58" t="str">
        <f>INDEX(functionInfo[Service Lead],MATCH(FTE_stdWD[[#This Row],[Service Description]],functionInfo[Service Description For Invoicing &amp; SLA],0))</f>
        <v>Sasha Yan</v>
      </c>
      <c r="G319" s="58" t="str">
        <f>FTE_stdWD[[#This Row],[Service Description]]&amp;FTE_stdWD[[#This Row],[Country]]&amp;FTE_stdWD[[#This Row],[Year]]&amp;FTE_stdWD[[#This Row],[Month]]</f>
        <v>Sea Freight - Operation - AustraliaMNL2025June</v>
      </c>
      <c r="H319" s="58">
        <f>INDEX(functionInfo[Daily Dashboard Set-up],MATCH(FTE_stdWD[[#This Row],[Service Description]],functionInfo[Service Description For Invoicing &amp; SLA],0))</f>
        <v>0</v>
      </c>
      <c r="I319" s="59" t="str">
        <f>INDEX(functionInfo[Monthly Dashboard],MATCH(FTE_stdWD[[#This Row],[Service Description]],functionInfo[Service Description For Invoicing &amp; SLA],0))</f>
        <v>Yes</v>
      </c>
    </row>
    <row r="320" spans="1:9" hidden="1" x14ac:dyDescent="0.25">
      <c r="A320" s="60" t="s">
        <v>300</v>
      </c>
      <c r="B320" s="58" t="s">
        <v>47</v>
      </c>
      <c r="C320" s="58">
        <v>2025</v>
      </c>
      <c r="D320" s="58" t="s">
        <v>22</v>
      </c>
      <c r="E320" s="62"/>
      <c r="F320" s="58" t="str">
        <f>INDEX(functionInfo[Service Lead],MATCH(FTE_stdWD[[#This Row],[Service Description]],functionInfo[Service Description For Invoicing &amp; SLA],0))</f>
        <v>Sasha Yan</v>
      </c>
      <c r="G320" s="58" t="str">
        <f>FTE_stdWD[[#This Row],[Service Description]]&amp;FTE_stdWD[[#This Row],[Country]]&amp;FTE_stdWD[[#This Row],[Year]]&amp;FTE_stdWD[[#This Row],[Month]]</f>
        <v>Sea Freight - Operation - AustraliaMNL2025July</v>
      </c>
      <c r="H320" s="58">
        <f>INDEX(functionInfo[Daily Dashboard Set-up],MATCH(FTE_stdWD[[#This Row],[Service Description]],functionInfo[Service Description For Invoicing &amp; SLA],0))</f>
        <v>0</v>
      </c>
      <c r="I320" s="59" t="str">
        <f>INDEX(functionInfo[Monthly Dashboard],MATCH(FTE_stdWD[[#This Row],[Service Description]],functionInfo[Service Description For Invoicing &amp; SLA],0))</f>
        <v>Yes</v>
      </c>
    </row>
    <row r="321" spans="1:9" hidden="1" x14ac:dyDescent="0.25">
      <c r="A321" s="60" t="s">
        <v>300</v>
      </c>
      <c r="B321" s="58" t="s">
        <v>47</v>
      </c>
      <c r="C321" s="58">
        <v>2025</v>
      </c>
      <c r="D321" s="58" t="s">
        <v>46</v>
      </c>
      <c r="E321" s="62"/>
      <c r="F321" s="58" t="str">
        <f>INDEX(functionInfo[Service Lead],MATCH(FTE_stdWD[[#This Row],[Service Description]],functionInfo[Service Description For Invoicing &amp; SLA],0))</f>
        <v>Sasha Yan</v>
      </c>
      <c r="G321" s="58" t="str">
        <f>FTE_stdWD[[#This Row],[Service Description]]&amp;FTE_stdWD[[#This Row],[Country]]&amp;FTE_stdWD[[#This Row],[Year]]&amp;FTE_stdWD[[#This Row],[Month]]</f>
        <v>Sea Freight - Operation - AustraliaMNL2025August</v>
      </c>
      <c r="H321" s="58">
        <f>INDEX(functionInfo[Daily Dashboard Set-up],MATCH(FTE_stdWD[[#This Row],[Service Description]],functionInfo[Service Description For Invoicing &amp; SLA],0))</f>
        <v>0</v>
      </c>
      <c r="I321" s="59" t="str">
        <f>INDEX(functionInfo[Monthly Dashboard],MATCH(FTE_stdWD[[#This Row],[Service Description]],functionInfo[Service Description For Invoicing &amp; SLA],0))</f>
        <v>Yes</v>
      </c>
    </row>
    <row r="322" spans="1:9" hidden="1" x14ac:dyDescent="0.25">
      <c r="A322" s="60" t="s">
        <v>300</v>
      </c>
      <c r="B322" s="58" t="s">
        <v>47</v>
      </c>
      <c r="C322" s="58">
        <v>2025</v>
      </c>
      <c r="D322" s="58" t="s">
        <v>33</v>
      </c>
      <c r="E322" s="62"/>
      <c r="F322" s="58" t="str">
        <f>INDEX(functionInfo[Service Lead],MATCH(FTE_stdWD[[#This Row],[Service Description]],functionInfo[Service Description For Invoicing &amp; SLA],0))</f>
        <v>Sasha Yan</v>
      </c>
      <c r="G322" s="58" t="str">
        <f>FTE_stdWD[[#This Row],[Service Description]]&amp;FTE_stdWD[[#This Row],[Country]]&amp;FTE_stdWD[[#This Row],[Year]]&amp;FTE_stdWD[[#This Row],[Month]]</f>
        <v>Sea Freight - Operation - AustraliaMNL2025September</v>
      </c>
      <c r="H322" s="58">
        <f>INDEX(functionInfo[Daily Dashboard Set-up],MATCH(FTE_stdWD[[#This Row],[Service Description]],functionInfo[Service Description For Invoicing &amp; SLA],0))</f>
        <v>0</v>
      </c>
      <c r="I322" s="59" t="str">
        <f>INDEX(functionInfo[Monthly Dashboard],MATCH(FTE_stdWD[[#This Row],[Service Description]],functionInfo[Service Description For Invoicing &amp; SLA],0))</f>
        <v>Yes</v>
      </c>
    </row>
    <row r="323" spans="1:9" hidden="1" x14ac:dyDescent="0.25">
      <c r="A323" s="60" t="s">
        <v>300</v>
      </c>
      <c r="B323" s="58" t="s">
        <v>47</v>
      </c>
      <c r="C323" s="58">
        <v>2025</v>
      </c>
      <c r="D323" s="58" t="s">
        <v>25</v>
      </c>
      <c r="E323" s="62"/>
      <c r="F323" s="58" t="str">
        <f>INDEX(functionInfo[Service Lead],MATCH(FTE_stdWD[[#This Row],[Service Description]],functionInfo[Service Description For Invoicing &amp; SLA],0))</f>
        <v>Sasha Yan</v>
      </c>
      <c r="G323" s="58" t="str">
        <f>FTE_stdWD[[#This Row],[Service Description]]&amp;FTE_stdWD[[#This Row],[Country]]&amp;FTE_stdWD[[#This Row],[Year]]&amp;FTE_stdWD[[#This Row],[Month]]</f>
        <v>Sea Freight - Operation - AustraliaMNL2025October</v>
      </c>
      <c r="H323" s="58">
        <f>INDEX(functionInfo[Daily Dashboard Set-up],MATCH(FTE_stdWD[[#This Row],[Service Description]],functionInfo[Service Description For Invoicing &amp; SLA],0))</f>
        <v>0</v>
      </c>
      <c r="I323" s="59" t="str">
        <f>INDEX(functionInfo[Monthly Dashboard],MATCH(FTE_stdWD[[#This Row],[Service Description]],functionInfo[Service Description For Invoicing &amp; SLA],0))</f>
        <v>Yes</v>
      </c>
    </row>
    <row r="324" spans="1:9" hidden="1" x14ac:dyDescent="0.25">
      <c r="A324" s="60" t="s">
        <v>300</v>
      </c>
      <c r="B324" s="58" t="s">
        <v>47</v>
      </c>
      <c r="C324" s="58">
        <v>2025</v>
      </c>
      <c r="D324" s="58" t="s">
        <v>26</v>
      </c>
      <c r="E324" s="62"/>
      <c r="F324" s="58" t="str">
        <f>INDEX(functionInfo[Service Lead],MATCH(FTE_stdWD[[#This Row],[Service Description]],functionInfo[Service Description For Invoicing &amp; SLA],0))</f>
        <v>Sasha Yan</v>
      </c>
      <c r="G324" s="58" t="str">
        <f>FTE_stdWD[[#This Row],[Service Description]]&amp;FTE_stdWD[[#This Row],[Country]]&amp;FTE_stdWD[[#This Row],[Year]]&amp;FTE_stdWD[[#This Row],[Month]]</f>
        <v>Sea Freight - Operation - AustraliaMNL2025November</v>
      </c>
      <c r="H324" s="58">
        <f>INDEX(functionInfo[Daily Dashboard Set-up],MATCH(FTE_stdWD[[#This Row],[Service Description]],functionInfo[Service Description For Invoicing &amp; SLA],0))</f>
        <v>0</v>
      </c>
      <c r="I324" s="59" t="str">
        <f>INDEX(functionInfo[Monthly Dashboard],MATCH(FTE_stdWD[[#This Row],[Service Description]],functionInfo[Service Description For Invoicing &amp; SLA],0))</f>
        <v>Yes</v>
      </c>
    </row>
    <row r="325" spans="1:9" hidden="1" x14ac:dyDescent="0.25">
      <c r="A325" s="60" t="s">
        <v>300</v>
      </c>
      <c r="B325" s="58" t="s">
        <v>47</v>
      </c>
      <c r="C325" s="58">
        <v>2025</v>
      </c>
      <c r="D325" s="58" t="s">
        <v>27</v>
      </c>
      <c r="E325" s="62"/>
      <c r="F325" s="58" t="str">
        <f>INDEX(functionInfo[Service Lead],MATCH(FTE_stdWD[[#This Row],[Service Description]],functionInfo[Service Description For Invoicing &amp; SLA],0))</f>
        <v>Sasha Yan</v>
      </c>
      <c r="G325" s="58" t="str">
        <f>FTE_stdWD[[#This Row],[Service Description]]&amp;FTE_stdWD[[#This Row],[Country]]&amp;FTE_stdWD[[#This Row],[Year]]&amp;FTE_stdWD[[#This Row],[Month]]</f>
        <v>Sea Freight - Operation - AustraliaMNL2025December</v>
      </c>
      <c r="H325" s="58">
        <f>INDEX(functionInfo[Daily Dashboard Set-up],MATCH(FTE_stdWD[[#This Row],[Service Description]],functionInfo[Service Description For Invoicing &amp; SLA],0))</f>
        <v>0</v>
      </c>
      <c r="I325" s="59" t="str">
        <f>INDEX(functionInfo[Monthly Dashboard],MATCH(FTE_stdWD[[#This Row],[Service Description]],functionInfo[Service Description For Invoicing &amp; SLA],0))</f>
        <v>Yes</v>
      </c>
    </row>
    <row r="326" spans="1:9" hidden="1" x14ac:dyDescent="0.25">
      <c r="A326" s="60" t="s">
        <v>298</v>
      </c>
      <c r="B326" s="159" t="s">
        <v>45</v>
      </c>
      <c r="C326" s="160">
        <v>2025</v>
      </c>
      <c r="D326" s="160" t="s">
        <v>14</v>
      </c>
      <c r="E326" s="63"/>
      <c r="F326" s="61" t="str">
        <f>INDEX(functionInfo[Service Lead],MATCH(FTE_stdWD[[#This Row],[Service Description]],functionInfo[Service Description For Invoicing &amp; SLA],0))</f>
        <v>Sasha Yan</v>
      </c>
      <c r="G326" s="61" t="str">
        <f>FTE_stdWD[[#This Row],[Service Description]]&amp;FTE_stdWD[[#This Row],[Country]]&amp;FTE_stdWD[[#This Row],[Year]]&amp;FTE_stdWD[[#This Row],[Month]]</f>
        <v>Sea Freight - Operation - SingaporeWUH2025January</v>
      </c>
      <c r="H326" s="61">
        <f>INDEX(functionInfo[Daily Dashboard Set-up],MATCH(FTE_stdWD[[#This Row],[Service Description]],functionInfo[Service Description For Invoicing &amp; SLA],0))</f>
        <v>0</v>
      </c>
      <c r="I326" s="64" t="str">
        <f>INDEX(functionInfo[Monthly Dashboard],MATCH(FTE_stdWD[[#This Row],[Service Description]],functionInfo[Service Description For Invoicing &amp; SLA],0))</f>
        <v>Yes</v>
      </c>
    </row>
    <row r="327" spans="1:9" hidden="1" x14ac:dyDescent="0.25">
      <c r="A327" s="60" t="s">
        <v>298</v>
      </c>
      <c r="B327" s="58" t="s">
        <v>45</v>
      </c>
      <c r="C327" s="58">
        <v>2025</v>
      </c>
      <c r="D327" s="58" t="s">
        <v>17</v>
      </c>
      <c r="E327" s="62"/>
      <c r="F327" s="58" t="str">
        <f>INDEX(functionInfo[Service Lead],MATCH(FTE_stdWD[[#This Row],[Service Description]],functionInfo[Service Description For Invoicing &amp; SLA],0))</f>
        <v>Sasha Yan</v>
      </c>
      <c r="G327" s="58" t="str">
        <f>FTE_stdWD[[#This Row],[Service Description]]&amp;FTE_stdWD[[#This Row],[Country]]&amp;FTE_stdWD[[#This Row],[Year]]&amp;FTE_stdWD[[#This Row],[Month]]</f>
        <v>Sea Freight - Operation - SingaporeWUH2025February</v>
      </c>
      <c r="H327" s="58">
        <f>INDEX(functionInfo[Daily Dashboard Set-up],MATCH(FTE_stdWD[[#This Row],[Service Description]],functionInfo[Service Description For Invoicing &amp; SLA],0))</f>
        <v>0</v>
      </c>
      <c r="I327" s="59" t="str">
        <f>INDEX(functionInfo[Monthly Dashboard],MATCH(FTE_stdWD[[#This Row],[Service Description]],functionInfo[Service Description For Invoicing &amp; SLA],0))</f>
        <v>Yes</v>
      </c>
    </row>
    <row r="328" spans="1:9" hidden="1" x14ac:dyDescent="0.25">
      <c r="A328" s="60" t="s">
        <v>298</v>
      </c>
      <c r="B328" s="58" t="s">
        <v>45</v>
      </c>
      <c r="C328" s="58">
        <v>2025</v>
      </c>
      <c r="D328" s="58" t="s">
        <v>18</v>
      </c>
      <c r="E328" s="62"/>
      <c r="F328" s="58" t="str">
        <f>INDEX(functionInfo[Service Lead],MATCH(FTE_stdWD[[#This Row],[Service Description]],functionInfo[Service Description For Invoicing &amp; SLA],0))</f>
        <v>Sasha Yan</v>
      </c>
      <c r="G328" s="58" t="str">
        <f>FTE_stdWD[[#This Row],[Service Description]]&amp;FTE_stdWD[[#This Row],[Country]]&amp;FTE_stdWD[[#This Row],[Year]]&amp;FTE_stdWD[[#This Row],[Month]]</f>
        <v>Sea Freight - Operation - SingaporeWUH2025March</v>
      </c>
      <c r="H328" s="58">
        <f>INDEX(functionInfo[Daily Dashboard Set-up],MATCH(FTE_stdWD[[#This Row],[Service Description]],functionInfo[Service Description For Invoicing &amp; SLA],0))</f>
        <v>0</v>
      </c>
      <c r="I328" s="59" t="str">
        <f>INDEX(functionInfo[Monthly Dashboard],MATCH(FTE_stdWD[[#This Row],[Service Description]],functionInfo[Service Description For Invoicing &amp; SLA],0))</f>
        <v>Yes</v>
      </c>
    </row>
    <row r="329" spans="1:9" hidden="1" x14ac:dyDescent="0.25">
      <c r="A329" s="60" t="s">
        <v>298</v>
      </c>
      <c r="B329" s="58" t="s">
        <v>45</v>
      </c>
      <c r="C329" s="58">
        <v>2025</v>
      </c>
      <c r="D329" s="58" t="s">
        <v>19</v>
      </c>
      <c r="E329" s="62"/>
      <c r="F329" s="58" t="str">
        <f>INDEX(functionInfo[Service Lead],MATCH(FTE_stdWD[[#This Row],[Service Description]],functionInfo[Service Description For Invoicing &amp; SLA],0))</f>
        <v>Sasha Yan</v>
      </c>
      <c r="G329" s="58" t="str">
        <f>FTE_stdWD[[#This Row],[Service Description]]&amp;FTE_stdWD[[#This Row],[Country]]&amp;FTE_stdWD[[#This Row],[Year]]&amp;FTE_stdWD[[#This Row],[Month]]</f>
        <v>Sea Freight - Operation - SingaporeWUH2025April</v>
      </c>
      <c r="H329" s="58">
        <f>INDEX(functionInfo[Daily Dashboard Set-up],MATCH(FTE_stdWD[[#This Row],[Service Description]],functionInfo[Service Description For Invoicing &amp; SLA],0))</f>
        <v>0</v>
      </c>
      <c r="I329" s="59" t="str">
        <f>INDEX(functionInfo[Monthly Dashboard],MATCH(FTE_stdWD[[#This Row],[Service Description]],functionInfo[Service Description For Invoicing &amp; SLA],0))</f>
        <v>Yes</v>
      </c>
    </row>
    <row r="330" spans="1:9" hidden="1" x14ac:dyDescent="0.25">
      <c r="A330" s="60" t="s">
        <v>298</v>
      </c>
      <c r="B330" s="58" t="s">
        <v>45</v>
      </c>
      <c r="C330" s="58">
        <v>2025</v>
      </c>
      <c r="D330" s="58" t="s">
        <v>20</v>
      </c>
      <c r="E330" s="62"/>
      <c r="F330" s="58" t="str">
        <f>INDEX(functionInfo[Service Lead],MATCH(FTE_stdWD[[#This Row],[Service Description]],functionInfo[Service Description For Invoicing &amp; SLA],0))</f>
        <v>Sasha Yan</v>
      </c>
      <c r="G330" s="58" t="str">
        <f>FTE_stdWD[[#This Row],[Service Description]]&amp;FTE_stdWD[[#This Row],[Country]]&amp;FTE_stdWD[[#This Row],[Year]]&amp;FTE_stdWD[[#This Row],[Month]]</f>
        <v>Sea Freight - Operation - SingaporeWUH2025May</v>
      </c>
      <c r="H330" s="58">
        <f>INDEX(functionInfo[Daily Dashboard Set-up],MATCH(FTE_stdWD[[#This Row],[Service Description]],functionInfo[Service Description For Invoicing &amp; SLA],0))</f>
        <v>0</v>
      </c>
      <c r="I330" s="59" t="str">
        <f>INDEX(functionInfo[Monthly Dashboard],MATCH(FTE_stdWD[[#This Row],[Service Description]],functionInfo[Service Description For Invoicing &amp; SLA],0))</f>
        <v>Yes</v>
      </c>
    </row>
    <row r="331" spans="1:9" hidden="1" x14ac:dyDescent="0.25">
      <c r="A331" s="60" t="s">
        <v>298</v>
      </c>
      <c r="B331" s="58" t="s">
        <v>45</v>
      </c>
      <c r="C331" s="58">
        <v>2025</v>
      </c>
      <c r="D331" s="58" t="s">
        <v>21</v>
      </c>
      <c r="E331" s="62"/>
      <c r="F331" s="58" t="str">
        <f>INDEX(functionInfo[Service Lead],MATCH(FTE_stdWD[[#This Row],[Service Description]],functionInfo[Service Description For Invoicing &amp; SLA],0))</f>
        <v>Sasha Yan</v>
      </c>
      <c r="G331" s="58" t="str">
        <f>FTE_stdWD[[#This Row],[Service Description]]&amp;FTE_stdWD[[#This Row],[Country]]&amp;FTE_stdWD[[#This Row],[Year]]&amp;FTE_stdWD[[#This Row],[Month]]</f>
        <v>Sea Freight - Operation - SingaporeWUH2025June</v>
      </c>
      <c r="H331" s="58">
        <f>INDEX(functionInfo[Daily Dashboard Set-up],MATCH(FTE_stdWD[[#This Row],[Service Description]],functionInfo[Service Description For Invoicing &amp; SLA],0))</f>
        <v>0</v>
      </c>
      <c r="I331" s="59" t="str">
        <f>INDEX(functionInfo[Monthly Dashboard],MATCH(FTE_stdWD[[#This Row],[Service Description]],functionInfo[Service Description For Invoicing &amp; SLA],0))</f>
        <v>Yes</v>
      </c>
    </row>
    <row r="332" spans="1:9" hidden="1" x14ac:dyDescent="0.25">
      <c r="A332" s="60" t="s">
        <v>298</v>
      </c>
      <c r="B332" s="58" t="s">
        <v>45</v>
      </c>
      <c r="C332" s="58">
        <v>2025</v>
      </c>
      <c r="D332" s="58" t="s">
        <v>22</v>
      </c>
      <c r="E332" s="62"/>
      <c r="F332" s="58" t="str">
        <f>INDEX(functionInfo[Service Lead],MATCH(FTE_stdWD[[#This Row],[Service Description]],functionInfo[Service Description For Invoicing &amp; SLA],0))</f>
        <v>Sasha Yan</v>
      </c>
      <c r="G332" s="58" t="str">
        <f>FTE_stdWD[[#This Row],[Service Description]]&amp;FTE_stdWD[[#This Row],[Country]]&amp;FTE_stdWD[[#This Row],[Year]]&amp;FTE_stdWD[[#This Row],[Month]]</f>
        <v>Sea Freight - Operation - SingaporeWUH2025July</v>
      </c>
      <c r="H332" s="58">
        <f>INDEX(functionInfo[Daily Dashboard Set-up],MATCH(FTE_stdWD[[#This Row],[Service Description]],functionInfo[Service Description For Invoicing &amp; SLA],0))</f>
        <v>0</v>
      </c>
      <c r="I332" s="59" t="str">
        <f>INDEX(functionInfo[Monthly Dashboard],MATCH(FTE_stdWD[[#This Row],[Service Description]],functionInfo[Service Description For Invoicing &amp; SLA],0))</f>
        <v>Yes</v>
      </c>
    </row>
    <row r="333" spans="1:9" hidden="1" x14ac:dyDescent="0.25">
      <c r="A333" s="60" t="s">
        <v>298</v>
      </c>
      <c r="B333" s="58" t="s">
        <v>45</v>
      </c>
      <c r="C333" s="58">
        <v>2025</v>
      </c>
      <c r="D333" s="58" t="s">
        <v>46</v>
      </c>
      <c r="E333" s="62"/>
      <c r="F333" s="58" t="str">
        <f>INDEX(functionInfo[Service Lead],MATCH(FTE_stdWD[[#This Row],[Service Description]],functionInfo[Service Description For Invoicing &amp; SLA],0))</f>
        <v>Sasha Yan</v>
      </c>
      <c r="G333" s="58" t="str">
        <f>FTE_stdWD[[#This Row],[Service Description]]&amp;FTE_stdWD[[#This Row],[Country]]&amp;FTE_stdWD[[#This Row],[Year]]&amp;FTE_stdWD[[#This Row],[Month]]</f>
        <v>Sea Freight - Operation - SingaporeWUH2025August</v>
      </c>
      <c r="H333" s="58">
        <f>INDEX(functionInfo[Daily Dashboard Set-up],MATCH(FTE_stdWD[[#This Row],[Service Description]],functionInfo[Service Description For Invoicing &amp; SLA],0))</f>
        <v>0</v>
      </c>
      <c r="I333" s="59" t="str">
        <f>INDEX(functionInfo[Monthly Dashboard],MATCH(FTE_stdWD[[#This Row],[Service Description]],functionInfo[Service Description For Invoicing &amp; SLA],0))</f>
        <v>Yes</v>
      </c>
    </row>
    <row r="334" spans="1:9" hidden="1" x14ac:dyDescent="0.25">
      <c r="A334" s="60" t="s">
        <v>298</v>
      </c>
      <c r="B334" s="58" t="s">
        <v>45</v>
      </c>
      <c r="C334" s="58">
        <v>2025</v>
      </c>
      <c r="D334" s="58" t="s">
        <v>33</v>
      </c>
      <c r="E334" s="62"/>
      <c r="F334" s="58" t="str">
        <f>INDEX(functionInfo[Service Lead],MATCH(FTE_stdWD[[#This Row],[Service Description]],functionInfo[Service Description For Invoicing &amp; SLA],0))</f>
        <v>Sasha Yan</v>
      </c>
      <c r="G334" s="58" t="str">
        <f>FTE_stdWD[[#This Row],[Service Description]]&amp;FTE_stdWD[[#This Row],[Country]]&amp;FTE_stdWD[[#This Row],[Year]]&amp;FTE_stdWD[[#This Row],[Month]]</f>
        <v>Sea Freight - Operation - SingaporeWUH2025September</v>
      </c>
      <c r="H334" s="58">
        <f>INDEX(functionInfo[Daily Dashboard Set-up],MATCH(FTE_stdWD[[#This Row],[Service Description]],functionInfo[Service Description For Invoicing &amp; SLA],0))</f>
        <v>0</v>
      </c>
      <c r="I334" s="59" t="str">
        <f>INDEX(functionInfo[Monthly Dashboard],MATCH(FTE_stdWD[[#This Row],[Service Description]],functionInfo[Service Description For Invoicing &amp; SLA],0))</f>
        <v>Yes</v>
      </c>
    </row>
    <row r="335" spans="1:9" hidden="1" x14ac:dyDescent="0.25">
      <c r="A335" s="60" t="s">
        <v>298</v>
      </c>
      <c r="B335" s="58" t="s">
        <v>45</v>
      </c>
      <c r="C335" s="58">
        <v>2025</v>
      </c>
      <c r="D335" s="58" t="s">
        <v>25</v>
      </c>
      <c r="E335" s="62"/>
      <c r="F335" s="58" t="str">
        <f>INDEX(functionInfo[Service Lead],MATCH(FTE_stdWD[[#This Row],[Service Description]],functionInfo[Service Description For Invoicing &amp; SLA],0))</f>
        <v>Sasha Yan</v>
      </c>
      <c r="G335" s="58" t="str">
        <f>FTE_stdWD[[#This Row],[Service Description]]&amp;FTE_stdWD[[#This Row],[Country]]&amp;FTE_stdWD[[#This Row],[Year]]&amp;FTE_stdWD[[#This Row],[Month]]</f>
        <v>Sea Freight - Operation - SingaporeWUH2025October</v>
      </c>
      <c r="H335" s="58">
        <f>INDEX(functionInfo[Daily Dashboard Set-up],MATCH(FTE_stdWD[[#This Row],[Service Description]],functionInfo[Service Description For Invoicing &amp; SLA],0))</f>
        <v>0</v>
      </c>
      <c r="I335" s="59" t="str">
        <f>INDEX(functionInfo[Monthly Dashboard],MATCH(FTE_stdWD[[#This Row],[Service Description]],functionInfo[Service Description For Invoicing &amp; SLA],0))</f>
        <v>Yes</v>
      </c>
    </row>
    <row r="336" spans="1:9" hidden="1" x14ac:dyDescent="0.25">
      <c r="A336" s="60" t="s">
        <v>298</v>
      </c>
      <c r="B336" s="58" t="s">
        <v>45</v>
      </c>
      <c r="C336" s="58">
        <v>2025</v>
      </c>
      <c r="D336" s="58" t="s">
        <v>26</v>
      </c>
      <c r="E336" s="62"/>
      <c r="F336" s="58" t="str">
        <f>INDEX(functionInfo[Service Lead],MATCH(FTE_stdWD[[#This Row],[Service Description]],functionInfo[Service Description For Invoicing &amp; SLA],0))</f>
        <v>Sasha Yan</v>
      </c>
      <c r="G336" s="58" t="str">
        <f>FTE_stdWD[[#This Row],[Service Description]]&amp;FTE_stdWD[[#This Row],[Country]]&amp;FTE_stdWD[[#This Row],[Year]]&amp;FTE_stdWD[[#This Row],[Month]]</f>
        <v>Sea Freight - Operation - SingaporeWUH2025November</v>
      </c>
      <c r="H336" s="58">
        <f>INDEX(functionInfo[Daily Dashboard Set-up],MATCH(FTE_stdWD[[#This Row],[Service Description]],functionInfo[Service Description For Invoicing &amp; SLA],0))</f>
        <v>0</v>
      </c>
      <c r="I336" s="59" t="str">
        <f>INDEX(functionInfo[Monthly Dashboard],MATCH(FTE_stdWD[[#This Row],[Service Description]],functionInfo[Service Description For Invoicing &amp; SLA],0))</f>
        <v>Yes</v>
      </c>
    </row>
    <row r="337" spans="1:9" hidden="1" x14ac:dyDescent="0.25">
      <c r="A337" s="60" t="s">
        <v>298</v>
      </c>
      <c r="B337" s="58" t="s">
        <v>45</v>
      </c>
      <c r="C337" s="58">
        <v>2025</v>
      </c>
      <c r="D337" s="58" t="s">
        <v>27</v>
      </c>
      <c r="E337" s="62"/>
      <c r="F337" s="58" t="str">
        <f>INDEX(functionInfo[Service Lead],MATCH(FTE_stdWD[[#This Row],[Service Description]],functionInfo[Service Description For Invoicing &amp; SLA],0))</f>
        <v>Sasha Yan</v>
      </c>
      <c r="G337" s="58" t="str">
        <f>FTE_stdWD[[#This Row],[Service Description]]&amp;FTE_stdWD[[#This Row],[Country]]&amp;FTE_stdWD[[#This Row],[Year]]&amp;FTE_stdWD[[#This Row],[Month]]</f>
        <v>Sea Freight - Operation - SingaporeWUH2025December</v>
      </c>
      <c r="H337" s="58">
        <f>INDEX(functionInfo[Daily Dashboard Set-up],MATCH(FTE_stdWD[[#This Row],[Service Description]],functionInfo[Service Description For Invoicing &amp; SLA],0))</f>
        <v>0</v>
      </c>
      <c r="I337" s="59" t="str">
        <f>INDEX(functionInfo[Monthly Dashboard],MATCH(FTE_stdWD[[#This Row],[Service Description]],functionInfo[Service Description For Invoicing &amp; SLA],0))</f>
        <v>Yes</v>
      </c>
    </row>
    <row r="338" spans="1:9" hidden="1" x14ac:dyDescent="0.25">
      <c r="A338" s="60" t="s">
        <v>298</v>
      </c>
      <c r="B338" s="58" t="s">
        <v>47</v>
      </c>
      <c r="C338" s="58">
        <v>2025</v>
      </c>
      <c r="D338" s="58" t="s">
        <v>14</v>
      </c>
      <c r="E338" s="62"/>
      <c r="F338" s="58" t="str">
        <f>INDEX(functionInfo[Service Lead],MATCH(FTE_stdWD[[#This Row],[Service Description]],functionInfo[Service Description For Invoicing &amp; SLA],0))</f>
        <v>Sasha Yan</v>
      </c>
      <c r="G338" s="58" t="str">
        <f>FTE_stdWD[[#This Row],[Service Description]]&amp;FTE_stdWD[[#This Row],[Country]]&amp;FTE_stdWD[[#This Row],[Year]]&amp;FTE_stdWD[[#This Row],[Month]]</f>
        <v>Sea Freight - Operation - SingaporeMNL2025January</v>
      </c>
      <c r="H338" s="58">
        <f>INDEX(functionInfo[Daily Dashboard Set-up],MATCH(FTE_stdWD[[#This Row],[Service Description]],functionInfo[Service Description For Invoicing &amp; SLA],0))</f>
        <v>0</v>
      </c>
      <c r="I338" s="59" t="str">
        <f>INDEX(functionInfo[Monthly Dashboard],MATCH(FTE_stdWD[[#This Row],[Service Description]],functionInfo[Service Description For Invoicing &amp; SLA],0))</f>
        <v>Yes</v>
      </c>
    </row>
    <row r="339" spans="1:9" hidden="1" x14ac:dyDescent="0.25">
      <c r="A339" s="60" t="s">
        <v>298</v>
      </c>
      <c r="B339" s="58" t="s">
        <v>47</v>
      </c>
      <c r="C339" s="58">
        <v>2025</v>
      </c>
      <c r="D339" s="58" t="s">
        <v>17</v>
      </c>
      <c r="E339" s="62"/>
      <c r="F339" s="58" t="str">
        <f>INDEX(functionInfo[Service Lead],MATCH(FTE_stdWD[[#This Row],[Service Description]],functionInfo[Service Description For Invoicing &amp; SLA],0))</f>
        <v>Sasha Yan</v>
      </c>
      <c r="G339" s="58" t="str">
        <f>FTE_stdWD[[#This Row],[Service Description]]&amp;FTE_stdWD[[#This Row],[Country]]&amp;FTE_stdWD[[#This Row],[Year]]&amp;FTE_stdWD[[#This Row],[Month]]</f>
        <v>Sea Freight - Operation - SingaporeMNL2025February</v>
      </c>
      <c r="H339" s="58">
        <f>INDEX(functionInfo[Daily Dashboard Set-up],MATCH(FTE_stdWD[[#This Row],[Service Description]],functionInfo[Service Description For Invoicing &amp; SLA],0))</f>
        <v>0</v>
      </c>
      <c r="I339" s="59" t="str">
        <f>INDEX(functionInfo[Monthly Dashboard],MATCH(FTE_stdWD[[#This Row],[Service Description]],functionInfo[Service Description For Invoicing &amp; SLA],0))</f>
        <v>Yes</v>
      </c>
    </row>
    <row r="340" spans="1:9" hidden="1" x14ac:dyDescent="0.25">
      <c r="A340" s="60" t="s">
        <v>298</v>
      </c>
      <c r="B340" s="58" t="s">
        <v>47</v>
      </c>
      <c r="C340" s="58">
        <v>2025</v>
      </c>
      <c r="D340" s="58" t="s">
        <v>18</v>
      </c>
      <c r="E340" s="62"/>
      <c r="F340" s="58" t="str">
        <f>INDEX(functionInfo[Service Lead],MATCH(FTE_stdWD[[#This Row],[Service Description]],functionInfo[Service Description For Invoicing &amp; SLA],0))</f>
        <v>Sasha Yan</v>
      </c>
      <c r="G340" s="58" t="str">
        <f>FTE_stdWD[[#This Row],[Service Description]]&amp;FTE_stdWD[[#This Row],[Country]]&amp;FTE_stdWD[[#This Row],[Year]]&amp;FTE_stdWD[[#This Row],[Month]]</f>
        <v>Sea Freight - Operation - SingaporeMNL2025March</v>
      </c>
      <c r="H340" s="58">
        <f>INDEX(functionInfo[Daily Dashboard Set-up],MATCH(FTE_stdWD[[#This Row],[Service Description]],functionInfo[Service Description For Invoicing &amp; SLA],0))</f>
        <v>0</v>
      </c>
      <c r="I340" s="59" t="str">
        <f>INDEX(functionInfo[Monthly Dashboard],MATCH(FTE_stdWD[[#This Row],[Service Description]],functionInfo[Service Description For Invoicing &amp; SLA],0))</f>
        <v>Yes</v>
      </c>
    </row>
    <row r="341" spans="1:9" hidden="1" x14ac:dyDescent="0.25">
      <c r="A341" s="60" t="s">
        <v>298</v>
      </c>
      <c r="B341" s="58" t="s">
        <v>47</v>
      </c>
      <c r="C341" s="58">
        <v>2025</v>
      </c>
      <c r="D341" s="58" t="s">
        <v>19</v>
      </c>
      <c r="E341" s="62"/>
      <c r="F341" s="58" t="str">
        <f>INDEX(functionInfo[Service Lead],MATCH(FTE_stdWD[[#This Row],[Service Description]],functionInfo[Service Description For Invoicing &amp; SLA],0))</f>
        <v>Sasha Yan</v>
      </c>
      <c r="G341" s="58" t="str">
        <f>FTE_stdWD[[#This Row],[Service Description]]&amp;FTE_stdWD[[#This Row],[Country]]&amp;FTE_stdWD[[#This Row],[Year]]&amp;FTE_stdWD[[#This Row],[Month]]</f>
        <v>Sea Freight - Operation - SingaporeMNL2025April</v>
      </c>
      <c r="H341" s="58">
        <f>INDEX(functionInfo[Daily Dashboard Set-up],MATCH(FTE_stdWD[[#This Row],[Service Description]],functionInfo[Service Description For Invoicing &amp; SLA],0))</f>
        <v>0</v>
      </c>
      <c r="I341" s="59" t="str">
        <f>INDEX(functionInfo[Monthly Dashboard],MATCH(FTE_stdWD[[#This Row],[Service Description]],functionInfo[Service Description For Invoicing &amp; SLA],0))</f>
        <v>Yes</v>
      </c>
    </row>
    <row r="342" spans="1:9" hidden="1" x14ac:dyDescent="0.25">
      <c r="A342" s="60" t="s">
        <v>298</v>
      </c>
      <c r="B342" s="58" t="s">
        <v>47</v>
      </c>
      <c r="C342" s="58">
        <v>2025</v>
      </c>
      <c r="D342" s="58" t="s">
        <v>20</v>
      </c>
      <c r="E342" s="62"/>
      <c r="F342" s="58" t="str">
        <f>INDEX(functionInfo[Service Lead],MATCH(FTE_stdWD[[#This Row],[Service Description]],functionInfo[Service Description For Invoicing &amp; SLA],0))</f>
        <v>Sasha Yan</v>
      </c>
      <c r="G342" s="58" t="str">
        <f>FTE_stdWD[[#This Row],[Service Description]]&amp;FTE_stdWD[[#This Row],[Country]]&amp;FTE_stdWD[[#This Row],[Year]]&amp;FTE_stdWD[[#This Row],[Month]]</f>
        <v>Sea Freight - Operation - SingaporeMNL2025May</v>
      </c>
      <c r="H342" s="58">
        <f>INDEX(functionInfo[Daily Dashboard Set-up],MATCH(FTE_stdWD[[#This Row],[Service Description]],functionInfo[Service Description For Invoicing &amp; SLA],0))</f>
        <v>0</v>
      </c>
      <c r="I342" s="59" t="str">
        <f>INDEX(functionInfo[Monthly Dashboard],MATCH(FTE_stdWD[[#This Row],[Service Description]],functionInfo[Service Description For Invoicing &amp; SLA],0))</f>
        <v>Yes</v>
      </c>
    </row>
    <row r="343" spans="1:9" hidden="1" x14ac:dyDescent="0.25">
      <c r="A343" s="60" t="s">
        <v>298</v>
      </c>
      <c r="B343" s="58" t="s">
        <v>47</v>
      </c>
      <c r="C343" s="58">
        <v>2025</v>
      </c>
      <c r="D343" s="58" t="s">
        <v>21</v>
      </c>
      <c r="E343" s="62"/>
      <c r="F343" s="58" t="str">
        <f>INDEX(functionInfo[Service Lead],MATCH(FTE_stdWD[[#This Row],[Service Description]],functionInfo[Service Description For Invoicing &amp; SLA],0))</f>
        <v>Sasha Yan</v>
      </c>
      <c r="G343" s="58" t="str">
        <f>FTE_stdWD[[#This Row],[Service Description]]&amp;FTE_stdWD[[#This Row],[Country]]&amp;FTE_stdWD[[#This Row],[Year]]&amp;FTE_stdWD[[#This Row],[Month]]</f>
        <v>Sea Freight - Operation - SingaporeMNL2025June</v>
      </c>
      <c r="H343" s="58">
        <f>INDEX(functionInfo[Daily Dashboard Set-up],MATCH(FTE_stdWD[[#This Row],[Service Description]],functionInfo[Service Description For Invoicing &amp; SLA],0))</f>
        <v>0</v>
      </c>
      <c r="I343" s="59" t="str">
        <f>INDEX(functionInfo[Monthly Dashboard],MATCH(FTE_stdWD[[#This Row],[Service Description]],functionInfo[Service Description For Invoicing &amp; SLA],0))</f>
        <v>Yes</v>
      </c>
    </row>
    <row r="344" spans="1:9" hidden="1" x14ac:dyDescent="0.25">
      <c r="A344" s="60" t="s">
        <v>298</v>
      </c>
      <c r="B344" s="58" t="s">
        <v>47</v>
      </c>
      <c r="C344" s="58">
        <v>2025</v>
      </c>
      <c r="D344" s="58" t="s">
        <v>22</v>
      </c>
      <c r="E344" s="62"/>
      <c r="F344" s="58" t="str">
        <f>INDEX(functionInfo[Service Lead],MATCH(FTE_stdWD[[#This Row],[Service Description]],functionInfo[Service Description For Invoicing &amp; SLA],0))</f>
        <v>Sasha Yan</v>
      </c>
      <c r="G344" s="58" t="str">
        <f>FTE_stdWD[[#This Row],[Service Description]]&amp;FTE_stdWD[[#This Row],[Country]]&amp;FTE_stdWD[[#This Row],[Year]]&amp;FTE_stdWD[[#This Row],[Month]]</f>
        <v>Sea Freight - Operation - SingaporeMNL2025July</v>
      </c>
      <c r="H344" s="58">
        <f>INDEX(functionInfo[Daily Dashboard Set-up],MATCH(FTE_stdWD[[#This Row],[Service Description]],functionInfo[Service Description For Invoicing &amp; SLA],0))</f>
        <v>0</v>
      </c>
      <c r="I344" s="59" t="str">
        <f>INDEX(functionInfo[Monthly Dashboard],MATCH(FTE_stdWD[[#This Row],[Service Description]],functionInfo[Service Description For Invoicing &amp; SLA],0))</f>
        <v>Yes</v>
      </c>
    </row>
    <row r="345" spans="1:9" hidden="1" x14ac:dyDescent="0.25">
      <c r="A345" s="60" t="s">
        <v>298</v>
      </c>
      <c r="B345" s="58" t="s">
        <v>47</v>
      </c>
      <c r="C345" s="58">
        <v>2025</v>
      </c>
      <c r="D345" s="58" t="s">
        <v>46</v>
      </c>
      <c r="E345" s="62"/>
      <c r="F345" s="58" t="str">
        <f>INDEX(functionInfo[Service Lead],MATCH(FTE_stdWD[[#This Row],[Service Description]],functionInfo[Service Description For Invoicing &amp; SLA],0))</f>
        <v>Sasha Yan</v>
      </c>
      <c r="G345" s="58" t="str">
        <f>FTE_stdWD[[#This Row],[Service Description]]&amp;FTE_stdWD[[#This Row],[Country]]&amp;FTE_stdWD[[#This Row],[Year]]&amp;FTE_stdWD[[#This Row],[Month]]</f>
        <v>Sea Freight - Operation - SingaporeMNL2025August</v>
      </c>
      <c r="H345" s="58">
        <f>INDEX(functionInfo[Daily Dashboard Set-up],MATCH(FTE_stdWD[[#This Row],[Service Description]],functionInfo[Service Description For Invoicing &amp; SLA],0))</f>
        <v>0</v>
      </c>
      <c r="I345" s="59" t="str">
        <f>INDEX(functionInfo[Monthly Dashboard],MATCH(FTE_stdWD[[#This Row],[Service Description]],functionInfo[Service Description For Invoicing &amp; SLA],0))</f>
        <v>Yes</v>
      </c>
    </row>
    <row r="346" spans="1:9" hidden="1" x14ac:dyDescent="0.25">
      <c r="A346" s="60" t="s">
        <v>298</v>
      </c>
      <c r="B346" s="58" t="s">
        <v>47</v>
      </c>
      <c r="C346" s="58">
        <v>2025</v>
      </c>
      <c r="D346" s="58" t="s">
        <v>33</v>
      </c>
      <c r="E346" s="62"/>
      <c r="F346" s="58" t="str">
        <f>INDEX(functionInfo[Service Lead],MATCH(FTE_stdWD[[#This Row],[Service Description]],functionInfo[Service Description For Invoicing &amp; SLA],0))</f>
        <v>Sasha Yan</v>
      </c>
      <c r="G346" s="58" t="str">
        <f>FTE_stdWD[[#This Row],[Service Description]]&amp;FTE_stdWD[[#This Row],[Country]]&amp;FTE_stdWD[[#This Row],[Year]]&amp;FTE_stdWD[[#This Row],[Month]]</f>
        <v>Sea Freight - Operation - SingaporeMNL2025September</v>
      </c>
      <c r="H346" s="58">
        <f>INDEX(functionInfo[Daily Dashboard Set-up],MATCH(FTE_stdWD[[#This Row],[Service Description]],functionInfo[Service Description For Invoicing &amp; SLA],0))</f>
        <v>0</v>
      </c>
      <c r="I346" s="59" t="str">
        <f>INDEX(functionInfo[Monthly Dashboard],MATCH(FTE_stdWD[[#This Row],[Service Description]],functionInfo[Service Description For Invoicing &amp; SLA],0))</f>
        <v>Yes</v>
      </c>
    </row>
    <row r="347" spans="1:9" hidden="1" x14ac:dyDescent="0.25">
      <c r="A347" s="60" t="s">
        <v>298</v>
      </c>
      <c r="B347" s="58" t="s">
        <v>47</v>
      </c>
      <c r="C347" s="58">
        <v>2025</v>
      </c>
      <c r="D347" s="58" t="s">
        <v>25</v>
      </c>
      <c r="E347" s="62"/>
      <c r="F347" s="58" t="str">
        <f>INDEX(functionInfo[Service Lead],MATCH(FTE_stdWD[[#This Row],[Service Description]],functionInfo[Service Description For Invoicing &amp; SLA],0))</f>
        <v>Sasha Yan</v>
      </c>
      <c r="G347" s="58" t="str">
        <f>FTE_stdWD[[#This Row],[Service Description]]&amp;FTE_stdWD[[#This Row],[Country]]&amp;FTE_stdWD[[#This Row],[Year]]&amp;FTE_stdWD[[#This Row],[Month]]</f>
        <v>Sea Freight - Operation - SingaporeMNL2025October</v>
      </c>
      <c r="H347" s="58">
        <f>INDEX(functionInfo[Daily Dashboard Set-up],MATCH(FTE_stdWD[[#This Row],[Service Description]],functionInfo[Service Description For Invoicing &amp; SLA],0))</f>
        <v>0</v>
      </c>
      <c r="I347" s="59" t="str">
        <f>INDEX(functionInfo[Monthly Dashboard],MATCH(FTE_stdWD[[#This Row],[Service Description]],functionInfo[Service Description For Invoicing &amp; SLA],0))</f>
        <v>Yes</v>
      </c>
    </row>
    <row r="348" spans="1:9" hidden="1" x14ac:dyDescent="0.25">
      <c r="A348" s="60" t="s">
        <v>298</v>
      </c>
      <c r="B348" s="58" t="s">
        <v>47</v>
      </c>
      <c r="C348" s="58">
        <v>2025</v>
      </c>
      <c r="D348" s="58" t="s">
        <v>26</v>
      </c>
      <c r="E348" s="62"/>
      <c r="F348" s="58" t="str">
        <f>INDEX(functionInfo[Service Lead],MATCH(FTE_stdWD[[#This Row],[Service Description]],functionInfo[Service Description For Invoicing &amp; SLA],0))</f>
        <v>Sasha Yan</v>
      </c>
      <c r="G348" s="58" t="str">
        <f>FTE_stdWD[[#This Row],[Service Description]]&amp;FTE_stdWD[[#This Row],[Country]]&amp;FTE_stdWD[[#This Row],[Year]]&amp;FTE_stdWD[[#This Row],[Month]]</f>
        <v>Sea Freight - Operation - SingaporeMNL2025November</v>
      </c>
      <c r="H348" s="58">
        <f>INDEX(functionInfo[Daily Dashboard Set-up],MATCH(FTE_stdWD[[#This Row],[Service Description]],functionInfo[Service Description For Invoicing &amp; SLA],0))</f>
        <v>0</v>
      </c>
      <c r="I348" s="59" t="str">
        <f>INDEX(functionInfo[Monthly Dashboard],MATCH(FTE_stdWD[[#This Row],[Service Description]],functionInfo[Service Description For Invoicing &amp; SLA],0))</f>
        <v>Yes</v>
      </c>
    </row>
    <row r="349" spans="1:9" hidden="1" x14ac:dyDescent="0.25">
      <c r="A349" s="60" t="s">
        <v>298</v>
      </c>
      <c r="B349" s="58" t="s">
        <v>47</v>
      </c>
      <c r="C349" s="58">
        <v>2025</v>
      </c>
      <c r="D349" s="58" t="s">
        <v>27</v>
      </c>
      <c r="E349" s="62"/>
      <c r="F349" s="58" t="str">
        <f>INDEX(functionInfo[Service Lead],MATCH(FTE_stdWD[[#This Row],[Service Description]],functionInfo[Service Description For Invoicing &amp; SLA],0))</f>
        <v>Sasha Yan</v>
      </c>
      <c r="G349" s="58" t="str">
        <f>FTE_stdWD[[#This Row],[Service Description]]&amp;FTE_stdWD[[#This Row],[Country]]&amp;FTE_stdWD[[#This Row],[Year]]&amp;FTE_stdWD[[#This Row],[Month]]</f>
        <v>Sea Freight - Operation - SingaporeMNL2025December</v>
      </c>
      <c r="H349" s="58">
        <f>INDEX(functionInfo[Daily Dashboard Set-up],MATCH(FTE_stdWD[[#This Row],[Service Description]],functionInfo[Service Description For Invoicing &amp; SLA],0))</f>
        <v>0</v>
      </c>
      <c r="I349" s="59" t="str">
        <f>INDEX(functionInfo[Monthly Dashboard],MATCH(FTE_stdWD[[#This Row],[Service Description]],functionInfo[Service Description For Invoicing &amp; SLA],0))</f>
        <v>Yes</v>
      </c>
    </row>
    <row r="350" spans="1:9" hidden="1" x14ac:dyDescent="0.25">
      <c r="A350" s="60" t="s">
        <v>108</v>
      </c>
      <c r="B350" s="61" t="s">
        <v>45</v>
      </c>
      <c r="C350" s="61">
        <v>2025</v>
      </c>
      <c r="D350" s="61" t="s">
        <v>14</v>
      </c>
      <c r="E350" s="63"/>
      <c r="F350" s="61" t="str">
        <f>INDEX(functionInfo[Service Lead],MATCH(FTE_stdWD[[#This Row],[Service Description]],functionInfo[Service Description For Invoicing &amp; SLA],0))</f>
        <v>Coco Fan</v>
      </c>
      <c r="G350" s="61" t="str">
        <f>FTE_stdWD[[#This Row],[Service Description]]&amp;FTE_stdWD[[#This Row],[Country]]&amp;FTE_stdWD[[#This Row],[Year]]&amp;FTE_stdWD[[#This Row],[Month]]</f>
        <v>Air Freight - Network Product PricingWUH2025January</v>
      </c>
      <c r="H350" s="61" t="str">
        <f>INDEX(functionInfo[Daily Dashboard Set-up],MATCH(FTE_stdWD[[#This Row],[Service Description]],functionInfo[Service Description For Invoicing &amp; SLA],0))</f>
        <v>Yes</v>
      </c>
      <c r="I350" s="64" t="str">
        <f>INDEX(functionInfo[Monthly Dashboard],MATCH(FTE_stdWD[[#This Row],[Service Description]],functionInfo[Service Description For Invoicing &amp; SLA],0))</f>
        <v>Yes</v>
      </c>
    </row>
    <row r="351" spans="1:9" hidden="1" x14ac:dyDescent="0.25">
      <c r="A351" s="60" t="s">
        <v>108</v>
      </c>
      <c r="B351" s="58" t="s">
        <v>45</v>
      </c>
      <c r="C351" s="58">
        <v>2025</v>
      </c>
      <c r="D351" s="58" t="s">
        <v>17</v>
      </c>
      <c r="E351" s="62"/>
      <c r="F351" s="58" t="str">
        <f>INDEX(functionInfo[Service Lead],MATCH(FTE_stdWD[[#This Row],[Service Description]],functionInfo[Service Description For Invoicing &amp; SLA],0))</f>
        <v>Coco Fan</v>
      </c>
      <c r="G351" s="58" t="str">
        <f>FTE_stdWD[[#This Row],[Service Description]]&amp;FTE_stdWD[[#This Row],[Country]]&amp;FTE_stdWD[[#This Row],[Year]]&amp;FTE_stdWD[[#This Row],[Month]]</f>
        <v>Air Freight - Network Product PricingWUH2025February</v>
      </c>
      <c r="H351" s="58" t="str">
        <f>INDEX(functionInfo[Daily Dashboard Set-up],MATCH(FTE_stdWD[[#This Row],[Service Description]],functionInfo[Service Description For Invoicing &amp; SLA],0))</f>
        <v>Yes</v>
      </c>
      <c r="I351" s="59" t="str">
        <f>INDEX(functionInfo[Monthly Dashboard],MATCH(FTE_stdWD[[#This Row],[Service Description]],functionInfo[Service Description For Invoicing &amp; SLA],0))</f>
        <v>Yes</v>
      </c>
    </row>
    <row r="352" spans="1:9" hidden="1" x14ac:dyDescent="0.25">
      <c r="A352" s="60" t="s">
        <v>108</v>
      </c>
      <c r="B352" s="58" t="s">
        <v>45</v>
      </c>
      <c r="C352" s="58">
        <v>2025</v>
      </c>
      <c r="D352" s="58" t="s">
        <v>18</v>
      </c>
      <c r="E352" s="62"/>
      <c r="F352" s="58" t="str">
        <f>INDEX(functionInfo[Service Lead],MATCH(FTE_stdWD[[#This Row],[Service Description]],functionInfo[Service Description For Invoicing &amp; SLA],0))</f>
        <v>Coco Fan</v>
      </c>
      <c r="G352" s="58" t="str">
        <f>FTE_stdWD[[#This Row],[Service Description]]&amp;FTE_stdWD[[#This Row],[Country]]&amp;FTE_stdWD[[#This Row],[Year]]&amp;FTE_stdWD[[#This Row],[Month]]</f>
        <v>Air Freight - Network Product PricingWUH2025March</v>
      </c>
      <c r="H352" s="58" t="str">
        <f>INDEX(functionInfo[Daily Dashboard Set-up],MATCH(FTE_stdWD[[#This Row],[Service Description]],functionInfo[Service Description For Invoicing &amp; SLA],0))</f>
        <v>Yes</v>
      </c>
      <c r="I352" s="59" t="str">
        <f>INDEX(functionInfo[Monthly Dashboard],MATCH(FTE_stdWD[[#This Row],[Service Description]],functionInfo[Service Description For Invoicing &amp; SLA],0))</f>
        <v>Yes</v>
      </c>
    </row>
    <row r="353" spans="1:9" hidden="1" x14ac:dyDescent="0.25">
      <c r="A353" s="60" t="s">
        <v>108</v>
      </c>
      <c r="B353" s="58" t="s">
        <v>45</v>
      </c>
      <c r="C353" s="58">
        <v>2025</v>
      </c>
      <c r="D353" s="58" t="s">
        <v>19</v>
      </c>
      <c r="E353" s="62"/>
      <c r="F353" s="58" t="str">
        <f>INDEX(functionInfo[Service Lead],MATCH(FTE_stdWD[[#This Row],[Service Description]],functionInfo[Service Description For Invoicing &amp; SLA],0))</f>
        <v>Coco Fan</v>
      </c>
      <c r="G353" s="58" t="str">
        <f>FTE_stdWD[[#This Row],[Service Description]]&amp;FTE_stdWD[[#This Row],[Country]]&amp;FTE_stdWD[[#This Row],[Year]]&amp;FTE_stdWD[[#This Row],[Month]]</f>
        <v>Air Freight - Network Product PricingWUH2025April</v>
      </c>
      <c r="H353" s="58" t="str">
        <f>INDEX(functionInfo[Daily Dashboard Set-up],MATCH(FTE_stdWD[[#This Row],[Service Description]],functionInfo[Service Description For Invoicing &amp; SLA],0))</f>
        <v>Yes</v>
      </c>
      <c r="I353" s="59" t="str">
        <f>INDEX(functionInfo[Monthly Dashboard],MATCH(FTE_stdWD[[#This Row],[Service Description]],functionInfo[Service Description For Invoicing &amp; SLA],0))</f>
        <v>Yes</v>
      </c>
    </row>
    <row r="354" spans="1:9" hidden="1" x14ac:dyDescent="0.25">
      <c r="A354" s="60" t="s">
        <v>108</v>
      </c>
      <c r="B354" s="58" t="s">
        <v>45</v>
      </c>
      <c r="C354" s="58">
        <v>2025</v>
      </c>
      <c r="D354" s="58" t="s">
        <v>20</v>
      </c>
      <c r="E354" s="62"/>
      <c r="F354" s="58" t="str">
        <f>INDEX(functionInfo[Service Lead],MATCH(FTE_stdWD[[#This Row],[Service Description]],functionInfo[Service Description For Invoicing &amp; SLA],0))</f>
        <v>Coco Fan</v>
      </c>
      <c r="G354" s="58" t="str">
        <f>FTE_stdWD[[#This Row],[Service Description]]&amp;FTE_stdWD[[#This Row],[Country]]&amp;FTE_stdWD[[#This Row],[Year]]&amp;FTE_stdWD[[#This Row],[Month]]</f>
        <v>Air Freight - Network Product PricingWUH2025May</v>
      </c>
      <c r="H354" s="58" t="str">
        <f>INDEX(functionInfo[Daily Dashboard Set-up],MATCH(FTE_stdWD[[#This Row],[Service Description]],functionInfo[Service Description For Invoicing &amp; SLA],0))</f>
        <v>Yes</v>
      </c>
      <c r="I354" s="59" t="str">
        <f>INDEX(functionInfo[Monthly Dashboard],MATCH(FTE_stdWD[[#This Row],[Service Description]],functionInfo[Service Description For Invoicing &amp; SLA],0))</f>
        <v>Yes</v>
      </c>
    </row>
    <row r="355" spans="1:9" hidden="1" x14ac:dyDescent="0.25">
      <c r="A355" s="60" t="s">
        <v>108</v>
      </c>
      <c r="B355" s="58" t="s">
        <v>45</v>
      </c>
      <c r="C355" s="58">
        <v>2025</v>
      </c>
      <c r="D355" s="58" t="s">
        <v>21</v>
      </c>
      <c r="E355" s="62"/>
      <c r="F355" s="58" t="str">
        <f>INDEX(functionInfo[Service Lead],MATCH(FTE_stdWD[[#This Row],[Service Description]],functionInfo[Service Description For Invoicing &amp; SLA],0))</f>
        <v>Coco Fan</v>
      </c>
      <c r="G355" s="58" t="str">
        <f>FTE_stdWD[[#This Row],[Service Description]]&amp;FTE_stdWD[[#This Row],[Country]]&amp;FTE_stdWD[[#This Row],[Year]]&amp;FTE_stdWD[[#This Row],[Month]]</f>
        <v>Air Freight - Network Product PricingWUH2025June</v>
      </c>
      <c r="H355" s="58" t="str">
        <f>INDEX(functionInfo[Daily Dashboard Set-up],MATCH(FTE_stdWD[[#This Row],[Service Description]],functionInfo[Service Description For Invoicing &amp; SLA],0))</f>
        <v>Yes</v>
      </c>
      <c r="I355" s="59" t="str">
        <f>INDEX(functionInfo[Monthly Dashboard],MATCH(FTE_stdWD[[#This Row],[Service Description]],functionInfo[Service Description For Invoicing &amp; SLA],0))</f>
        <v>Yes</v>
      </c>
    </row>
    <row r="356" spans="1:9" hidden="1" x14ac:dyDescent="0.25">
      <c r="A356" s="60" t="s">
        <v>108</v>
      </c>
      <c r="B356" s="58" t="s">
        <v>45</v>
      </c>
      <c r="C356" s="58">
        <v>2025</v>
      </c>
      <c r="D356" s="58" t="s">
        <v>22</v>
      </c>
      <c r="E356" s="62"/>
      <c r="F356" s="58" t="str">
        <f>INDEX(functionInfo[Service Lead],MATCH(FTE_stdWD[[#This Row],[Service Description]],functionInfo[Service Description For Invoicing &amp; SLA],0))</f>
        <v>Coco Fan</v>
      </c>
      <c r="G356" s="58" t="str">
        <f>FTE_stdWD[[#This Row],[Service Description]]&amp;FTE_stdWD[[#This Row],[Country]]&amp;FTE_stdWD[[#This Row],[Year]]&amp;FTE_stdWD[[#This Row],[Month]]</f>
        <v>Air Freight - Network Product PricingWUH2025July</v>
      </c>
      <c r="H356" s="58" t="str">
        <f>INDEX(functionInfo[Daily Dashboard Set-up],MATCH(FTE_stdWD[[#This Row],[Service Description]],functionInfo[Service Description For Invoicing &amp; SLA],0))</f>
        <v>Yes</v>
      </c>
      <c r="I356" s="59" t="str">
        <f>INDEX(functionInfo[Monthly Dashboard],MATCH(FTE_stdWD[[#This Row],[Service Description]],functionInfo[Service Description For Invoicing &amp; SLA],0))</f>
        <v>Yes</v>
      </c>
    </row>
    <row r="357" spans="1:9" hidden="1" x14ac:dyDescent="0.25">
      <c r="A357" s="60" t="s">
        <v>108</v>
      </c>
      <c r="B357" s="58" t="s">
        <v>45</v>
      </c>
      <c r="C357" s="58">
        <v>2025</v>
      </c>
      <c r="D357" s="58" t="s">
        <v>46</v>
      </c>
      <c r="E357" s="62"/>
      <c r="F357" s="58" t="str">
        <f>INDEX(functionInfo[Service Lead],MATCH(FTE_stdWD[[#This Row],[Service Description]],functionInfo[Service Description For Invoicing &amp; SLA],0))</f>
        <v>Coco Fan</v>
      </c>
      <c r="G357" s="58" t="str">
        <f>FTE_stdWD[[#This Row],[Service Description]]&amp;FTE_stdWD[[#This Row],[Country]]&amp;FTE_stdWD[[#This Row],[Year]]&amp;FTE_stdWD[[#This Row],[Month]]</f>
        <v>Air Freight - Network Product PricingWUH2025August</v>
      </c>
      <c r="H357" s="58" t="str">
        <f>INDEX(functionInfo[Daily Dashboard Set-up],MATCH(FTE_stdWD[[#This Row],[Service Description]],functionInfo[Service Description For Invoicing &amp; SLA],0))</f>
        <v>Yes</v>
      </c>
      <c r="I357" s="59" t="str">
        <f>INDEX(functionInfo[Monthly Dashboard],MATCH(FTE_stdWD[[#This Row],[Service Description]],functionInfo[Service Description For Invoicing &amp; SLA],0))</f>
        <v>Yes</v>
      </c>
    </row>
    <row r="358" spans="1:9" hidden="1" x14ac:dyDescent="0.25">
      <c r="A358" s="60" t="s">
        <v>108</v>
      </c>
      <c r="B358" s="58" t="s">
        <v>45</v>
      </c>
      <c r="C358" s="58">
        <v>2025</v>
      </c>
      <c r="D358" s="58" t="s">
        <v>33</v>
      </c>
      <c r="E358" s="62"/>
      <c r="F358" s="58" t="str">
        <f>INDEX(functionInfo[Service Lead],MATCH(FTE_stdWD[[#This Row],[Service Description]],functionInfo[Service Description For Invoicing &amp; SLA],0))</f>
        <v>Coco Fan</v>
      </c>
      <c r="G358" s="58" t="str">
        <f>FTE_stdWD[[#This Row],[Service Description]]&amp;FTE_stdWD[[#This Row],[Country]]&amp;FTE_stdWD[[#This Row],[Year]]&amp;FTE_stdWD[[#This Row],[Month]]</f>
        <v>Air Freight - Network Product PricingWUH2025September</v>
      </c>
      <c r="H358" s="58" t="str">
        <f>INDEX(functionInfo[Daily Dashboard Set-up],MATCH(FTE_stdWD[[#This Row],[Service Description]],functionInfo[Service Description For Invoicing &amp; SLA],0))</f>
        <v>Yes</v>
      </c>
      <c r="I358" s="59" t="str">
        <f>INDEX(functionInfo[Monthly Dashboard],MATCH(FTE_stdWD[[#This Row],[Service Description]],functionInfo[Service Description For Invoicing &amp; SLA],0))</f>
        <v>Yes</v>
      </c>
    </row>
    <row r="359" spans="1:9" hidden="1" x14ac:dyDescent="0.25">
      <c r="A359" s="60" t="s">
        <v>108</v>
      </c>
      <c r="B359" s="58" t="s">
        <v>45</v>
      </c>
      <c r="C359" s="58">
        <v>2025</v>
      </c>
      <c r="D359" s="58" t="s">
        <v>25</v>
      </c>
      <c r="E359" s="62"/>
      <c r="F359" s="58" t="str">
        <f>INDEX(functionInfo[Service Lead],MATCH(FTE_stdWD[[#This Row],[Service Description]],functionInfo[Service Description For Invoicing &amp; SLA],0))</f>
        <v>Coco Fan</v>
      </c>
      <c r="G359" s="58" t="str">
        <f>FTE_stdWD[[#This Row],[Service Description]]&amp;FTE_stdWD[[#This Row],[Country]]&amp;FTE_stdWD[[#This Row],[Year]]&amp;FTE_stdWD[[#This Row],[Month]]</f>
        <v>Air Freight - Network Product PricingWUH2025October</v>
      </c>
      <c r="H359" s="58" t="str">
        <f>INDEX(functionInfo[Daily Dashboard Set-up],MATCH(FTE_stdWD[[#This Row],[Service Description]],functionInfo[Service Description For Invoicing &amp; SLA],0))</f>
        <v>Yes</v>
      </c>
      <c r="I359" s="59" t="str">
        <f>INDEX(functionInfo[Monthly Dashboard],MATCH(FTE_stdWD[[#This Row],[Service Description]],functionInfo[Service Description For Invoicing &amp; SLA],0))</f>
        <v>Yes</v>
      </c>
    </row>
    <row r="360" spans="1:9" hidden="1" x14ac:dyDescent="0.25">
      <c r="A360" s="60" t="s">
        <v>108</v>
      </c>
      <c r="B360" s="58" t="s">
        <v>45</v>
      </c>
      <c r="C360" s="58">
        <v>2025</v>
      </c>
      <c r="D360" s="58" t="s">
        <v>26</v>
      </c>
      <c r="E360" s="62"/>
      <c r="F360" s="58" t="str">
        <f>INDEX(functionInfo[Service Lead],MATCH(FTE_stdWD[[#This Row],[Service Description]],functionInfo[Service Description For Invoicing &amp; SLA],0))</f>
        <v>Coco Fan</v>
      </c>
      <c r="G360" s="58" t="str">
        <f>FTE_stdWD[[#This Row],[Service Description]]&amp;FTE_stdWD[[#This Row],[Country]]&amp;FTE_stdWD[[#This Row],[Year]]&amp;FTE_stdWD[[#This Row],[Month]]</f>
        <v>Air Freight - Network Product PricingWUH2025November</v>
      </c>
      <c r="H360" s="58" t="str">
        <f>INDEX(functionInfo[Daily Dashboard Set-up],MATCH(FTE_stdWD[[#This Row],[Service Description]],functionInfo[Service Description For Invoicing &amp; SLA],0))</f>
        <v>Yes</v>
      </c>
      <c r="I360" s="59" t="str">
        <f>INDEX(functionInfo[Monthly Dashboard],MATCH(FTE_stdWD[[#This Row],[Service Description]],functionInfo[Service Description For Invoicing &amp; SLA],0))</f>
        <v>Yes</v>
      </c>
    </row>
    <row r="361" spans="1:9" hidden="1" x14ac:dyDescent="0.25">
      <c r="A361" s="60" t="s">
        <v>108</v>
      </c>
      <c r="B361" s="58" t="s">
        <v>45</v>
      </c>
      <c r="C361" s="58">
        <v>2025</v>
      </c>
      <c r="D361" s="58" t="s">
        <v>27</v>
      </c>
      <c r="E361" s="62"/>
      <c r="F361" s="58" t="str">
        <f>INDEX(functionInfo[Service Lead],MATCH(FTE_stdWD[[#This Row],[Service Description]],functionInfo[Service Description For Invoicing &amp; SLA],0))</f>
        <v>Coco Fan</v>
      </c>
      <c r="G361" s="58" t="str">
        <f>FTE_stdWD[[#This Row],[Service Description]]&amp;FTE_stdWD[[#This Row],[Country]]&amp;FTE_stdWD[[#This Row],[Year]]&amp;FTE_stdWD[[#This Row],[Month]]</f>
        <v>Air Freight - Network Product PricingWUH2025December</v>
      </c>
      <c r="H361" s="58" t="str">
        <f>INDEX(functionInfo[Daily Dashboard Set-up],MATCH(FTE_stdWD[[#This Row],[Service Description]],functionInfo[Service Description For Invoicing &amp; SLA],0))</f>
        <v>Yes</v>
      </c>
      <c r="I361" s="59" t="str">
        <f>INDEX(functionInfo[Monthly Dashboard],MATCH(FTE_stdWD[[#This Row],[Service Description]],functionInfo[Service Description For Invoicing &amp; SLA],0))</f>
        <v>Yes</v>
      </c>
    </row>
    <row r="362" spans="1:9" hidden="1" x14ac:dyDescent="0.25">
      <c r="A362" s="60" t="s">
        <v>108</v>
      </c>
      <c r="B362" s="58" t="s">
        <v>47</v>
      </c>
      <c r="C362" s="58">
        <v>2025</v>
      </c>
      <c r="D362" s="58" t="s">
        <v>14</v>
      </c>
      <c r="E362" s="62"/>
      <c r="F362" s="58" t="str">
        <f>INDEX(functionInfo[Service Lead],MATCH(FTE_stdWD[[#This Row],[Service Description]],functionInfo[Service Description For Invoicing &amp; SLA],0))</f>
        <v>Coco Fan</v>
      </c>
      <c r="G362" s="58" t="str">
        <f>FTE_stdWD[[#This Row],[Service Description]]&amp;FTE_stdWD[[#This Row],[Country]]&amp;FTE_stdWD[[#This Row],[Year]]&amp;FTE_stdWD[[#This Row],[Month]]</f>
        <v>Air Freight - Network Product PricingMNL2025January</v>
      </c>
      <c r="H362" s="58" t="str">
        <f>INDEX(functionInfo[Daily Dashboard Set-up],MATCH(FTE_stdWD[[#This Row],[Service Description]],functionInfo[Service Description For Invoicing &amp; SLA],0))</f>
        <v>Yes</v>
      </c>
      <c r="I362" s="59" t="str">
        <f>INDEX(functionInfo[Monthly Dashboard],MATCH(FTE_stdWD[[#This Row],[Service Description]],functionInfo[Service Description For Invoicing &amp; SLA],0))</f>
        <v>Yes</v>
      </c>
    </row>
    <row r="363" spans="1:9" hidden="1" x14ac:dyDescent="0.25">
      <c r="A363" s="60" t="s">
        <v>108</v>
      </c>
      <c r="B363" s="58" t="s">
        <v>47</v>
      </c>
      <c r="C363" s="58">
        <v>2025</v>
      </c>
      <c r="D363" s="58" t="s">
        <v>17</v>
      </c>
      <c r="E363" s="62"/>
      <c r="F363" s="58" t="str">
        <f>INDEX(functionInfo[Service Lead],MATCH(FTE_stdWD[[#This Row],[Service Description]],functionInfo[Service Description For Invoicing &amp; SLA],0))</f>
        <v>Coco Fan</v>
      </c>
      <c r="G363" s="58" t="str">
        <f>FTE_stdWD[[#This Row],[Service Description]]&amp;FTE_stdWD[[#This Row],[Country]]&amp;FTE_stdWD[[#This Row],[Year]]&amp;FTE_stdWD[[#This Row],[Month]]</f>
        <v>Air Freight - Network Product PricingMNL2025February</v>
      </c>
      <c r="H363" s="58" t="str">
        <f>INDEX(functionInfo[Daily Dashboard Set-up],MATCH(FTE_stdWD[[#This Row],[Service Description]],functionInfo[Service Description For Invoicing &amp; SLA],0))</f>
        <v>Yes</v>
      </c>
      <c r="I363" s="59" t="str">
        <f>INDEX(functionInfo[Monthly Dashboard],MATCH(FTE_stdWD[[#This Row],[Service Description]],functionInfo[Service Description For Invoicing &amp; SLA],0))</f>
        <v>Yes</v>
      </c>
    </row>
    <row r="364" spans="1:9" hidden="1" x14ac:dyDescent="0.25">
      <c r="A364" s="60" t="s">
        <v>108</v>
      </c>
      <c r="B364" s="58" t="s">
        <v>47</v>
      </c>
      <c r="C364" s="58">
        <v>2025</v>
      </c>
      <c r="D364" s="58" t="s">
        <v>18</v>
      </c>
      <c r="E364" s="62"/>
      <c r="F364" s="58" t="str">
        <f>INDEX(functionInfo[Service Lead],MATCH(FTE_stdWD[[#This Row],[Service Description]],functionInfo[Service Description For Invoicing &amp; SLA],0))</f>
        <v>Coco Fan</v>
      </c>
      <c r="G364" s="58" t="str">
        <f>FTE_stdWD[[#This Row],[Service Description]]&amp;FTE_stdWD[[#This Row],[Country]]&amp;FTE_stdWD[[#This Row],[Year]]&amp;FTE_stdWD[[#This Row],[Month]]</f>
        <v>Air Freight - Network Product PricingMNL2025March</v>
      </c>
      <c r="H364" s="58" t="str">
        <f>INDEX(functionInfo[Daily Dashboard Set-up],MATCH(FTE_stdWD[[#This Row],[Service Description]],functionInfo[Service Description For Invoicing &amp; SLA],0))</f>
        <v>Yes</v>
      </c>
      <c r="I364" s="59" t="str">
        <f>INDEX(functionInfo[Monthly Dashboard],MATCH(FTE_stdWD[[#This Row],[Service Description]],functionInfo[Service Description For Invoicing &amp; SLA],0))</f>
        <v>Yes</v>
      </c>
    </row>
    <row r="365" spans="1:9" hidden="1" x14ac:dyDescent="0.25">
      <c r="A365" s="60" t="s">
        <v>108</v>
      </c>
      <c r="B365" s="58" t="s">
        <v>47</v>
      </c>
      <c r="C365" s="58">
        <v>2025</v>
      </c>
      <c r="D365" s="58" t="s">
        <v>19</v>
      </c>
      <c r="E365" s="62"/>
      <c r="F365" s="58" t="str">
        <f>INDEX(functionInfo[Service Lead],MATCH(FTE_stdWD[[#This Row],[Service Description]],functionInfo[Service Description For Invoicing &amp; SLA],0))</f>
        <v>Coco Fan</v>
      </c>
      <c r="G365" s="58" t="str">
        <f>FTE_stdWD[[#This Row],[Service Description]]&amp;FTE_stdWD[[#This Row],[Country]]&amp;FTE_stdWD[[#This Row],[Year]]&amp;FTE_stdWD[[#This Row],[Month]]</f>
        <v>Air Freight - Network Product PricingMNL2025April</v>
      </c>
      <c r="H365" s="58" t="str">
        <f>INDEX(functionInfo[Daily Dashboard Set-up],MATCH(FTE_stdWD[[#This Row],[Service Description]],functionInfo[Service Description For Invoicing &amp; SLA],0))</f>
        <v>Yes</v>
      </c>
      <c r="I365" s="59" t="str">
        <f>INDEX(functionInfo[Monthly Dashboard],MATCH(FTE_stdWD[[#This Row],[Service Description]],functionInfo[Service Description For Invoicing &amp; SLA],0))</f>
        <v>Yes</v>
      </c>
    </row>
    <row r="366" spans="1:9" hidden="1" x14ac:dyDescent="0.25">
      <c r="A366" s="60" t="s">
        <v>108</v>
      </c>
      <c r="B366" s="58" t="s">
        <v>47</v>
      </c>
      <c r="C366" s="58">
        <v>2025</v>
      </c>
      <c r="D366" s="58" t="s">
        <v>20</v>
      </c>
      <c r="E366" s="62"/>
      <c r="F366" s="58" t="str">
        <f>INDEX(functionInfo[Service Lead],MATCH(FTE_stdWD[[#This Row],[Service Description]],functionInfo[Service Description For Invoicing &amp; SLA],0))</f>
        <v>Coco Fan</v>
      </c>
      <c r="G366" s="58" t="str">
        <f>FTE_stdWD[[#This Row],[Service Description]]&amp;FTE_stdWD[[#This Row],[Country]]&amp;FTE_stdWD[[#This Row],[Year]]&amp;FTE_stdWD[[#This Row],[Month]]</f>
        <v>Air Freight - Network Product PricingMNL2025May</v>
      </c>
      <c r="H366" s="58" t="str">
        <f>INDEX(functionInfo[Daily Dashboard Set-up],MATCH(FTE_stdWD[[#This Row],[Service Description]],functionInfo[Service Description For Invoicing &amp; SLA],0))</f>
        <v>Yes</v>
      </c>
      <c r="I366" s="59" t="str">
        <f>INDEX(functionInfo[Monthly Dashboard],MATCH(FTE_stdWD[[#This Row],[Service Description]],functionInfo[Service Description For Invoicing &amp; SLA],0))</f>
        <v>Yes</v>
      </c>
    </row>
    <row r="367" spans="1:9" hidden="1" x14ac:dyDescent="0.25">
      <c r="A367" s="60" t="s">
        <v>108</v>
      </c>
      <c r="B367" s="58" t="s">
        <v>47</v>
      </c>
      <c r="C367" s="58">
        <v>2025</v>
      </c>
      <c r="D367" s="58" t="s">
        <v>21</v>
      </c>
      <c r="E367" s="62"/>
      <c r="F367" s="58" t="str">
        <f>INDEX(functionInfo[Service Lead],MATCH(FTE_stdWD[[#This Row],[Service Description]],functionInfo[Service Description For Invoicing &amp; SLA],0))</f>
        <v>Coco Fan</v>
      </c>
      <c r="G367" s="58" t="str">
        <f>FTE_stdWD[[#This Row],[Service Description]]&amp;FTE_stdWD[[#This Row],[Country]]&amp;FTE_stdWD[[#This Row],[Year]]&amp;FTE_stdWD[[#This Row],[Month]]</f>
        <v>Air Freight - Network Product PricingMNL2025June</v>
      </c>
      <c r="H367" s="58" t="str">
        <f>INDEX(functionInfo[Daily Dashboard Set-up],MATCH(FTE_stdWD[[#This Row],[Service Description]],functionInfo[Service Description For Invoicing &amp; SLA],0))</f>
        <v>Yes</v>
      </c>
      <c r="I367" s="59" t="str">
        <f>INDEX(functionInfo[Monthly Dashboard],MATCH(FTE_stdWD[[#This Row],[Service Description]],functionInfo[Service Description For Invoicing &amp; SLA],0))</f>
        <v>Yes</v>
      </c>
    </row>
    <row r="368" spans="1:9" hidden="1" x14ac:dyDescent="0.25">
      <c r="A368" s="60" t="s">
        <v>108</v>
      </c>
      <c r="B368" s="58" t="s">
        <v>47</v>
      </c>
      <c r="C368" s="58">
        <v>2025</v>
      </c>
      <c r="D368" s="58" t="s">
        <v>22</v>
      </c>
      <c r="E368" s="62"/>
      <c r="F368" s="58" t="str">
        <f>INDEX(functionInfo[Service Lead],MATCH(FTE_stdWD[[#This Row],[Service Description]],functionInfo[Service Description For Invoicing &amp; SLA],0))</f>
        <v>Coco Fan</v>
      </c>
      <c r="G368" s="58" t="str">
        <f>FTE_stdWD[[#This Row],[Service Description]]&amp;FTE_stdWD[[#This Row],[Country]]&amp;FTE_stdWD[[#This Row],[Year]]&amp;FTE_stdWD[[#This Row],[Month]]</f>
        <v>Air Freight - Network Product PricingMNL2025July</v>
      </c>
      <c r="H368" s="58" t="str">
        <f>INDEX(functionInfo[Daily Dashboard Set-up],MATCH(FTE_stdWD[[#This Row],[Service Description]],functionInfo[Service Description For Invoicing &amp; SLA],0))</f>
        <v>Yes</v>
      </c>
      <c r="I368" s="59" t="str">
        <f>INDEX(functionInfo[Monthly Dashboard],MATCH(FTE_stdWD[[#This Row],[Service Description]],functionInfo[Service Description For Invoicing &amp; SLA],0))</f>
        <v>Yes</v>
      </c>
    </row>
    <row r="369" spans="1:9" hidden="1" x14ac:dyDescent="0.25">
      <c r="A369" s="60" t="s">
        <v>108</v>
      </c>
      <c r="B369" s="58" t="s">
        <v>47</v>
      </c>
      <c r="C369" s="58">
        <v>2025</v>
      </c>
      <c r="D369" s="58" t="s">
        <v>46</v>
      </c>
      <c r="E369" s="62"/>
      <c r="F369" s="58" t="str">
        <f>INDEX(functionInfo[Service Lead],MATCH(FTE_stdWD[[#This Row],[Service Description]],functionInfo[Service Description For Invoicing &amp; SLA],0))</f>
        <v>Coco Fan</v>
      </c>
      <c r="G369" s="58" t="str">
        <f>FTE_stdWD[[#This Row],[Service Description]]&amp;FTE_stdWD[[#This Row],[Country]]&amp;FTE_stdWD[[#This Row],[Year]]&amp;FTE_stdWD[[#This Row],[Month]]</f>
        <v>Air Freight - Network Product PricingMNL2025August</v>
      </c>
      <c r="H369" s="58" t="str">
        <f>INDEX(functionInfo[Daily Dashboard Set-up],MATCH(FTE_stdWD[[#This Row],[Service Description]],functionInfo[Service Description For Invoicing &amp; SLA],0))</f>
        <v>Yes</v>
      </c>
      <c r="I369" s="59" t="str">
        <f>INDEX(functionInfo[Monthly Dashboard],MATCH(FTE_stdWD[[#This Row],[Service Description]],functionInfo[Service Description For Invoicing &amp; SLA],0))</f>
        <v>Yes</v>
      </c>
    </row>
    <row r="370" spans="1:9" hidden="1" x14ac:dyDescent="0.25">
      <c r="A370" s="60" t="s">
        <v>108</v>
      </c>
      <c r="B370" s="58" t="s">
        <v>47</v>
      </c>
      <c r="C370" s="58">
        <v>2025</v>
      </c>
      <c r="D370" s="58" t="s">
        <v>33</v>
      </c>
      <c r="E370" s="62"/>
      <c r="F370" s="58" t="str">
        <f>INDEX(functionInfo[Service Lead],MATCH(FTE_stdWD[[#This Row],[Service Description]],functionInfo[Service Description For Invoicing &amp; SLA],0))</f>
        <v>Coco Fan</v>
      </c>
      <c r="G370" s="58" t="str">
        <f>FTE_stdWD[[#This Row],[Service Description]]&amp;FTE_stdWD[[#This Row],[Country]]&amp;FTE_stdWD[[#This Row],[Year]]&amp;FTE_stdWD[[#This Row],[Month]]</f>
        <v>Air Freight - Network Product PricingMNL2025September</v>
      </c>
      <c r="H370" s="58" t="str">
        <f>INDEX(functionInfo[Daily Dashboard Set-up],MATCH(FTE_stdWD[[#This Row],[Service Description]],functionInfo[Service Description For Invoicing &amp; SLA],0))</f>
        <v>Yes</v>
      </c>
      <c r="I370" s="59" t="str">
        <f>INDEX(functionInfo[Monthly Dashboard],MATCH(FTE_stdWD[[#This Row],[Service Description]],functionInfo[Service Description For Invoicing &amp; SLA],0))</f>
        <v>Yes</v>
      </c>
    </row>
    <row r="371" spans="1:9" hidden="1" x14ac:dyDescent="0.25">
      <c r="A371" s="60" t="s">
        <v>108</v>
      </c>
      <c r="B371" s="58" t="s">
        <v>47</v>
      </c>
      <c r="C371" s="58">
        <v>2025</v>
      </c>
      <c r="D371" s="58" t="s">
        <v>25</v>
      </c>
      <c r="E371" s="62"/>
      <c r="F371" s="58" t="str">
        <f>INDEX(functionInfo[Service Lead],MATCH(FTE_stdWD[[#This Row],[Service Description]],functionInfo[Service Description For Invoicing &amp; SLA],0))</f>
        <v>Coco Fan</v>
      </c>
      <c r="G371" s="58" t="str">
        <f>FTE_stdWD[[#This Row],[Service Description]]&amp;FTE_stdWD[[#This Row],[Country]]&amp;FTE_stdWD[[#This Row],[Year]]&amp;FTE_stdWD[[#This Row],[Month]]</f>
        <v>Air Freight - Network Product PricingMNL2025October</v>
      </c>
      <c r="H371" s="58" t="str">
        <f>INDEX(functionInfo[Daily Dashboard Set-up],MATCH(FTE_stdWD[[#This Row],[Service Description]],functionInfo[Service Description For Invoicing &amp; SLA],0))</f>
        <v>Yes</v>
      </c>
      <c r="I371" s="59" t="str">
        <f>INDEX(functionInfo[Monthly Dashboard],MATCH(FTE_stdWD[[#This Row],[Service Description]],functionInfo[Service Description For Invoicing &amp; SLA],0))</f>
        <v>Yes</v>
      </c>
    </row>
    <row r="372" spans="1:9" hidden="1" x14ac:dyDescent="0.25">
      <c r="A372" s="60" t="s">
        <v>108</v>
      </c>
      <c r="B372" s="58" t="s">
        <v>47</v>
      </c>
      <c r="C372" s="58">
        <v>2025</v>
      </c>
      <c r="D372" s="58" t="s">
        <v>26</v>
      </c>
      <c r="E372" s="62"/>
      <c r="F372" s="58" t="str">
        <f>INDEX(functionInfo[Service Lead],MATCH(FTE_stdWD[[#This Row],[Service Description]],functionInfo[Service Description For Invoicing &amp; SLA],0))</f>
        <v>Coco Fan</v>
      </c>
      <c r="G372" s="58" t="str">
        <f>FTE_stdWD[[#This Row],[Service Description]]&amp;FTE_stdWD[[#This Row],[Country]]&amp;FTE_stdWD[[#This Row],[Year]]&amp;FTE_stdWD[[#This Row],[Month]]</f>
        <v>Air Freight - Network Product PricingMNL2025November</v>
      </c>
      <c r="H372" s="58" t="str">
        <f>INDEX(functionInfo[Daily Dashboard Set-up],MATCH(FTE_stdWD[[#This Row],[Service Description]],functionInfo[Service Description For Invoicing &amp; SLA],0))</f>
        <v>Yes</v>
      </c>
      <c r="I372" s="59" t="str">
        <f>INDEX(functionInfo[Monthly Dashboard],MATCH(FTE_stdWD[[#This Row],[Service Description]],functionInfo[Service Description For Invoicing &amp; SLA],0))</f>
        <v>Yes</v>
      </c>
    </row>
    <row r="373" spans="1:9" hidden="1" x14ac:dyDescent="0.25">
      <c r="A373" s="60" t="s">
        <v>108</v>
      </c>
      <c r="B373" s="58" t="s">
        <v>47</v>
      </c>
      <c r="C373" s="58">
        <v>2025</v>
      </c>
      <c r="D373" s="58" t="s">
        <v>27</v>
      </c>
      <c r="E373" s="62"/>
      <c r="F373" s="58" t="str">
        <f>INDEX(functionInfo[Service Lead],MATCH(FTE_stdWD[[#This Row],[Service Description]],functionInfo[Service Description For Invoicing &amp; SLA],0))</f>
        <v>Coco Fan</v>
      </c>
      <c r="G373" s="58" t="str">
        <f>FTE_stdWD[[#This Row],[Service Description]]&amp;FTE_stdWD[[#This Row],[Country]]&amp;FTE_stdWD[[#This Row],[Year]]&amp;FTE_stdWD[[#This Row],[Month]]</f>
        <v>Air Freight - Network Product PricingMNL2025December</v>
      </c>
      <c r="H373" s="58" t="str">
        <f>INDEX(functionInfo[Daily Dashboard Set-up],MATCH(FTE_stdWD[[#This Row],[Service Description]],functionInfo[Service Description For Invoicing &amp; SLA],0))</f>
        <v>Yes</v>
      </c>
      <c r="I373" s="59" t="str">
        <f>INDEX(functionInfo[Monthly Dashboard],MATCH(FTE_stdWD[[#This Row],[Service Description]],functionInfo[Service Description For Invoicing &amp; SLA],0))</f>
        <v>Yes</v>
      </c>
    </row>
    <row r="374" spans="1:9" ht="30" hidden="1" x14ac:dyDescent="0.25">
      <c r="A374" s="60" t="s">
        <v>342</v>
      </c>
      <c r="B374" s="61" t="s">
        <v>45</v>
      </c>
      <c r="C374" s="61">
        <v>2025</v>
      </c>
      <c r="D374" s="61" t="s">
        <v>14</v>
      </c>
      <c r="E374" s="63"/>
      <c r="F374" s="167" t="str">
        <f>INDEX(functionInfo[Service Lead],MATCH(FTE_stdWD[[#This Row],[Service Description]],functionInfo[Service Description For Invoicing &amp; SLA],0))</f>
        <v>Sasha Yan</v>
      </c>
      <c r="G374" s="167" t="str">
        <f>FTE_stdWD[[#This Row],[Service Description]]&amp;FTE_stdWD[[#This Row],[Country]]&amp;FTE_stdWD[[#This Row],[Year]]&amp;FTE_stdWD[[#This Row],[Month]]</f>
        <v>Air/Sea Freight - Vendor Invoice AuditingWUH2025January</v>
      </c>
      <c r="H374" s="167" t="str">
        <f>INDEX(functionInfo[Daily Dashboard Set-up],MATCH(FTE_stdWD[[#This Row],[Service Description]],functionInfo[Service Description For Invoicing &amp; SLA],0))</f>
        <v>Yes</v>
      </c>
      <c r="I374" s="64" t="str">
        <f>INDEX(functionInfo[Monthly Dashboard],MATCH(FTE_stdWD[[#This Row],[Service Description]],functionInfo[Service Description For Invoicing &amp; SLA],0))</f>
        <v>Yes</v>
      </c>
    </row>
    <row r="375" spans="1:9" ht="30" hidden="1" x14ac:dyDescent="0.25">
      <c r="A375" s="60" t="s">
        <v>342</v>
      </c>
      <c r="B375" s="58" t="s">
        <v>45</v>
      </c>
      <c r="C375" s="58">
        <v>2025</v>
      </c>
      <c r="D375" s="58" t="s">
        <v>17</v>
      </c>
      <c r="E375" s="62"/>
      <c r="F375" s="166" t="str">
        <f>INDEX(functionInfo[Service Lead],MATCH(FTE_stdWD[[#This Row],[Service Description]],functionInfo[Service Description For Invoicing &amp; SLA],0))</f>
        <v>Sasha Yan</v>
      </c>
      <c r="G375" s="166" t="str">
        <f>FTE_stdWD[[#This Row],[Service Description]]&amp;FTE_stdWD[[#This Row],[Country]]&amp;FTE_stdWD[[#This Row],[Year]]&amp;FTE_stdWD[[#This Row],[Month]]</f>
        <v>Air/Sea Freight - Vendor Invoice AuditingWUH2025February</v>
      </c>
      <c r="H375" s="166" t="str">
        <f>INDEX(functionInfo[Daily Dashboard Set-up],MATCH(FTE_stdWD[[#This Row],[Service Description]],functionInfo[Service Description For Invoicing &amp; SLA],0))</f>
        <v>Yes</v>
      </c>
      <c r="I375" s="59" t="str">
        <f>INDEX(functionInfo[Monthly Dashboard],MATCH(FTE_stdWD[[#This Row],[Service Description]],functionInfo[Service Description For Invoicing &amp; SLA],0))</f>
        <v>Yes</v>
      </c>
    </row>
    <row r="376" spans="1:9" ht="30" hidden="1" x14ac:dyDescent="0.25">
      <c r="A376" s="60" t="s">
        <v>342</v>
      </c>
      <c r="B376" s="58" t="s">
        <v>45</v>
      </c>
      <c r="C376" s="58">
        <v>2025</v>
      </c>
      <c r="D376" s="58" t="s">
        <v>18</v>
      </c>
      <c r="E376" s="62"/>
      <c r="F376" s="166" t="str">
        <f>INDEX(functionInfo[Service Lead],MATCH(FTE_stdWD[[#This Row],[Service Description]],functionInfo[Service Description For Invoicing &amp; SLA],0))</f>
        <v>Sasha Yan</v>
      </c>
      <c r="G376" s="166" t="str">
        <f>FTE_stdWD[[#This Row],[Service Description]]&amp;FTE_stdWD[[#This Row],[Country]]&amp;FTE_stdWD[[#This Row],[Year]]&amp;FTE_stdWD[[#This Row],[Month]]</f>
        <v>Air/Sea Freight - Vendor Invoice AuditingWUH2025March</v>
      </c>
      <c r="H376" s="166" t="str">
        <f>INDEX(functionInfo[Daily Dashboard Set-up],MATCH(FTE_stdWD[[#This Row],[Service Description]],functionInfo[Service Description For Invoicing &amp; SLA],0))</f>
        <v>Yes</v>
      </c>
      <c r="I376" s="59" t="str">
        <f>INDEX(functionInfo[Monthly Dashboard],MATCH(FTE_stdWD[[#This Row],[Service Description]],functionInfo[Service Description For Invoicing &amp; SLA],0))</f>
        <v>Yes</v>
      </c>
    </row>
    <row r="377" spans="1:9" ht="30" hidden="1" x14ac:dyDescent="0.25">
      <c r="A377" s="60" t="s">
        <v>342</v>
      </c>
      <c r="B377" s="58" t="s">
        <v>45</v>
      </c>
      <c r="C377" s="58">
        <v>2025</v>
      </c>
      <c r="D377" s="58" t="s">
        <v>19</v>
      </c>
      <c r="E377" s="62"/>
      <c r="F377" s="166" t="str">
        <f>INDEX(functionInfo[Service Lead],MATCH(FTE_stdWD[[#This Row],[Service Description]],functionInfo[Service Description For Invoicing &amp; SLA],0))</f>
        <v>Sasha Yan</v>
      </c>
      <c r="G377" s="166" t="str">
        <f>FTE_stdWD[[#This Row],[Service Description]]&amp;FTE_stdWD[[#This Row],[Country]]&amp;FTE_stdWD[[#This Row],[Year]]&amp;FTE_stdWD[[#This Row],[Month]]</f>
        <v>Air/Sea Freight - Vendor Invoice AuditingWUH2025April</v>
      </c>
      <c r="H377" s="166" t="str">
        <f>INDEX(functionInfo[Daily Dashboard Set-up],MATCH(FTE_stdWD[[#This Row],[Service Description]],functionInfo[Service Description For Invoicing &amp; SLA],0))</f>
        <v>Yes</v>
      </c>
      <c r="I377" s="59" t="str">
        <f>INDEX(functionInfo[Monthly Dashboard],MATCH(FTE_stdWD[[#This Row],[Service Description]],functionInfo[Service Description For Invoicing &amp; SLA],0))</f>
        <v>Yes</v>
      </c>
    </row>
    <row r="378" spans="1:9" ht="30" hidden="1" x14ac:dyDescent="0.25">
      <c r="A378" s="60" t="s">
        <v>342</v>
      </c>
      <c r="B378" s="58" t="s">
        <v>45</v>
      </c>
      <c r="C378" s="58">
        <v>2025</v>
      </c>
      <c r="D378" s="58" t="s">
        <v>20</v>
      </c>
      <c r="E378" s="62"/>
      <c r="F378" s="166" t="str">
        <f>INDEX(functionInfo[Service Lead],MATCH(FTE_stdWD[[#This Row],[Service Description]],functionInfo[Service Description For Invoicing &amp; SLA],0))</f>
        <v>Sasha Yan</v>
      </c>
      <c r="G378" s="166" t="str">
        <f>FTE_stdWD[[#This Row],[Service Description]]&amp;FTE_stdWD[[#This Row],[Country]]&amp;FTE_stdWD[[#This Row],[Year]]&amp;FTE_stdWD[[#This Row],[Month]]</f>
        <v>Air/Sea Freight - Vendor Invoice AuditingWUH2025May</v>
      </c>
      <c r="H378" s="166" t="str">
        <f>INDEX(functionInfo[Daily Dashboard Set-up],MATCH(FTE_stdWD[[#This Row],[Service Description]],functionInfo[Service Description For Invoicing &amp; SLA],0))</f>
        <v>Yes</v>
      </c>
      <c r="I378" s="59" t="str">
        <f>INDEX(functionInfo[Monthly Dashboard],MATCH(FTE_stdWD[[#This Row],[Service Description]],functionInfo[Service Description For Invoicing &amp; SLA],0))</f>
        <v>Yes</v>
      </c>
    </row>
    <row r="379" spans="1:9" ht="30" hidden="1" x14ac:dyDescent="0.25">
      <c r="A379" s="60" t="s">
        <v>342</v>
      </c>
      <c r="B379" s="58" t="s">
        <v>45</v>
      </c>
      <c r="C379" s="58">
        <v>2025</v>
      </c>
      <c r="D379" s="58" t="s">
        <v>21</v>
      </c>
      <c r="E379" s="62"/>
      <c r="F379" s="166" t="str">
        <f>INDEX(functionInfo[Service Lead],MATCH(FTE_stdWD[[#This Row],[Service Description]],functionInfo[Service Description For Invoicing &amp; SLA],0))</f>
        <v>Sasha Yan</v>
      </c>
      <c r="G379" s="166" t="str">
        <f>FTE_stdWD[[#This Row],[Service Description]]&amp;FTE_stdWD[[#This Row],[Country]]&amp;FTE_stdWD[[#This Row],[Year]]&amp;FTE_stdWD[[#This Row],[Month]]</f>
        <v>Air/Sea Freight - Vendor Invoice AuditingWUH2025June</v>
      </c>
      <c r="H379" s="166" t="str">
        <f>INDEX(functionInfo[Daily Dashboard Set-up],MATCH(FTE_stdWD[[#This Row],[Service Description]],functionInfo[Service Description For Invoicing &amp; SLA],0))</f>
        <v>Yes</v>
      </c>
      <c r="I379" s="59" t="str">
        <f>INDEX(functionInfo[Monthly Dashboard],MATCH(FTE_stdWD[[#This Row],[Service Description]],functionInfo[Service Description For Invoicing &amp; SLA],0))</f>
        <v>Yes</v>
      </c>
    </row>
    <row r="380" spans="1:9" ht="30" hidden="1" x14ac:dyDescent="0.25">
      <c r="A380" s="60" t="s">
        <v>342</v>
      </c>
      <c r="B380" s="58" t="s">
        <v>45</v>
      </c>
      <c r="C380" s="58">
        <v>2025</v>
      </c>
      <c r="D380" s="58" t="s">
        <v>22</v>
      </c>
      <c r="E380" s="62"/>
      <c r="F380" s="166" t="str">
        <f>INDEX(functionInfo[Service Lead],MATCH(FTE_stdWD[[#This Row],[Service Description]],functionInfo[Service Description For Invoicing &amp; SLA],0))</f>
        <v>Sasha Yan</v>
      </c>
      <c r="G380" s="166" t="str">
        <f>FTE_stdWD[[#This Row],[Service Description]]&amp;FTE_stdWD[[#This Row],[Country]]&amp;FTE_stdWD[[#This Row],[Year]]&amp;FTE_stdWD[[#This Row],[Month]]</f>
        <v>Air/Sea Freight - Vendor Invoice AuditingWUH2025July</v>
      </c>
      <c r="H380" s="166" t="str">
        <f>INDEX(functionInfo[Daily Dashboard Set-up],MATCH(FTE_stdWD[[#This Row],[Service Description]],functionInfo[Service Description For Invoicing &amp; SLA],0))</f>
        <v>Yes</v>
      </c>
      <c r="I380" s="59" t="str">
        <f>INDEX(functionInfo[Monthly Dashboard],MATCH(FTE_stdWD[[#This Row],[Service Description]],functionInfo[Service Description For Invoicing &amp; SLA],0))</f>
        <v>Yes</v>
      </c>
    </row>
    <row r="381" spans="1:9" ht="30" hidden="1" x14ac:dyDescent="0.25">
      <c r="A381" s="60" t="s">
        <v>342</v>
      </c>
      <c r="B381" s="58" t="s">
        <v>45</v>
      </c>
      <c r="C381" s="58">
        <v>2025</v>
      </c>
      <c r="D381" s="58" t="s">
        <v>46</v>
      </c>
      <c r="E381" s="62"/>
      <c r="F381" s="166" t="str">
        <f>INDEX(functionInfo[Service Lead],MATCH(FTE_stdWD[[#This Row],[Service Description]],functionInfo[Service Description For Invoicing &amp; SLA],0))</f>
        <v>Sasha Yan</v>
      </c>
      <c r="G381" s="166" t="str">
        <f>FTE_stdWD[[#This Row],[Service Description]]&amp;FTE_stdWD[[#This Row],[Country]]&amp;FTE_stdWD[[#This Row],[Year]]&amp;FTE_stdWD[[#This Row],[Month]]</f>
        <v>Air/Sea Freight - Vendor Invoice AuditingWUH2025August</v>
      </c>
      <c r="H381" s="166" t="str">
        <f>INDEX(functionInfo[Daily Dashboard Set-up],MATCH(FTE_stdWD[[#This Row],[Service Description]],functionInfo[Service Description For Invoicing &amp; SLA],0))</f>
        <v>Yes</v>
      </c>
      <c r="I381" s="59" t="str">
        <f>INDEX(functionInfo[Monthly Dashboard],MATCH(FTE_stdWD[[#This Row],[Service Description]],functionInfo[Service Description For Invoicing &amp; SLA],0))</f>
        <v>Yes</v>
      </c>
    </row>
    <row r="382" spans="1:9" ht="30" hidden="1" x14ac:dyDescent="0.25">
      <c r="A382" s="60" t="s">
        <v>342</v>
      </c>
      <c r="B382" s="58" t="s">
        <v>45</v>
      </c>
      <c r="C382" s="58">
        <v>2025</v>
      </c>
      <c r="D382" s="58" t="s">
        <v>33</v>
      </c>
      <c r="E382" s="62"/>
      <c r="F382" s="166" t="str">
        <f>INDEX(functionInfo[Service Lead],MATCH(FTE_stdWD[[#This Row],[Service Description]],functionInfo[Service Description For Invoicing &amp; SLA],0))</f>
        <v>Sasha Yan</v>
      </c>
      <c r="G382" s="166" t="str">
        <f>FTE_stdWD[[#This Row],[Service Description]]&amp;FTE_stdWD[[#This Row],[Country]]&amp;FTE_stdWD[[#This Row],[Year]]&amp;FTE_stdWD[[#This Row],[Month]]</f>
        <v>Air/Sea Freight - Vendor Invoice AuditingWUH2025September</v>
      </c>
      <c r="H382" s="166" t="str">
        <f>INDEX(functionInfo[Daily Dashboard Set-up],MATCH(FTE_stdWD[[#This Row],[Service Description]],functionInfo[Service Description For Invoicing &amp; SLA],0))</f>
        <v>Yes</v>
      </c>
      <c r="I382" s="59" t="str">
        <f>INDEX(functionInfo[Monthly Dashboard],MATCH(FTE_stdWD[[#This Row],[Service Description]],functionInfo[Service Description For Invoicing &amp; SLA],0))</f>
        <v>Yes</v>
      </c>
    </row>
    <row r="383" spans="1:9" ht="30" hidden="1" x14ac:dyDescent="0.25">
      <c r="A383" s="60" t="s">
        <v>342</v>
      </c>
      <c r="B383" s="58" t="s">
        <v>45</v>
      </c>
      <c r="C383" s="58">
        <v>2025</v>
      </c>
      <c r="D383" s="58" t="s">
        <v>25</v>
      </c>
      <c r="E383" s="62"/>
      <c r="F383" s="166" t="str">
        <f>INDEX(functionInfo[Service Lead],MATCH(FTE_stdWD[[#This Row],[Service Description]],functionInfo[Service Description For Invoicing &amp; SLA],0))</f>
        <v>Sasha Yan</v>
      </c>
      <c r="G383" s="166" t="str">
        <f>FTE_stdWD[[#This Row],[Service Description]]&amp;FTE_stdWD[[#This Row],[Country]]&amp;FTE_stdWD[[#This Row],[Year]]&amp;FTE_stdWD[[#This Row],[Month]]</f>
        <v>Air/Sea Freight - Vendor Invoice AuditingWUH2025October</v>
      </c>
      <c r="H383" s="166" t="str">
        <f>INDEX(functionInfo[Daily Dashboard Set-up],MATCH(FTE_stdWD[[#This Row],[Service Description]],functionInfo[Service Description For Invoicing &amp; SLA],0))</f>
        <v>Yes</v>
      </c>
      <c r="I383" s="59" t="str">
        <f>INDEX(functionInfo[Monthly Dashboard],MATCH(FTE_stdWD[[#This Row],[Service Description]],functionInfo[Service Description For Invoicing &amp; SLA],0))</f>
        <v>Yes</v>
      </c>
    </row>
    <row r="384" spans="1:9" ht="30" hidden="1" x14ac:dyDescent="0.25">
      <c r="A384" s="60" t="s">
        <v>342</v>
      </c>
      <c r="B384" s="58" t="s">
        <v>45</v>
      </c>
      <c r="C384" s="58">
        <v>2025</v>
      </c>
      <c r="D384" s="58" t="s">
        <v>26</v>
      </c>
      <c r="E384" s="62"/>
      <c r="F384" s="166" t="str">
        <f>INDEX(functionInfo[Service Lead],MATCH(FTE_stdWD[[#This Row],[Service Description]],functionInfo[Service Description For Invoicing &amp; SLA],0))</f>
        <v>Sasha Yan</v>
      </c>
      <c r="G384" s="166" t="str">
        <f>FTE_stdWD[[#This Row],[Service Description]]&amp;FTE_stdWD[[#This Row],[Country]]&amp;FTE_stdWD[[#This Row],[Year]]&amp;FTE_stdWD[[#This Row],[Month]]</f>
        <v>Air/Sea Freight - Vendor Invoice AuditingWUH2025November</v>
      </c>
      <c r="H384" s="166" t="str">
        <f>INDEX(functionInfo[Daily Dashboard Set-up],MATCH(FTE_stdWD[[#This Row],[Service Description]],functionInfo[Service Description For Invoicing &amp; SLA],0))</f>
        <v>Yes</v>
      </c>
      <c r="I384" s="59" t="str">
        <f>INDEX(functionInfo[Monthly Dashboard],MATCH(FTE_stdWD[[#This Row],[Service Description]],functionInfo[Service Description For Invoicing &amp; SLA],0))</f>
        <v>Yes</v>
      </c>
    </row>
    <row r="385" spans="1:9" ht="30" hidden="1" x14ac:dyDescent="0.25">
      <c r="A385" s="60" t="s">
        <v>342</v>
      </c>
      <c r="B385" s="58" t="s">
        <v>45</v>
      </c>
      <c r="C385" s="58">
        <v>2025</v>
      </c>
      <c r="D385" s="58" t="s">
        <v>27</v>
      </c>
      <c r="E385" s="62"/>
      <c r="F385" s="166" t="str">
        <f>INDEX(functionInfo[Service Lead],MATCH(FTE_stdWD[[#This Row],[Service Description]],functionInfo[Service Description For Invoicing &amp; SLA],0))</f>
        <v>Sasha Yan</v>
      </c>
      <c r="G385" s="166" t="str">
        <f>FTE_stdWD[[#This Row],[Service Description]]&amp;FTE_stdWD[[#This Row],[Country]]&amp;FTE_stdWD[[#This Row],[Year]]&amp;FTE_stdWD[[#This Row],[Month]]</f>
        <v>Air/Sea Freight - Vendor Invoice AuditingWUH2025December</v>
      </c>
      <c r="H385" s="166" t="str">
        <f>INDEX(functionInfo[Daily Dashboard Set-up],MATCH(FTE_stdWD[[#This Row],[Service Description]],functionInfo[Service Description For Invoicing &amp; SLA],0))</f>
        <v>Yes</v>
      </c>
      <c r="I385" s="59" t="str">
        <f>INDEX(functionInfo[Monthly Dashboard],MATCH(FTE_stdWD[[#This Row],[Service Description]],functionInfo[Service Description For Invoicing &amp; SLA],0))</f>
        <v>Yes</v>
      </c>
    </row>
    <row r="386" spans="1:9" ht="30" hidden="1" x14ac:dyDescent="0.25">
      <c r="A386" s="60" t="s">
        <v>342</v>
      </c>
      <c r="B386" s="58" t="s">
        <v>47</v>
      </c>
      <c r="C386" s="58">
        <v>2025</v>
      </c>
      <c r="D386" s="58" t="s">
        <v>14</v>
      </c>
      <c r="E386" s="62"/>
      <c r="F386" s="166" t="str">
        <f>INDEX(functionInfo[Service Lead],MATCH(FTE_stdWD[[#This Row],[Service Description]],functionInfo[Service Description For Invoicing &amp; SLA],0))</f>
        <v>Sasha Yan</v>
      </c>
      <c r="G386" s="166" t="str">
        <f>FTE_stdWD[[#This Row],[Service Description]]&amp;FTE_stdWD[[#This Row],[Country]]&amp;FTE_stdWD[[#This Row],[Year]]&amp;FTE_stdWD[[#This Row],[Month]]</f>
        <v>Air/Sea Freight - Vendor Invoice AuditingMNL2025January</v>
      </c>
      <c r="H386" s="166" t="str">
        <f>INDEX(functionInfo[Daily Dashboard Set-up],MATCH(FTE_stdWD[[#This Row],[Service Description]],functionInfo[Service Description For Invoicing &amp; SLA],0))</f>
        <v>Yes</v>
      </c>
      <c r="I386" s="59" t="str">
        <f>INDEX(functionInfo[Monthly Dashboard],MATCH(FTE_stdWD[[#This Row],[Service Description]],functionInfo[Service Description For Invoicing &amp; SLA],0))</f>
        <v>Yes</v>
      </c>
    </row>
    <row r="387" spans="1:9" ht="30" hidden="1" x14ac:dyDescent="0.25">
      <c r="A387" s="60" t="s">
        <v>342</v>
      </c>
      <c r="B387" s="58" t="s">
        <v>47</v>
      </c>
      <c r="C387" s="58">
        <v>2025</v>
      </c>
      <c r="D387" s="58" t="s">
        <v>17</v>
      </c>
      <c r="E387" s="62"/>
      <c r="F387" s="166" t="str">
        <f>INDEX(functionInfo[Service Lead],MATCH(FTE_stdWD[[#This Row],[Service Description]],functionInfo[Service Description For Invoicing &amp; SLA],0))</f>
        <v>Sasha Yan</v>
      </c>
      <c r="G387" s="166" t="str">
        <f>FTE_stdWD[[#This Row],[Service Description]]&amp;FTE_stdWD[[#This Row],[Country]]&amp;FTE_stdWD[[#This Row],[Year]]&amp;FTE_stdWD[[#This Row],[Month]]</f>
        <v>Air/Sea Freight - Vendor Invoice AuditingMNL2025February</v>
      </c>
      <c r="H387" s="166" t="str">
        <f>INDEX(functionInfo[Daily Dashboard Set-up],MATCH(FTE_stdWD[[#This Row],[Service Description]],functionInfo[Service Description For Invoicing &amp; SLA],0))</f>
        <v>Yes</v>
      </c>
      <c r="I387" s="59" t="str">
        <f>INDEX(functionInfo[Monthly Dashboard],MATCH(FTE_stdWD[[#This Row],[Service Description]],functionInfo[Service Description For Invoicing &amp; SLA],0))</f>
        <v>Yes</v>
      </c>
    </row>
    <row r="388" spans="1:9" ht="30" hidden="1" x14ac:dyDescent="0.25">
      <c r="A388" s="60" t="s">
        <v>342</v>
      </c>
      <c r="B388" s="58" t="s">
        <v>47</v>
      </c>
      <c r="C388" s="58">
        <v>2025</v>
      </c>
      <c r="D388" s="58" t="s">
        <v>18</v>
      </c>
      <c r="E388" s="62"/>
      <c r="F388" s="166" t="str">
        <f>INDEX(functionInfo[Service Lead],MATCH(FTE_stdWD[[#This Row],[Service Description]],functionInfo[Service Description For Invoicing &amp; SLA],0))</f>
        <v>Sasha Yan</v>
      </c>
      <c r="G388" s="166" t="str">
        <f>FTE_stdWD[[#This Row],[Service Description]]&amp;FTE_stdWD[[#This Row],[Country]]&amp;FTE_stdWD[[#This Row],[Year]]&amp;FTE_stdWD[[#This Row],[Month]]</f>
        <v>Air/Sea Freight - Vendor Invoice AuditingMNL2025March</v>
      </c>
      <c r="H388" s="166" t="str">
        <f>INDEX(functionInfo[Daily Dashboard Set-up],MATCH(FTE_stdWD[[#This Row],[Service Description]],functionInfo[Service Description For Invoicing &amp; SLA],0))</f>
        <v>Yes</v>
      </c>
      <c r="I388" s="59" t="str">
        <f>INDEX(functionInfo[Monthly Dashboard],MATCH(FTE_stdWD[[#This Row],[Service Description]],functionInfo[Service Description For Invoicing &amp; SLA],0))</f>
        <v>Yes</v>
      </c>
    </row>
    <row r="389" spans="1:9" ht="30" hidden="1" x14ac:dyDescent="0.25">
      <c r="A389" s="60" t="s">
        <v>342</v>
      </c>
      <c r="B389" s="58" t="s">
        <v>47</v>
      </c>
      <c r="C389" s="58">
        <v>2025</v>
      </c>
      <c r="D389" s="58" t="s">
        <v>19</v>
      </c>
      <c r="E389" s="62"/>
      <c r="F389" s="166" t="str">
        <f>INDEX(functionInfo[Service Lead],MATCH(FTE_stdWD[[#This Row],[Service Description]],functionInfo[Service Description For Invoicing &amp; SLA],0))</f>
        <v>Sasha Yan</v>
      </c>
      <c r="G389" s="166" t="str">
        <f>FTE_stdWD[[#This Row],[Service Description]]&amp;FTE_stdWD[[#This Row],[Country]]&amp;FTE_stdWD[[#This Row],[Year]]&amp;FTE_stdWD[[#This Row],[Month]]</f>
        <v>Air/Sea Freight - Vendor Invoice AuditingMNL2025April</v>
      </c>
      <c r="H389" s="166" t="str">
        <f>INDEX(functionInfo[Daily Dashboard Set-up],MATCH(FTE_stdWD[[#This Row],[Service Description]],functionInfo[Service Description For Invoicing &amp; SLA],0))</f>
        <v>Yes</v>
      </c>
      <c r="I389" s="59" t="str">
        <f>INDEX(functionInfo[Monthly Dashboard],MATCH(FTE_stdWD[[#This Row],[Service Description]],functionInfo[Service Description For Invoicing &amp; SLA],0))</f>
        <v>Yes</v>
      </c>
    </row>
    <row r="390" spans="1:9" ht="30" hidden="1" x14ac:dyDescent="0.25">
      <c r="A390" s="60" t="s">
        <v>342</v>
      </c>
      <c r="B390" s="58" t="s">
        <v>47</v>
      </c>
      <c r="C390" s="58">
        <v>2025</v>
      </c>
      <c r="D390" s="58" t="s">
        <v>20</v>
      </c>
      <c r="E390" s="62"/>
      <c r="F390" s="166" t="str">
        <f>INDEX(functionInfo[Service Lead],MATCH(FTE_stdWD[[#This Row],[Service Description]],functionInfo[Service Description For Invoicing &amp; SLA],0))</f>
        <v>Sasha Yan</v>
      </c>
      <c r="G390" s="166" t="str">
        <f>FTE_stdWD[[#This Row],[Service Description]]&amp;FTE_stdWD[[#This Row],[Country]]&amp;FTE_stdWD[[#This Row],[Year]]&amp;FTE_stdWD[[#This Row],[Month]]</f>
        <v>Air/Sea Freight - Vendor Invoice AuditingMNL2025May</v>
      </c>
      <c r="H390" s="166" t="str">
        <f>INDEX(functionInfo[Daily Dashboard Set-up],MATCH(FTE_stdWD[[#This Row],[Service Description]],functionInfo[Service Description For Invoicing &amp; SLA],0))</f>
        <v>Yes</v>
      </c>
      <c r="I390" s="59" t="str">
        <f>INDEX(functionInfo[Monthly Dashboard],MATCH(FTE_stdWD[[#This Row],[Service Description]],functionInfo[Service Description For Invoicing &amp; SLA],0))</f>
        <v>Yes</v>
      </c>
    </row>
    <row r="391" spans="1:9" ht="30" hidden="1" x14ac:dyDescent="0.25">
      <c r="A391" s="60" t="s">
        <v>342</v>
      </c>
      <c r="B391" s="58" t="s">
        <v>47</v>
      </c>
      <c r="C391" s="58">
        <v>2025</v>
      </c>
      <c r="D391" s="58" t="s">
        <v>21</v>
      </c>
      <c r="E391" s="62"/>
      <c r="F391" s="166" t="str">
        <f>INDEX(functionInfo[Service Lead],MATCH(FTE_stdWD[[#This Row],[Service Description]],functionInfo[Service Description For Invoicing &amp; SLA],0))</f>
        <v>Sasha Yan</v>
      </c>
      <c r="G391" s="166" t="str">
        <f>FTE_stdWD[[#This Row],[Service Description]]&amp;FTE_stdWD[[#This Row],[Country]]&amp;FTE_stdWD[[#This Row],[Year]]&amp;FTE_stdWD[[#This Row],[Month]]</f>
        <v>Air/Sea Freight - Vendor Invoice AuditingMNL2025June</v>
      </c>
      <c r="H391" s="166" t="str">
        <f>INDEX(functionInfo[Daily Dashboard Set-up],MATCH(FTE_stdWD[[#This Row],[Service Description]],functionInfo[Service Description For Invoicing &amp; SLA],0))</f>
        <v>Yes</v>
      </c>
      <c r="I391" s="59" t="str">
        <f>INDEX(functionInfo[Monthly Dashboard],MATCH(FTE_stdWD[[#This Row],[Service Description]],functionInfo[Service Description For Invoicing &amp; SLA],0))</f>
        <v>Yes</v>
      </c>
    </row>
    <row r="392" spans="1:9" ht="30" hidden="1" x14ac:dyDescent="0.25">
      <c r="A392" s="60" t="s">
        <v>342</v>
      </c>
      <c r="B392" s="58" t="s">
        <v>47</v>
      </c>
      <c r="C392" s="58">
        <v>2025</v>
      </c>
      <c r="D392" s="58" t="s">
        <v>22</v>
      </c>
      <c r="E392" s="62"/>
      <c r="F392" s="166" t="str">
        <f>INDEX(functionInfo[Service Lead],MATCH(FTE_stdWD[[#This Row],[Service Description]],functionInfo[Service Description For Invoicing &amp; SLA],0))</f>
        <v>Sasha Yan</v>
      </c>
      <c r="G392" s="166" t="str">
        <f>FTE_stdWD[[#This Row],[Service Description]]&amp;FTE_stdWD[[#This Row],[Country]]&amp;FTE_stdWD[[#This Row],[Year]]&amp;FTE_stdWD[[#This Row],[Month]]</f>
        <v>Air/Sea Freight - Vendor Invoice AuditingMNL2025July</v>
      </c>
      <c r="H392" s="166" t="str">
        <f>INDEX(functionInfo[Daily Dashboard Set-up],MATCH(FTE_stdWD[[#This Row],[Service Description]],functionInfo[Service Description For Invoicing &amp; SLA],0))</f>
        <v>Yes</v>
      </c>
      <c r="I392" s="59" t="str">
        <f>INDEX(functionInfo[Monthly Dashboard],MATCH(FTE_stdWD[[#This Row],[Service Description]],functionInfo[Service Description For Invoicing &amp; SLA],0))</f>
        <v>Yes</v>
      </c>
    </row>
    <row r="393" spans="1:9" ht="30" hidden="1" x14ac:dyDescent="0.25">
      <c r="A393" s="60" t="s">
        <v>342</v>
      </c>
      <c r="B393" s="58" t="s">
        <v>47</v>
      </c>
      <c r="C393" s="58">
        <v>2025</v>
      </c>
      <c r="D393" s="58" t="s">
        <v>46</v>
      </c>
      <c r="E393" s="62"/>
      <c r="F393" s="166" t="str">
        <f>INDEX(functionInfo[Service Lead],MATCH(FTE_stdWD[[#This Row],[Service Description]],functionInfo[Service Description For Invoicing &amp; SLA],0))</f>
        <v>Sasha Yan</v>
      </c>
      <c r="G393" s="166" t="str">
        <f>FTE_stdWD[[#This Row],[Service Description]]&amp;FTE_stdWD[[#This Row],[Country]]&amp;FTE_stdWD[[#This Row],[Year]]&amp;FTE_stdWD[[#This Row],[Month]]</f>
        <v>Air/Sea Freight - Vendor Invoice AuditingMNL2025August</v>
      </c>
      <c r="H393" s="166" t="str">
        <f>INDEX(functionInfo[Daily Dashboard Set-up],MATCH(FTE_stdWD[[#This Row],[Service Description]],functionInfo[Service Description For Invoicing &amp; SLA],0))</f>
        <v>Yes</v>
      </c>
      <c r="I393" s="59" t="str">
        <f>INDEX(functionInfo[Monthly Dashboard],MATCH(FTE_stdWD[[#This Row],[Service Description]],functionInfo[Service Description For Invoicing &amp; SLA],0))</f>
        <v>Yes</v>
      </c>
    </row>
    <row r="394" spans="1:9" ht="30" hidden="1" x14ac:dyDescent="0.25">
      <c r="A394" s="60" t="s">
        <v>342</v>
      </c>
      <c r="B394" s="58" t="s">
        <v>47</v>
      </c>
      <c r="C394" s="58">
        <v>2025</v>
      </c>
      <c r="D394" s="58" t="s">
        <v>33</v>
      </c>
      <c r="E394" s="62"/>
      <c r="F394" s="166" t="str">
        <f>INDEX(functionInfo[Service Lead],MATCH(FTE_stdWD[[#This Row],[Service Description]],functionInfo[Service Description For Invoicing &amp; SLA],0))</f>
        <v>Sasha Yan</v>
      </c>
      <c r="G394" s="166" t="str">
        <f>FTE_stdWD[[#This Row],[Service Description]]&amp;FTE_stdWD[[#This Row],[Country]]&amp;FTE_stdWD[[#This Row],[Year]]&amp;FTE_stdWD[[#This Row],[Month]]</f>
        <v>Air/Sea Freight - Vendor Invoice AuditingMNL2025September</v>
      </c>
      <c r="H394" s="166" t="str">
        <f>INDEX(functionInfo[Daily Dashboard Set-up],MATCH(FTE_stdWD[[#This Row],[Service Description]],functionInfo[Service Description For Invoicing &amp; SLA],0))</f>
        <v>Yes</v>
      </c>
      <c r="I394" s="59" t="str">
        <f>INDEX(functionInfo[Monthly Dashboard],MATCH(FTE_stdWD[[#This Row],[Service Description]],functionInfo[Service Description For Invoicing &amp; SLA],0))</f>
        <v>Yes</v>
      </c>
    </row>
    <row r="395" spans="1:9" ht="30" hidden="1" x14ac:dyDescent="0.25">
      <c r="A395" s="60" t="s">
        <v>342</v>
      </c>
      <c r="B395" s="58" t="s">
        <v>47</v>
      </c>
      <c r="C395" s="58">
        <v>2025</v>
      </c>
      <c r="D395" s="58" t="s">
        <v>25</v>
      </c>
      <c r="E395" s="62"/>
      <c r="F395" s="166" t="str">
        <f>INDEX(functionInfo[Service Lead],MATCH(FTE_stdWD[[#This Row],[Service Description]],functionInfo[Service Description For Invoicing &amp; SLA],0))</f>
        <v>Sasha Yan</v>
      </c>
      <c r="G395" s="166" t="str">
        <f>FTE_stdWD[[#This Row],[Service Description]]&amp;FTE_stdWD[[#This Row],[Country]]&amp;FTE_stdWD[[#This Row],[Year]]&amp;FTE_stdWD[[#This Row],[Month]]</f>
        <v>Air/Sea Freight - Vendor Invoice AuditingMNL2025October</v>
      </c>
      <c r="H395" s="166" t="str">
        <f>INDEX(functionInfo[Daily Dashboard Set-up],MATCH(FTE_stdWD[[#This Row],[Service Description]],functionInfo[Service Description For Invoicing &amp; SLA],0))</f>
        <v>Yes</v>
      </c>
      <c r="I395" s="59" t="str">
        <f>INDEX(functionInfo[Monthly Dashboard],MATCH(FTE_stdWD[[#This Row],[Service Description]],functionInfo[Service Description For Invoicing &amp; SLA],0))</f>
        <v>Yes</v>
      </c>
    </row>
    <row r="396" spans="1:9" ht="30" hidden="1" x14ac:dyDescent="0.25">
      <c r="A396" s="60" t="s">
        <v>342</v>
      </c>
      <c r="B396" s="58" t="s">
        <v>47</v>
      </c>
      <c r="C396" s="58">
        <v>2025</v>
      </c>
      <c r="D396" s="58" t="s">
        <v>26</v>
      </c>
      <c r="E396" s="62"/>
      <c r="F396" s="166" t="str">
        <f>INDEX(functionInfo[Service Lead],MATCH(FTE_stdWD[[#This Row],[Service Description]],functionInfo[Service Description For Invoicing &amp; SLA],0))</f>
        <v>Sasha Yan</v>
      </c>
      <c r="G396" s="166" t="str">
        <f>FTE_stdWD[[#This Row],[Service Description]]&amp;FTE_stdWD[[#This Row],[Country]]&amp;FTE_stdWD[[#This Row],[Year]]&amp;FTE_stdWD[[#This Row],[Month]]</f>
        <v>Air/Sea Freight - Vendor Invoice AuditingMNL2025November</v>
      </c>
      <c r="H396" s="166" t="str">
        <f>INDEX(functionInfo[Daily Dashboard Set-up],MATCH(FTE_stdWD[[#This Row],[Service Description]],functionInfo[Service Description For Invoicing &amp; SLA],0))</f>
        <v>Yes</v>
      </c>
      <c r="I396" s="59" t="str">
        <f>INDEX(functionInfo[Monthly Dashboard],MATCH(FTE_stdWD[[#This Row],[Service Description]],functionInfo[Service Description For Invoicing &amp; SLA],0))</f>
        <v>Yes</v>
      </c>
    </row>
    <row r="397" spans="1:9" ht="30" hidden="1" x14ac:dyDescent="0.25">
      <c r="A397" s="60" t="s">
        <v>342</v>
      </c>
      <c r="B397" s="58" t="s">
        <v>47</v>
      </c>
      <c r="C397" s="58">
        <v>2025</v>
      </c>
      <c r="D397" s="58" t="s">
        <v>27</v>
      </c>
      <c r="E397" s="62"/>
      <c r="F397" s="166" t="str">
        <f>INDEX(functionInfo[Service Lead],MATCH(FTE_stdWD[[#This Row],[Service Description]],functionInfo[Service Description For Invoicing &amp; SLA],0))</f>
        <v>Sasha Yan</v>
      </c>
      <c r="G397" s="166" t="str">
        <f>FTE_stdWD[[#This Row],[Service Description]]&amp;FTE_stdWD[[#This Row],[Country]]&amp;FTE_stdWD[[#This Row],[Year]]&amp;FTE_stdWD[[#This Row],[Month]]</f>
        <v>Air/Sea Freight - Vendor Invoice AuditingMNL2025December</v>
      </c>
      <c r="H397" s="166" t="str">
        <f>INDEX(functionInfo[Daily Dashboard Set-up],MATCH(FTE_stdWD[[#This Row],[Service Description]],functionInfo[Service Description For Invoicing &amp; SLA],0))</f>
        <v>Yes</v>
      </c>
      <c r="I397" s="59" t="str">
        <f>INDEX(functionInfo[Monthly Dashboard],MATCH(FTE_stdWD[[#This Row],[Service Description]],functionInfo[Service Description For Invoicing &amp; SLA],0))</f>
        <v>Yes</v>
      </c>
    </row>
    <row r="398" spans="1:9" ht="30" hidden="1" x14ac:dyDescent="0.25">
      <c r="A398" s="60" t="s">
        <v>343</v>
      </c>
      <c r="B398" s="61" t="s">
        <v>45</v>
      </c>
      <c r="C398" s="61">
        <v>2025</v>
      </c>
      <c r="D398" s="61" t="s">
        <v>14</v>
      </c>
      <c r="E398" s="63">
        <v>1</v>
      </c>
      <c r="F398" s="167" t="str">
        <f>INDEX(functionInfo[Service Lead],MATCH(FTE_stdWD[[#This Row],[Service Description]],functionInfo[Service Description For Invoicing &amp; SLA],0))</f>
        <v>Sasha Yan</v>
      </c>
      <c r="G398" s="167" t="str">
        <f>FTE_stdWD[[#This Row],[Service Description]]&amp;FTE_stdWD[[#This Row],[Country]]&amp;FTE_stdWD[[#This Row],[Year]]&amp;FTE_stdWD[[#This Row],[Month]]</f>
        <v>Air/Sea Freight - Accounts Payable OperationWUH2025January</v>
      </c>
      <c r="H398" s="167" t="str">
        <f>INDEX(functionInfo[Daily Dashboard Set-up],MATCH(FTE_stdWD[[#This Row],[Service Description]],functionInfo[Service Description For Invoicing &amp; SLA],0))</f>
        <v>Yes</v>
      </c>
      <c r="I398" s="64" t="str">
        <f>INDEX(functionInfo[Monthly Dashboard],MATCH(FTE_stdWD[[#This Row],[Service Description]],functionInfo[Service Description For Invoicing &amp; SLA],0))</f>
        <v>Yes</v>
      </c>
    </row>
    <row r="399" spans="1:9" ht="30" hidden="1" x14ac:dyDescent="0.25">
      <c r="A399" s="60" t="s">
        <v>343</v>
      </c>
      <c r="B399" s="58" t="s">
        <v>45</v>
      </c>
      <c r="C399" s="58">
        <v>2025</v>
      </c>
      <c r="D399" s="58" t="s">
        <v>17</v>
      </c>
      <c r="E399" s="62">
        <v>1</v>
      </c>
      <c r="F399" s="166" t="str">
        <f>INDEX(functionInfo[Service Lead],MATCH(FTE_stdWD[[#This Row],[Service Description]],functionInfo[Service Description For Invoicing &amp; SLA],0))</f>
        <v>Sasha Yan</v>
      </c>
      <c r="G399" s="166" t="str">
        <f>FTE_stdWD[[#This Row],[Service Description]]&amp;FTE_stdWD[[#This Row],[Country]]&amp;FTE_stdWD[[#This Row],[Year]]&amp;FTE_stdWD[[#This Row],[Month]]</f>
        <v>Air/Sea Freight - Accounts Payable OperationWUH2025February</v>
      </c>
      <c r="H399" s="166" t="str">
        <f>INDEX(functionInfo[Daily Dashboard Set-up],MATCH(FTE_stdWD[[#This Row],[Service Description]],functionInfo[Service Description For Invoicing &amp; SLA],0))</f>
        <v>Yes</v>
      </c>
      <c r="I399" s="59" t="str">
        <f>INDEX(functionInfo[Monthly Dashboard],MATCH(FTE_stdWD[[#This Row],[Service Description]],functionInfo[Service Description For Invoicing &amp; SLA],0))</f>
        <v>Yes</v>
      </c>
    </row>
    <row r="400" spans="1:9" ht="30" hidden="1" x14ac:dyDescent="0.25">
      <c r="A400" s="60" t="s">
        <v>343</v>
      </c>
      <c r="B400" s="58" t="s">
        <v>45</v>
      </c>
      <c r="C400" s="58">
        <v>2025</v>
      </c>
      <c r="D400" s="58" t="s">
        <v>18</v>
      </c>
      <c r="E400" s="62">
        <v>1</v>
      </c>
      <c r="F400" s="166" t="str">
        <f>INDEX(functionInfo[Service Lead],MATCH(FTE_stdWD[[#This Row],[Service Description]],functionInfo[Service Description For Invoicing &amp; SLA],0))</f>
        <v>Sasha Yan</v>
      </c>
      <c r="G400" s="166" t="str">
        <f>FTE_stdWD[[#This Row],[Service Description]]&amp;FTE_stdWD[[#This Row],[Country]]&amp;FTE_stdWD[[#This Row],[Year]]&amp;FTE_stdWD[[#This Row],[Month]]</f>
        <v>Air/Sea Freight - Accounts Payable OperationWUH2025March</v>
      </c>
      <c r="H400" s="166" t="str">
        <f>INDEX(functionInfo[Daily Dashboard Set-up],MATCH(FTE_stdWD[[#This Row],[Service Description]],functionInfo[Service Description For Invoicing &amp; SLA],0))</f>
        <v>Yes</v>
      </c>
      <c r="I400" s="59" t="str">
        <f>INDEX(functionInfo[Monthly Dashboard],MATCH(FTE_stdWD[[#This Row],[Service Description]],functionInfo[Service Description For Invoicing &amp; SLA],0))</f>
        <v>Yes</v>
      </c>
    </row>
    <row r="401" spans="1:9" ht="30" hidden="1" x14ac:dyDescent="0.25">
      <c r="A401" s="60" t="s">
        <v>343</v>
      </c>
      <c r="B401" s="58" t="s">
        <v>45</v>
      </c>
      <c r="C401" s="58">
        <v>2025</v>
      </c>
      <c r="D401" s="58" t="s">
        <v>19</v>
      </c>
      <c r="E401" s="62">
        <v>1</v>
      </c>
      <c r="F401" s="166" t="str">
        <f>INDEX(functionInfo[Service Lead],MATCH(FTE_stdWD[[#This Row],[Service Description]],functionInfo[Service Description For Invoicing &amp; SLA],0))</f>
        <v>Sasha Yan</v>
      </c>
      <c r="G401" s="166" t="str">
        <f>FTE_stdWD[[#This Row],[Service Description]]&amp;FTE_stdWD[[#This Row],[Country]]&amp;FTE_stdWD[[#This Row],[Year]]&amp;FTE_stdWD[[#This Row],[Month]]</f>
        <v>Air/Sea Freight - Accounts Payable OperationWUH2025April</v>
      </c>
      <c r="H401" s="166" t="str">
        <f>INDEX(functionInfo[Daily Dashboard Set-up],MATCH(FTE_stdWD[[#This Row],[Service Description]],functionInfo[Service Description For Invoicing &amp; SLA],0))</f>
        <v>Yes</v>
      </c>
      <c r="I401" s="59" t="str">
        <f>INDEX(functionInfo[Monthly Dashboard],MATCH(FTE_stdWD[[#This Row],[Service Description]],functionInfo[Service Description For Invoicing &amp; SLA],0))</f>
        <v>Yes</v>
      </c>
    </row>
    <row r="402" spans="1:9" ht="30" hidden="1" x14ac:dyDescent="0.25">
      <c r="A402" s="60" t="s">
        <v>343</v>
      </c>
      <c r="B402" s="58" t="s">
        <v>45</v>
      </c>
      <c r="C402" s="58">
        <v>2025</v>
      </c>
      <c r="D402" s="58" t="s">
        <v>20</v>
      </c>
      <c r="E402" s="62">
        <v>1</v>
      </c>
      <c r="F402" s="166" t="str">
        <f>INDEX(functionInfo[Service Lead],MATCH(FTE_stdWD[[#This Row],[Service Description]],functionInfo[Service Description For Invoicing &amp; SLA],0))</f>
        <v>Sasha Yan</v>
      </c>
      <c r="G402" s="166" t="str">
        <f>FTE_stdWD[[#This Row],[Service Description]]&amp;FTE_stdWD[[#This Row],[Country]]&amp;FTE_stdWD[[#This Row],[Year]]&amp;FTE_stdWD[[#This Row],[Month]]</f>
        <v>Air/Sea Freight - Accounts Payable OperationWUH2025May</v>
      </c>
      <c r="H402" s="166" t="str">
        <f>INDEX(functionInfo[Daily Dashboard Set-up],MATCH(FTE_stdWD[[#This Row],[Service Description]],functionInfo[Service Description For Invoicing &amp; SLA],0))</f>
        <v>Yes</v>
      </c>
      <c r="I402" s="59" t="str">
        <f>INDEX(functionInfo[Monthly Dashboard],MATCH(FTE_stdWD[[#This Row],[Service Description]],functionInfo[Service Description For Invoicing &amp; SLA],0))</f>
        <v>Yes</v>
      </c>
    </row>
    <row r="403" spans="1:9" ht="30" hidden="1" x14ac:dyDescent="0.25">
      <c r="A403" s="60" t="s">
        <v>343</v>
      </c>
      <c r="B403" s="58" t="s">
        <v>45</v>
      </c>
      <c r="C403" s="58">
        <v>2025</v>
      </c>
      <c r="D403" s="58" t="s">
        <v>21</v>
      </c>
      <c r="E403" s="62">
        <v>1</v>
      </c>
      <c r="F403" s="166" t="str">
        <f>INDEX(functionInfo[Service Lead],MATCH(FTE_stdWD[[#This Row],[Service Description]],functionInfo[Service Description For Invoicing &amp; SLA],0))</f>
        <v>Sasha Yan</v>
      </c>
      <c r="G403" s="166" t="str">
        <f>FTE_stdWD[[#This Row],[Service Description]]&amp;FTE_stdWD[[#This Row],[Country]]&amp;FTE_stdWD[[#This Row],[Year]]&amp;FTE_stdWD[[#This Row],[Month]]</f>
        <v>Air/Sea Freight - Accounts Payable OperationWUH2025June</v>
      </c>
      <c r="H403" s="166" t="str">
        <f>INDEX(functionInfo[Daily Dashboard Set-up],MATCH(FTE_stdWD[[#This Row],[Service Description]],functionInfo[Service Description For Invoicing &amp; SLA],0))</f>
        <v>Yes</v>
      </c>
      <c r="I403" s="59" t="str">
        <f>INDEX(functionInfo[Monthly Dashboard],MATCH(FTE_stdWD[[#This Row],[Service Description]],functionInfo[Service Description For Invoicing &amp; SLA],0))</f>
        <v>Yes</v>
      </c>
    </row>
    <row r="404" spans="1:9" ht="30" hidden="1" x14ac:dyDescent="0.25">
      <c r="A404" s="60" t="s">
        <v>343</v>
      </c>
      <c r="B404" s="58" t="s">
        <v>45</v>
      </c>
      <c r="C404" s="58">
        <v>2025</v>
      </c>
      <c r="D404" s="58" t="s">
        <v>22</v>
      </c>
      <c r="E404" s="62">
        <v>1</v>
      </c>
      <c r="F404" s="166" t="str">
        <f>INDEX(functionInfo[Service Lead],MATCH(FTE_stdWD[[#This Row],[Service Description]],functionInfo[Service Description For Invoicing &amp; SLA],0))</f>
        <v>Sasha Yan</v>
      </c>
      <c r="G404" s="166" t="str">
        <f>FTE_stdWD[[#This Row],[Service Description]]&amp;FTE_stdWD[[#This Row],[Country]]&amp;FTE_stdWD[[#This Row],[Year]]&amp;FTE_stdWD[[#This Row],[Month]]</f>
        <v>Air/Sea Freight - Accounts Payable OperationWUH2025July</v>
      </c>
      <c r="H404" s="166" t="str">
        <f>INDEX(functionInfo[Daily Dashboard Set-up],MATCH(FTE_stdWD[[#This Row],[Service Description]],functionInfo[Service Description For Invoicing &amp; SLA],0))</f>
        <v>Yes</v>
      </c>
      <c r="I404" s="59" t="str">
        <f>INDEX(functionInfo[Monthly Dashboard],MATCH(FTE_stdWD[[#This Row],[Service Description]],functionInfo[Service Description For Invoicing &amp; SLA],0))</f>
        <v>Yes</v>
      </c>
    </row>
    <row r="405" spans="1:9" ht="30" hidden="1" x14ac:dyDescent="0.25">
      <c r="A405" s="60" t="s">
        <v>343</v>
      </c>
      <c r="B405" s="58" t="s">
        <v>45</v>
      </c>
      <c r="C405" s="58">
        <v>2025</v>
      </c>
      <c r="D405" s="58" t="s">
        <v>46</v>
      </c>
      <c r="E405" s="62">
        <v>1</v>
      </c>
      <c r="F405" s="166" t="str">
        <f>INDEX(functionInfo[Service Lead],MATCH(FTE_stdWD[[#This Row],[Service Description]],functionInfo[Service Description For Invoicing &amp; SLA],0))</f>
        <v>Sasha Yan</v>
      </c>
      <c r="G405" s="166" t="str">
        <f>FTE_stdWD[[#This Row],[Service Description]]&amp;FTE_stdWD[[#This Row],[Country]]&amp;FTE_stdWD[[#This Row],[Year]]&amp;FTE_stdWD[[#This Row],[Month]]</f>
        <v>Air/Sea Freight - Accounts Payable OperationWUH2025August</v>
      </c>
      <c r="H405" s="166" t="str">
        <f>INDEX(functionInfo[Daily Dashboard Set-up],MATCH(FTE_stdWD[[#This Row],[Service Description]],functionInfo[Service Description For Invoicing &amp; SLA],0))</f>
        <v>Yes</v>
      </c>
      <c r="I405" s="59" t="str">
        <f>INDEX(functionInfo[Monthly Dashboard],MATCH(FTE_stdWD[[#This Row],[Service Description]],functionInfo[Service Description For Invoicing &amp; SLA],0))</f>
        <v>Yes</v>
      </c>
    </row>
    <row r="406" spans="1:9" ht="30" hidden="1" x14ac:dyDescent="0.25">
      <c r="A406" s="60" t="s">
        <v>343</v>
      </c>
      <c r="B406" s="58" t="s">
        <v>45</v>
      </c>
      <c r="C406" s="58">
        <v>2025</v>
      </c>
      <c r="D406" s="58" t="s">
        <v>33</v>
      </c>
      <c r="E406" s="62">
        <v>1</v>
      </c>
      <c r="F406" s="166" t="str">
        <f>INDEX(functionInfo[Service Lead],MATCH(FTE_stdWD[[#This Row],[Service Description]],functionInfo[Service Description For Invoicing &amp; SLA],0))</f>
        <v>Sasha Yan</v>
      </c>
      <c r="G406" s="166" t="str">
        <f>FTE_stdWD[[#This Row],[Service Description]]&amp;FTE_stdWD[[#This Row],[Country]]&amp;FTE_stdWD[[#This Row],[Year]]&amp;FTE_stdWD[[#This Row],[Month]]</f>
        <v>Air/Sea Freight - Accounts Payable OperationWUH2025September</v>
      </c>
      <c r="H406" s="166" t="str">
        <f>INDEX(functionInfo[Daily Dashboard Set-up],MATCH(FTE_stdWD[[#This Row],[Service Description]],functionInfo[Service Description For Invoicing &amp; SLA],0))</f>
        <v>Yes</v>
      </c>
      <c r="I406" s="59" t="str">
        <f>INDEX(functionInfo[Monthly Dashboard],MATCH(FTE_stdWD[[#This Row],[Service Description]],functionInfo[Service Description For Invoicing &amp; SLA],0))</f>
        <v>Yes</v>
      </c>
    </row>
    <row r="407" spans="1:9" ht="30" hidden="1" x14ac:dyDescent="0.25">
      <c r="A407" s="60" t="s">
        <v>343</v>
      </c>
      <c r="B407" s="58" t="s">
        <v>45</v>
      </c>
      <c r="C407" s="58">
        <v>2025</v>
      </c>
      <c r="D407" s="58" t="s">
        <v>25</v>
      </c>
      <c r="E407" s="62">
        <v>1</v>
      </c>
      <c r="F407" s="166" t="str">
        <f>INDEX(functionInfo[Service Lead],MATCH(FTE_stdWD[[#This Row],[Service Description]],functionInfo[Service Description For Invoicing &amp; SLA],0))</f>
        <v>Sasha Yan</v>
      </c>
      <c r="G407" s="166" t="str">
        <f>FTE_stdWD[[#This Row],[Service Description]]&amp;FTE_stdWD[[#This Row],[Country]]&amp;FTE_stdWD[[#This Row],[Year]]&amp;FTE_stdWD[[#This Row],[Month]]</f>
        <v>Air/Sea Freight - Accounts Payable OperationWUH2025October</v>
      </c>
      <c r="H407" s="166" t="str">
        <f>INDEX(functionInfo[Daily Dashboard Set-up],MATCH(FTE_stdWD[[#This Row],[Service Description]],functionInfo[Service Description For Invoicing &amp; SLA],0))</f>
        <v>Yes</v>
      </c>
      <c r="I407" s="59" t="str">
        <f>INDEX(functionInfo[Monthly Dashboard],MATCH(FTE_stdWD[[#This Row],[Service Description]],functionInfo[Service Description For Invoicing &amp; SLA],0))</f>
        <v>Yes</v>
      </c>
    </row>
    <row r="408" spans="1:9" ht="30" hidden="1" x14ac:dyDescent="0.25">
      <c r="A408" s="60" t="s">
        <v>343</v>
      </c>
      <c r="B408" s="58" t="s">
        <v>45</v>
      </c>
      <c r="C408" s="58">
        <v>2025</v>
      </c>
      <c r="D408" s="58" t="s">
        <v>26</v>
      </c>
      <c r="E408" s="62">
        <v>1</v>
      </c>
      <c r="F408" s="166" t="str">
        <f>INDEX(functionInfo[Service Lead],MATCH(FTE_stdWD[[#This Row],[Service Description]],functionInfo[Service Description For Invoicing &amp; SLA],0))</f>
        <v>Sasha Yan</v>
      </c>
      <c r="G408" s="166" t="str">
        <f>FTE_stdWD[[#This Row],[Service Description]]&amp;FTE_stdWD[[#This Row],[Country]]&amp;FTE_stdWD[[#This Row],[Year]]&amp;FTE_stdWD[[#This Row],[Month]]</f>
        <v>Air/Sea Freight - Accounts Payable OperationWUH2025November</v>
      </c>
      <c r="H408" s="166" t="str">
        <f>INDEX(functionInfo[Daily Dashboard Set-up],MATCH(FTE_stdWD[[#This Row],[Service Description]],functionInfo[Service Description For Invoicing &amp; SLA],0))</f>
        <v>Yes</v>
      </c>
      <c r="I408" s="59" t="str">
        <f>INDEX(functionInfo[Monthly Dashboard],MATCH(FTE_stdWD[[#This Row],[Service Description]],functionInfo[Service Description For Invoicing &amp; SLA],0))</f>
        <v>Yes</v>
      </c>
    </row>
    <row r="409" spans="1:9" ht="30" hidden="1" x14ac:dyDescent="0.25">
      <c r="A409" s="60" t="s">
        <v>343</v>
      </c>
      <c r="B409" s="58" t="s">
        <v>45</v>
      </c>
      <c r="C409" s="58">
        <v>2025</v>
      </c>
      <c r="D409" s="58" t="s">
        <v>27</v>
      </c>
      <c r="E409" s="62">
        <v>1</v>
      </c>
      <c r="F409" s="166" t="str">
        <f>INDEX(functionInfo[Service Lead],MATCH(FTE_stdWD[[#This Row],[Service Description]],functionInfo[Service Description For Invoicing &amp; SLA],0))</f>
        <v>Sasha Yan</v>
      </c>
      <c r="G409" s="166" t="str">
        <f>FTE_stdWD[[#This Row],[Service Description]]&amp;FTE_stdWD[[#This Row],[Country]]&amp;FTE_stdWD[[#This Row],[Year]]&amp;FTE_stdWD[[#This Row],[Month]]</f>
        <v>Air/Sea Freight - Accounts Payable OperationWUH2025December</v>
      </c>
      <c r="H409" s="166" t="str">
        <f>INDEX(functionInfo[Daily Dashboard Set-up],MATCH(FTE_stdWD[[#This Row],[Service Description]],functionInfo[Service Description For Invoicing &amp; SLA],0))</f>
        <v>Yes</v>
      </c>
      <c r="I409" s="59" t="str">
        <f>INDEX(functionInfo[Monthly Dashboard],MATCH(FTE_stdWD[[#This Row],[Service Description]],functionInfo[Service Description For Invoicing &amp; SLA],0))</f>
        <v>Yes</v>
      </c>
    </row>
    <row r="410" spans="1:9" ht="30" hidden="1" x14ac:dyDescent="0.25">
      <c r="A410" s="60" t="s">
        <v>343</v>
      </c>
      <c r="B410" s="58" t="s">
        <v>47</v>
      </c>
      <c r="C410" s="58">
        <v>2025</v>
      </c>
      <c r="D410" s="58" t="s">
        <v>14</v>
      </c>
      <c r="E410" s="62">
        <v>13</v>
      </c>
      <c r="F410" s="166" t="str">
        <f>INDEX(functionInfo[Service Lead],MATCH(FTE_stdWD[[#This Row],[Service Description]],functionInfo[Service Description For Invoicing &amp; SLA],0))</f>
        <v>Sasha Yan</v>
      </c>
      <c r="G410" s="166" t="str">
        <f>FTE_stdWD[[#This Row],[Service Description]]&amp;FTE_stdWD[[#This Row],[Country]]&amp;FTE_stdWD[[#This Row],[Year]]&amp;FTE_stdWD[[#This Row],[Month]]</f>
        <v>Air/Sea Freight - Accounts Payable OperationMNL2025January</v>
      </c>
      <c r="H410" s="166" t="str">
        <f>INDEX(functionInfo[Daily Dashboard Set-up],MATCH(FTE_stdWD[[#This Row],[Service Description]],functionInfo[Service Description For Invoicing &amp; SLA],0))</f>
        <v>Yes</v>
      </c>
      <c r="I410" s="59" t="str">
        <f>INDEX(functionInfo[Monthly Dashboard],MATCH(FTE_stdWD[[#This Row],[Service Description]],functionInfo[Service Description For Invoicing &amp; SLA],0))</f>
        <v>Yes</v>
      </c>
    </row>
    <row r="411" spans="1:9" ht="30" hidden="1" x14ac:dyDescent="0.25">
      <c r="A411" s="60" t="s">
        <v>343</v>
      </c>
      <c r="B411" s="58" t="s">
        <v>47</v>
      </c>
      <c r="C411" s="58">
        <v>2025</v>
      </c>
      <c r="D411" s="58" t="s">
        <v>17</v>
      </c>
      <c r="E411" s="62">
        <v>13</v>
      </c>
      <c r="F411" s="166" t="str">
        <f>INDEX(functionInfo[Service Lead],MATCH(FTE_stdWD[[#This Row],[Service Description]],functionInfo[Service Description For Invoicing &amp; SLA],0))</f>
        <v>Sasha Yan</v>
      </c>
      <c r="G411" s="166" t="str">
        <f>FTE_stdWD[[#This Row],[Service Description]]&amp;FTE_stdWD[[#This Row],[Country]]&amp;FTE_stdWD[[#This Row],[Year]]&amp;FTE_stdWD[[#This Row],[Month]]</f>
        <v>Air/Sea Freight - Accounts Payable OperationMNL2025February</v>
      </c>
      <c r="H411" s="166" t="str">
        <f>INDEX(functionInfo[Daily Dashboard Set-up],MATCH(FTE_stdWD[[#This Row],[Service Description]],functionInfo[Service Description For Invoicing &amp; SLA],0))</f>
        <v>Yes</v>
      </c>
      <c r="I411" s="59" t="str">
        <f>INDEX(functionInfo[Monthly Dashboard],MATCH(FTE_stdWD[[#This Row],[Service Description]],functionInfo[Service Description For Invoicing &amp; SLA],0))</f>
        <v>Yes</v>
      </c>
    </row>
    <row r="412" spans="1:9" ht="30" hidden="1" x14ac:dyDescent="0.25">
      <c r="A412" s="60" t="s">
        <v>343</v>
      </c>
      <c r="B412" s="58" t="s">
        <v>47</v>
      </c>
      <c r="C412" s="58">
        <v>2025</v>
      </c>
      <c r="D412" s="58" t="s">
        <v>18</v>
      </c>
      <c r="E412" s="62">
        <v>11</v>
      </c>
      <c r="F412" s="166" t="str">
        <f>INDEX(functionInfo[Service Lead],MATCH(FTE_stdWD[[#This Row],[Service Description]],functionInfo[Service Description For Invoicing &amp; SLA],0))</f>
        <v>Sasha Yan</v>
      </c>
      <c r="G412" s="166" t="str">
        <f>FTE_stdWD[[#This Row],[Service Description]]&amp;FTE_stdWD[[#This Row],[Country]]&amp;FTE_stdWD[[#This Row],[Year]]&amp;FTE_stdWD[[#This Row],[Month]]</f>
        <v>Air/Sea Freight - Accounts Payable OperationMNL2025March</v>
      </c>
      <c r="H412" s="166" t="str">
        <f>INDEX(functionInfo[Daily Dashboard Set-up],MATCH(FTE_stdWD[[#This Row],[Service Description]],functionInfo[Service Description For Invoicing &amp; SLA],0))</f>
        <v>Yes</v>
      </c>
      <c r="I412" s="59" t="str">
        <f>INDEX(functionInfo[Monthly Dashboard],MATCH(FTE_stdWD[[#This Row],[Service Description]],functionInfo[Service Description For Invoicing &amp; SLA],0))</f>
        <v>Yes</v>
      </c>
    </row>
    <row r="413" spans="1:9" ht="30" hidden="1" x14ac:dyDescent="0.25">
      <c r="A413" s="60" t="s">
        <v>343</v>
      </c>
      <c r="B413" s="58" t="s">
        <v>47</v>
      </c>
      <c r="C413" s="58">
        <v>2025</v>
      </c>
      <c r="D413" s="58" t="s">
        <v>19</v>
      </c>
      <c r="E413" s="62">
        <v>10</v>
      </c>
      <c r="F413" s="166" t="str">
        <f>INDEX(functionInfo[Service Lead],MATCH(FTE_stdWD[[#This Row],[Service Description]],functionInfo[Service Description For Invoicing &amp; SLA],0))</f>
        <v>Sasha Yan</v>
      </c>
      <c r="G413" s="166" t="str">
        <f>FTE_stdWD[[#This Row],[Service Description]]&amp;FTE_stdWD[[#This Row],[Country]]&amp;FTE_stdWD[[#This Row],[Year]]&amp;FTE_stdWD[[#This Row],[Month]]</f>
        <v>Air/Sea Freight - Accounts Payable OperationMNL2025April</v>
      </c>
      <c r="H413" s="166" t="str">
        <f>INDEX(functionInfo[Daily Dashboard Set-up],MATCH(FTE_stdWD[[#This Row],[Service Description]],functionInfo[Service Description For Invoicing &amp; SLA],0))</f>
        <v>Yes</v>
      </c>
      <c r="I413" s="59" t="str">
        <f>INDEX(functionInfo[Monthly Dashboard],MATCH(FTE_stdWD[[#This Row],[Service Description]],functionInfo[Service Description For Invoicing &amp; SLA],0))</f>
        <v>Yes</v>
      </c>
    </row>
    <row r="414" spans="1:9" ht="30" hidden="1" x14ac:dyDescent="0.25">
      <c r="A414" s="60" t="s">
        <v>343</v>
      </c>
      <c r="B414" s="58" t="s">
        <v>47</v>
      </c>
      <c r="C414" s="58">
        <v>2025</v>
      </c>
      <c r="D414" s="58" t="s">
        <v>20</v>
      </c>
      <c r="E414" s="62">
        <v>9</v>
      </c>
      <c r="F414" s="166" t="str">
        <f>INDEX(functionInfo[Service Lead],MATCH(FTE_stdWD[[#This Row],[Service Description]],functionInfo[Service Description For Invoicing &amp; SLA],0))</f>
        <v>Sasha Yan</v>
      </c>
      <c r="G414" s="166" t="str">
        <f>FTE_stdWD[[#This Row],[Service Description]]&amp;FTE_stdWD[[#This Row],[Country]]&amp;FTE_stdWD[[#This Row],[Year]]&amp;FTE_stdWD[[#This Row],[Month]]</f>
        <v>Air/Sea Freight - Accounts Payable OperationMNL2025May</v>
      </c>
      <c r="H414" s="166" t="str">
        <f>INDEX(functionInfo[Daily Dashboard Set-up],MATCH(FTE_stdWD[[#This Row],[Service Description]],functionInfo[Service Description For Invoicing &amp; SLA],0))</f>
        <v>Yes</v>
      </c>
      <c r="I414" s="59" t="str">
        <f>INDEX(functionInfo[Monthly Dashboard],MATCH(FTE_stdWD[[#This Row],[Service Description]],functionInfo[Service Description For Invoicing &amp; SLA],0))</f>
        <v>Yes</v>
      </c>
    </row>
    <row r="415" spans="1:9" ht="30" hidden="1" x14ac:dyDescent="0.25">
      <c r="A415" s="60" t="s">
        <v>343</v>
      </c>
      <c r="B415" s="58" t="s">
        <v>47</v>
      </c>
      <c r="C415" s="58">
        <v>2025</v>
      </c>
      <c r="D415" s="58" t="s">
        <v>21</v>
      </c>
      <c r="E415" s="62"/>
      <c r="F415" s="166" t="str">
        <f>INDEX(functionInfo[Service Lead],MATCH(FTE_stdWD[[#This Row],[Service Description]],functionInfo[Service Description For Invoicing &amp; SLA],0))</f>
        <v>Sasha Yan</v>
      </c>
      <c r="G415" s="166" t="str">
        <f>FTE_stdWD[[#This Row],[Service Description]]&amp;FTE_stdWD[[#This Row],[Country]]&amp;FTE_stdWD[[#This Row],[Year]]&amp;FTE_stdWD[[#This Row],[Month]]</f>
        <v>Air/Sea Freight - Accounts Payable OperationMNL2025June</v>
      </c>
      <c r="H415" s="166" t="str">
        <f>INDEX(functionInfo[Daily Dashboard Set-up],MATCH(FTE_stdWD[[#This Row],[Service Description]],functionInfo[Service Description For Invoicing &amp; SLA],0))</f>
        <v>Yes</v>
      </c>
      <c r="I415" s="59" t="str">
        <f>INDEX(functionInfo[Monthly Dashboard],MATCH(FTE_stdWD[[#This Row],[Service Description]],functionInfo[Service Description For Invoicing &amp; SLA],0))</f>
        <v>Yes</v>
      </c>
    </row>
    <row r="416" spans="1:9" ht="30" hidden="1" x14ac:dyDescent="0.25">
      <c r="A416" s="60" t="s">
        <v>343</v>
      </c>
      <c r="B416" s="58" t="s">
        <v>47</v>
      </c>
      <c r="C416" s="58">
        <v>2025</v>
      </c>
      <c r="D416" s="58" t="s">
        <v>22</v>
      </c>
      <c r="E416" s="62"/>
      <c r="F416" s="166" t="str">
        <f>INDEX(functionInfo[Service Lead],MATCH(FTE_stdWD[[#This Row],[Service Description]],functionInfo[Service Description For Invoicing &amp; SLA],0))</f>
        <v>Sasha Yan</v>
      </c>
      <c r="G416" s="166" t="str">
        <f>FTE_stdWD[[#This Row],[Service Description]]&amp;FTE_stdWD[[#This Row],[Country]]&amp;FTE_stdWD[[#This Row],[Year]]&amp;FTE_stdWD[[#This Row],[Month]]</f>
        <v>Air/Sea Freight - Accounts Payable OperationMNL2025July</v>
      </c>
      <c r="H416" s="166" t="str">
        <f>INDEX(functionInfo[Daily Dashboard Set-up],MATCH(FTE_stdWD[[#This Row],[Service Description]],functionInfo[Service Description For Invoicing &amp; SLA],0))</f>
        <v>Yes</v>
      </c>
      <c r="I416" s="59" t="str">
        <f>INDEX(functionInfo[Monthly Dashboard],MATCH(FTE_stdWD[[#This Row],[Service Description]],functionInfo[Service Description For Invoicing &amp; SLA],0))</f>
        <v>Yes</v>
      </c>
    </row>
    <row r="417" spans="1:9" ht="30" hidden="1" x14ac:dyDescent="0.25">
      <c r="A417" s="60" t="s">
        <v>343</v>
      </c>
      <c r="B417" s="58" t="s">
        <v>47</v>
      </c>
      <c r="C417" s="58">
        <v>2025</v>
      </c>
      <c r="D417" s="58" t="s">
        <v>46</v>
      </c>
      <c r="E417" s="62"/>
      <c r="F417" s="166" t="str">
        <f>INDEX(functionInfo[Service Lead],MATCH(FTE_stdWD[[#This Row],[Service Description]],functionInfo[Service Description For Invoicing &amp; SLA],0))</f>
        <v>Sasha Yan</v>
      </c>
      <c r="G417" s="166" t="str">
        <f>FTE_stdWD[[#This Row],[Service Description]]&amp;FTE_stdWD[[#This Row],[Country]]&amp;FTE_stdWD[[#This Row],[Year]]&amp;FTE_stdWD[[#This Row],[Month]]</f>
        <v>Air/Sea Freight - Accounts Payable OperationMNL2025August</v>
      </c>
      <c r="H417" s="166" t="str">
        <f>INDEX(functionInfo[Daily Dashboard Set-up],MATCH(FTE_stdWD[[#This Row],[Service Description]],functionInfo[Service Description For Invoicing &amp; SLA],0))</f>
        <v>Yes</v>
      </c>
      <c r="I417" s="59" t="str">
        <f>INDEX(functionInfo[Monthly Dashboard],MATCH(FTE_stdWD[[#This Row],[Service Description]],functionInfo[Service Description For Invoicing &amp; SLA],0))</f>
        <v>Yes</v>
      </c>
    </row>
    <row r="418" spans="1:9" ht="30" hidden="1" x14ac:dyDescent="0.25">
      <c r="A418" s="60" t="s">
        <v>343</v>
      </c>
      <c r="B418" s="58" t="s">
        <v>47</v>
      </c>
      <c r="C418" s="58">
        <v>2025</v>
      </c>
      <c r="D418" s="58" t="s">
        <v>33</v>
      </c>
      <c r="E418" s="62"/>
      <c r="F418" s="166" t="str">
        <f>INDEX(functionInfo[Service Lead],MATCH(FTE_stdWD[[#This Row],[Service Description]],functionInfo[Service Description For Invoicing &amp; SLA],0))</f>
        <v>Sasha Yan</v>
      </c>
      <c r="G418" s="166" t="str">
        <f>FTE_stdWD[[#This Row],[Service Description]]&amp;FTE_stdWD[[#This Row],[Country]]&amp;FTE_stdWD[[#This Row],[Year]]&amp;FTE_stdWD[[#This Row],[Month]]</f>
        <v>Air/Sea Freight - Accounts Payable OperationMNL2025September</v>
      </c>
      <c r="H418" s="166" t="str">
        <f>INDEX(functionInfo[Daily Dashboard Set-up],MATCH(FTE_stdWD[[#This Row],[Service Description]],functionInfo[Service Description For Invoicing &amp; SLA],0))</f>
        <v>Yes</v>
      </c>
      <c r="I418" s="59" t="str">
        <f>INDEX(functionInfo[Monthly Dashboard],MATCH(FTE_stdWD[[#This Row],[Service Description]],functionInfo[Service Description For Invoicing &amp; SLA],0))</f>
        <v>Yes</v>
      </c>
    </row>
    <row r="419" spans="1:9" ht="30" hidden="1" x14ac:dyDescent="0.25">
      <c r="A419" s="60" t="s">
        <v>343</v>
      </c>
      <c r="B419" s="58" t="s">
        <v>47</v>
      </c>
      <c r="C419" s="58">
        <v>2025</v>
      </c>
      <c r="D419" s="58" t="s">
        <v>25</v>
      </c>
      <c r="E419" s="62"/>
      <c r="F419" s="166" t="str">
        <f>INDEX(functionInfo[Service Lead],MATCH(FTE_stdWD[[#This Row],[Service Description]],functionInfo[Service Description For Invoicing &amp; SLA],0))</f>
        <v>Sasha Yan</v>
      </c>
      <c r="G419" s="166" t="str">
        <f>FTE_stdWD[[#This Row],[Service Description]]&amp;FTE_stdWD[[#This Row],[Country]]&amp;FTE_stdWD[[#This Row],[Year]]&amp;FTE_stdWD[[#This Row],[Month]]</f>
        <v>Air/Sea Freight - Accounts Payable OperationMNL2025October</v>
      </c>
      <c r="H419" s="166" t="str">
        <f>INDEX(functionInfo[Daily Dashboard Set-up],MATCH(FTE_stdWD[[#This Row],[Service Description]],functionInfo[Service Description For Invoicing &amp; SLA],0))</f>
        <v>Yes</v>
      </c>
      <c r="I419" s="59" t="str">
        <f>INDEX(functionInfo[Monthly Dashboard],MATCH(FTE_stdWD[[#This Row],[Service Description]],functionInfo[Service Description For Invoicing &amp; SLA],0))</f>
        <v>Yes</v>
      </c>
    </row>
    <row r="420" spans="1:9" ht="30" hidden="1" x14ac:dyDescent="0.25">
      <c r="A420" s="60" t="s">
        <v>343</v>
      </c>
      <c r="B420" s="58" t="s">
        <v>47</v>
      </c>
      <c r="C420" s="58">
        <v>2025</v>
      </c>
      <c r="D420" s="58" t="s">
        <v>26</v>
      </c>
      <c r="E420" s="62"/>
      <c r="F420" s="166" t="str">
        <f>INDEX(functionInfo[Service Lead],MATCH(FTE_stdWD[[#This Row],[Service Description]],functionInfo[Service Description For Invoicing &amp; SLA],0))</f>
        <v>Sasha Yan</v>
      </c>
      <c r="G420" s="166" t="str">
        <f>FTE_stdWD[[#This Row],[Service Description]]&amp;FTE_stdWD[[#This Row],[Country]]&amp;FTE_stdWD[[#This Row],[Year]]&amp;FTE_stdWD[[#This Row],[Month]]</f>
        <v>Air/Sea Freight - Accounts Payable OperationMNL2025November</v>
      </c>
      <c r="H420" s="166" t="str">
        <f>INDEX(functionInfo[Daily Dashboard Set-up],MATCH(FTE_stdWD[[#This Row],[Service Description]],functionInfo[Service Description For Invoicing &amp; SLA],0))</f>
        <v>Yes</v>
      </c>
      <c r="I420" s="59" t="str">
        <f>INDEX(functionInfo[Monthly Dashboard],MATCH(FTE_stdWD[[#This Row],[Service Description]],functionInfo[Service Description For Invoicing &amp; SLA],0))</f>
        <v>Yes</v>
      </c>
    </row>
    <row r="421" spans="1:9" ht="30" hidden="1" x14ac:dyDescent="0.25">
      <c r="A421" s="60" t="s">
        <v>343</v>
      </c>
      <c r="B421" s="58" t="s">
        <v>47</v>
      </c>
      <c r="C421" s="58">
        <v>2025</v>
      </c>
      <c r="D421" s="58" t="s">
        <v>27</v>
      </c>
      <c r="E421" s="62"/>
      <c r="F421" s="166" t="str">
        <f>INDEX(functionInfo[Service Lead],MATCH(FTE_stdWD[[#This Row],[Service Description]],functionInfo[Service Description For Invoicing &amp; SLA],0))</f>
        <v>Sasha Yan</v>
      </c>
      <c r="G421" s="166" t="str">
        <f>FTE_stdWD[[#This Row],[Service Description]]&amp;FTE_stdWD[[#This Row],[Country]]&amp;FTE_stdWD[[#This Row],[Year]]&amp;FTE_stdWD[[#This Row],[Month]]</f>
        <v>Air/Sea Freight - Accounts Payable OperationMNL2025December</v>
      </c>
      <c r="H421" s="166" t="str">
        <f>INDEX(functionInfo[Daily Dashboard Set-up],MATCH(FTE_stdWD[[#This Row],[Service Description]],functionInfo[Service Description For Invoicing &amp; SLA],0))</f>
        <v>Yes</v>
      </c>
      <c r="I421" s="59" t="str">
        <f>INDEX(functionInfo[Monthly Dashboard],MATCH(FTE_stdWD[[#This Row],[Service Description]],functionInfo[Service Description For Invoicing &amp; SLA],0))</f>
        <v>Yes</v>
      </c>
    </row>
  </sheetData>
  <conditionalFormatting sqref="A2:I421">
    <cfRule type="expression" dxfId="27" priority="28">
      <formula>AND($H2&lt;&gt;"Yes",$I2&lt;&gt;"Yes")</formula>
    </cfRule>
    <cfRule type="expression" dxfId="26" priority="29">
      <formula>COUNTIF($G$2:$G$421,$G2)&gt;1</formula>
    </cfRule>
    <cfRule type="expression" dxfId="25" priority="30">
      <formula>$E2&gt;0</formula>
    </cfRule>
  </conditionalFormatting>
  <dataValidations count="1">
    <dataValidation type="list" allowBlank="1" showInputMessage="1" showErrorMessage="1" sqref="B2:B301" xr:uid="{BEE4C9BB-35EA-4D34-AE27-E79E49EE6E09}">
      <formula1>"WUH,MNL"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10B490-47A6-4BCD-B150-53B21F8DD63E}">
          <x14:formula1>
            <xm:f>'Active Service Delivery'!$A:$A</xm:f>
          </x14:formula1>
          <xm:sqref>A2:A421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D89F-BB86-4B36-A5E5-EC9C63EBA788}">
  <sheetPr>
    <tabColor theme="9" tint="0.79998168889431442"/>
  </sheetPr>
  <dimension ref="A1:E2"/>
  <sheetViews>
    <sheetView workbookViewId="0">
      <selection activeCell="D24" sqref="D24"/>
    </sheetView>
    <sheetView workbookViewId="1"/>
  </sheetViews>
  <sheetFormatPr defaultRowHeight="15" x14ac:dyDescent="0.25"/>
  <cols>
    <col min="1" max="1" width="25.85546875" customWidth="1"/>
    <col min="2" max="2" width="29.7109375" customWidth="1"/>
    <col min="3" max="3" width="22.85546875" customWidth="1"/>
    <col min="4" max="4" width="43.85546875" customWidth="1"/>
    <col min="5" max="5" width="15.85546875" customWidth="1"/>
  </cols>
  <sheetData>
    <row r="1" spans="1:5" x14ac:dyDescent="0.25">
      <c r="A1" s="1" t="s">
        <v>69</v>
      </c>
      <c r="B1" s="1" t="s">
        <v>40</v>
      </c>
      <c r="C1" s="1" t="s">
        <v>41</v>
      </c>
      <c r="D1" s="1" t="s">
        <v>70</v>
      </c>
      <c r="E1" s="1" t="s">
        <v>71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C055A4-B451-4821-B813-EB2CC3B93D10}">
          <x14:formula1>
            <xm:f>'Active Service Delivery'!$A:$A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4DA5-1F0C-4422-B9F2-DAF7B30790B4}">
  <sheetPr>
    <tabColor rgb="FFC00000"/>
  </sheetPr>
  <dimension ref="A1:O65"/>
  <sheetViews>
    <sheetView showGridLines="0" zoomScale="85" zoomScaleNormal="85"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C59" sqref="C59"/>
    </sheetView>
    <sheetView showGridLines="0" zoomScale="85" zoomScaleNormal="85" workbookViewId="1">
      <pane xSplit="3" ySplit="5" topLeftCell="D6" activePane="bottomRight" state="frozen"/>
      <selection pane="topRight" activeCell="D1" sqref="D1"/>
      <selection pane="bottomLeft" activeCell="A6" sqref="A6"/>
      <selection pane="bottomRight" activeCell="E21" sqref="E21"/>
    </sheetView>
  </sheetViews>
  <sheetFormatPr defaultColWidth="9.140625" defaultRowHeight="15" x14ac:dyDescent="0.25"/>
  <cols>
    <col min="1" max="1" width="16.7109375" style="3" bestFit="1" customWidth="1"/>
    <col min="2" max="2" width="32.28515625" style="3" customWidth="1"/>
    <col min="3" max="3" width="38.85546875" style="3" customWidth="1"/>
    <col min="4" max="4" width="17.7109375" style="3" bestFit="1" customWidth="1"/>
    <col min="5" max="5" width="41" style="3" customWidth="1"/>
    <col min="6" max="6" width="20.7109375" style="3" customWidth="1"/>
    <col min="7" max="7" width="26.5703125" style="3" customWidth="1"/>
    <col min="8" max="8" width="32.28515625" style="3" customWidth="1"/>
    <col min="9" max="9" width="21.5703125" style="3" customWidth="1"/>
    <col min="10" max="10" width="23.7109375" style="3" customWidth="1"/>
    <col min="11" max="11" width="21.28515625" style="3" customWidth="1"/>
    <col min="12" max="12" width="28.28515625" style="3" customWidth="1"/>
    <col min="13" max="13" width="24.5703125" style="3" customWidth="1"/>
    <col min="14" max="14" width="56.42578125" style="3" customWidth="1"/>
    <col min="15" max="15" width="22.5703125" style="3" customWidth="1"/>
    <col min="16" max="16384" width="9.140625" style="3"/>
  </cols>
  <sheetData>
    <row r="1" spans="1:15" ht="21" x14ac:dyDescent="0.25">
      <c r="A1" s="215" t="s">
        <v>72</v>
      </c>
      <c r="B1" s="216"/>
      <c r="C1" s="217" t="s">
        <v>73</v>
      </c>
      <c r="D1" s="213"/>
      <c r="E1" s="218" t="s">
        <v>74</v>
      </c>
      <c r="F1" s="219">
        <f>COUNTIF(functionInfo[Service Level],"SSC")</f>
        <v>35</v>
      </c>
      <c r="G1" s="214"/>
    </row>
    <row r="2" spans="1:15" ht="15" customHeight="1" x14ac:dyDescent="0.25">
      <c r="A2" s="216" t="s">
        <v>75</v>
      </c>
      <c r="B2" s="216"/>
      <c r="C2" s="216"/>
      <c r="D2" s="213"/>
      <c r="E2" s="220" t="s">
        <v>76</v>
      </c>
      <c r="F2" s="221">
        <f>COUNTIF(functionInfo[Service Level],"DSC")</f>
        <v>18</v>
      </c>
      <c r="G2" s="214"/>
    </row>
    <row r="3" spans="1:15" x14ac:dyDescent="0.25">
      <c r="A3" s="213"/>
      <c r="B3" s="213"/>
      <c r="C3" s="213"/>
      <c r="D3" s="213"/>
      <c r="E3" s="222" t="s">
        <v>77</v>
      </c>
      <c r="F3" s="223">
        <f>SUM(F1:F2)</f>
        <v>53</v>
      </c>
      <c r="G3" s="214"/>
    </row>
    <row r="4" spans="1:15" hidden="1" x14ac:dyDescent="0.25"/>
    <row r="5" spans="1:15" s="4" customFormat="1" ht="45" x14ac:dyDescent="0.25">
      <c r="A5" s="224" t="s">
        <v>78</v>
      </c>
      <c r="B5" s="224" t="s">
        <v>79</v>
      </c>
      <c r="C5" s="224" t="s">
        <v>80</v>
      </c>
      <c r="D5" s="224" t="s">
        <v>81</v>
      </c>
      <c r="E5" s="224" t="s">
        <v>82</v>
      </c>
      <c r="F5" s="225" t="s">
        <v>83</v>
      </c>
      <c r="G5" s="225" t="s">
        <v>84</v>
      </c>
      <c r="H5" s="224" t="s">
        <v>56</v>
      </c>
      <c r="I5" s="226" t="s">
        <v>85</v>
      </c>
      <c r="J5" s="227" t="s">
        <v>86</v>
      </c>
      <c r="K5" s="227" t="s">
        <v>87</v>
      </c>
      <c r="L5" s="224" t="s">
        <v>88</v>
      </c>
      <c r="M5" s="224" t="s">
        <v>89</v>
      </c>
      <c r="N5" s="228" t="s">
        <v>313</v>
      </c>
      <c r="O5" s="228" t="s">
        <v>334</v>
      </c>
    </row>
    <row r="6" spans="1:15" ht="45" x14ac:dyDescent="0.25">
      <c r="A6" s="198" t="s">
        <v>195</v>
      </c>
      <c r="B6" s="199" t="s">
        <v>132</v>
      </c>
      <c r="C6" s="200" t="str">
        <f>functionInfo[[#This Row],[Function]]&amp;" - "&amp;functionInfo[[#This Row],[Service Delivery]]</f>
        <v>4PL - Operation</v>
      </c>
      <c r="D6" s="199" t="s">
        <v>92</v>
      </c>
      <c r="E6" s="201" t="s">
        <v>196</v>
      </c>
      <c r="F6" s="199" t="s">
        <v>94</v>
      </c>
      <c r="G6" s="199">
        <v>55</v>
      </c>
      <c r="H6" s="199" t="s">
        <v>197</v>
      </c>
      <c r="I6" s="202">
        <f>IFERROR(INDEX(ProductivityBaseline[ProductivityBaseline],MATCH(functionInfo[[#This Row],[Service Description For Invoicing &amp; SLA]],ProductivityBaseline[Title],0)),0)</f>
        <v>40</v>
      </c>
      <c r="J6" s="199" t="s">
        <v>96</v>
      </c>
      <c r="K6" s="199" t="s">
        <v>96</v>
      </c>
      <c r="L6" s="199" t="s">
        <v>97</v>
      </c>
      <c r="M6" s="203" t="s">
        <v>198</v>
      </c>
      <c r="N6" s="199">
        <v>0</v>
      </c>
      <c r="O6" s="204"/>
    </row>
    <row r="7" spans="1:15" ht="45" hidden="1" x14ac:dyDescent="0.25">
      <c r="A7" s="146" t="s">
        <v>106</v>
      </c>
      <c r="B7" s="147" t="s">
        <v>247</v>
      </c>
      <c r="C7" s="148" t="str">
        <f>functionInfo[[#This Row],[Function]]&amp;" - "&amp;functionInfo[[#This Row],[Service Delivery]]</f>
        <v>Air Freight - Operation - Australia</v>
      </c>
      <c r="D7" s="147" t="s">
        <v>92</v>
      </c>
      <c r="E7" s="149" t="s">
        <v>133</v>
      </c>
      <c r="F7" s="147" t="s">
        <v>120</v>
      </c>
      <c r="G7" s="147">
        <v>40</v>
      </c>
      <c r="H7" s="147" t="s">
        <v>316</v>
      </c>
      <c r="I7" s="193">
        <f>IFERROR(INDEX(ProductivityBaseline[ProductivityBaseline],MATCH(functionInfo[[#This Row],[Service Description For Invoicing &amp; SLA]],ProductivityBaseline[Title],0)),0)</f>
        <v>20</v>
      </c>
      <c r="J7" s="147" t="s">
        <v>125</v>
      </c>
      <c r="K7" s="147" t="s">
        <v>96</v>
      </c>
      <c r="L7" s="147" t="s">
        <v>97</v>
      </c>
      <c r="M7" s="205" t="s">
        <v>309</v>
      </c>
      <c r="N7" s="147" t="s">
        <v>315</v>
      </c>
      <c r="O7" s="154"/>
    </row>
    <row r="8" spans="1:15" ht="60" x14ac:dyDescent="0.25">
      <c r="A8" s="150" t="s">
        <v>106</v>
      </c>
      <c r="B8" s="151" t="s">
        <v>107</v>
      </c>
      <c r="C8" s="152" t="str">
        <f>functionInfo[[#This Row],[Function]]&amp;" - "&amp;functionInfo[[#This Row],[Service Delivery]]</f>
        <v>Air Freight - Network Product Pricing</v>
      </c>
      <c r="D8" s="151" t="s">
        <v>92</v>
      </c>
      <c r="E8" s="153" t="s">
        <v>109</v>
      </c>
      <c r="F8" s="151" t="s">
        <v>110</v>
      </c>
      <c r="G8" s="151">
        <v>7.5</v>
      </c>
      <c r="H8" s="151" t="s">
        <v>320</v>
      </c>
      <c r="I8" s="194">
        <f>IFERROR(INDEX(ProductivityBaseline[ProductivityBaseline],MATCH(functionInfo[[#This Row],[Service Description For Invoicing &amp; SLA]],ProductivityBaseline[Title],0)),0)</f>
        <v>7</v>
      </c>
      <c r="J8" s="151" t="s">
        <v>96</v>
      </c>
      <c r="K8" s="151" t="s">
        <v>96</v>
      </c>
      <c r="L8" s="151" t="s">
        <v>111</v>
      </c>
      <c r="M8" s="147"/>
      <c r="N8" s="147" t="s">
        <v>322</v>
      </c>
      <c r="O8" s="154"/>
    </row>
    <row r="9" spans="1:15" ht="45" x14ac:dyDescent="0.25">
      <c r="A9" s="146" t="s">
        <v>106</v>
      </c>
      <c r="B9" s="147" t="s">
        <v>91</v>
      </c>
      <c r="C9" s="148" t="str">
        <f>functionInfo[[#This Row],[Function]]&amp;" - "&amp;functionInfo[[#This Row],[Service Delivery]]</f>
        <v>Air Freight - Operation - Singapore</v>
      </c>
      <c r="D9" s="147" t="s">
        <v>92</v>
      </c>
      <c r="E9" s="149" t="s">
        <v>133</v>
      </c>
      <c r="F9" s="147" t="s">
        <v>120</v>
      </c>
      <c r="G9" s="147">
        <v>20.399999999999999</v>
      </c>
      <c r="H9" s="147" t="s">
        <v>311</v>
      </c>
      <c r="I9" s="193">
        <f>IFERROR(INDEX(ProductivityBaseline[ProductivityBaseline],MATCH(functionInfo[[#This Row],[Service Description For Invoicing &amp; SLA]],ProductivityBaseline[Title],0)),0)</f>
        <v>0</v>
      </c>
      <c r="J9" s="147" t="s">
        <v>96</v>
      </c>
      <c r="K9" s="147" t="s">
        <v>96</v>
      </c>
      <c r="L9" s="147" t="s">
        <v>97</v>
      </c>
      <c r="M9" s="206" t="s">
        <v>260</v>
      </c>
      <c r="N9" s="147" t="s">
        <v>323</v>
      </c>
      <c r="O9" s="154"/>
    </row>
    <row r="10" spans="1:15" ht="60" x14ac:dyDescent="0.25">
      <c r="A10" s="146" t="s">
        <v>338</v>
      </c>
      <c r="B10" s="147" t="s">
        <v>101</v>
      </c>
      <c r="C10" s="148" t="str">
        <f>functionInfo[[#This Row],[Function]]&amp;" - "&amp;functionInfo[[#This Row],[Service Delivery]]</f>
        <v>Air/Sea Freight - Accounts Payable Operation</v>
      </c>
      <c r="D10" s="147" t="s">
        <v>92</v>
      </c>
      <c r="E10" s="149" t="s">
        <v>102</v>
      </c>
      <c r="F10" s="147" t="s">
        <v>100</v>
      </c>
      <c r="G10" s="147">
        <v>57.4</v>
      </c>
      <c r="H10" s="147" t="s">
        <v>340</v>
      </c>
      <c r="I10" s="193">
        <f>IFERROR(INDEX(ProductivityBaseline[ProductivityBaseline],MATCH(functionInfo[[#This Row],[Service Description For Invoicing &amp; SLA]],ProductivityBaseline[Title],0)),0)</f>
        <v>55.578644016381013</v>
      </c>
      <c r="J10" s="147" t="s">
        <v>96</v>
      </c>
      <c r="K10" s="147" t="s">
        <v>96</v>
      </c>
      <c r="L10" s="147" t="s">
        <v>97</v>
      </c>
      <c r="M10" s="205" t="s">
        <v>310</v>
      </c>
      <c r="N10" s="147" t="s">
        <v>336</v>
      </c>
      <c r="O10" s="154"/>
    </row>
    <row r="11" spans="1:15" ht="60" x14ac:dyDescent="0.25">
      <c r="A11" s="150" t="s">
        <v>338</v>
      </c>
      <c r="B11" s="151" t="s">
        <v>103</v>
      </c>
      <c r="C11" s="152" t="str">
        <f>functionInfo[[#This Row],[Function]]&amp;" - "&amp;functionInfo[[#This Row],[Service Delivery]]</f>
        <v>Air/Sea Freight - Vendor Invoice Auditing</v>
      </c>
      <c r="D11" s="151" t="s">
        <v>92</v>
      </c>
      <c r="E11" s="153" t="s">
        <v>104</v>
      </c>
      <c r="F11" s="151" t="s">
        <v>100</v>
      </c>
      <c r="G11" s="151">
        <v>30</v>
      </c>
      <c r="H11" s="151" t="s">
        <v>341</v>
      </c>
      <c r="I11" s="194">
        <f>IFERROR(INDEX(ProductivityBaseline[ProductivityBaseline],MATCH(functionInfo[[#This Row],[Service Description For Invoicing &amp; SLA]],ProductivityBaseline[Title],0)),0)</f>
        <v>12.846180566520351</v>
      </c>
      <c r="J11" s="151" t="s">
        <v>96</v>
      </c>
      <c r="K11" s="152" t="s">
        <v>96</v>
      </c>
      <c r="L11" s="151" t="s">
        <v>97</v>
      </c>
      <c r="M11" s="207" t="s">
        <v>318</v>
      </c>
      <c r="N11" s="151" t="s">
        <v>332</v>
      </c>
      <c r="O11" s="154"/>
    </row>
    <row r="12" spans="1:15" ht="45" hidden="1" x14ac:dyDescent="0.25">
      <c r="A12" s="146" t="s">
        <v>106</v>
      </c>
      <c r="B12" s="147" t="s">
        <v>135</v>
      </c>
      <c r="C12" s="148" t="str">
        <f>functionInfo[[#This Row],[Function]]&amp;" - "&amp;functionInfo[[#This Row],[Service Delivery]]</f>
        <v>Air Freight - Hellmann Express (HEX)</v>
      </c>
      <c r="D12" s="147" t="s">
        <v>92</v>
      </c>
      <c r="E12" s="149" t="s">
        <v>136</v>
      </c>
      <c r="F12" s="147"/>
      <c r="G12" s="147"/>
      <c r="H12" s="147"/>
      <c r="I12" s="193">
        <f>IFERROR(INDEX(ProductivityBaseline[ProductivityBaseline],MATCH(functionInfo[[#This Row],[Service Description For Invoicing &amp; SLA]],ProductivityBaseline[Title],0)),0)</f>
        <v>0</v>
      </c>
      <c r="J12" s="147"/>
      <c r="K12" s="147" t="s">
        <v>125</v>
      </c>
      <c r="L12" s="147" t="s">
        <v>97</v>
      </c>
      <c r="M12" s="147"/>
      <c r="N12" s="147" t="s">
        <v>312</v>
      </c>
      <c r="O12" s="154"/>
    </row>
    <row r="13" spans="1:15" ht="75" hidden="1" x14ac:dyDescent="0.25">
      <c r="A13" s="146" t="s">
        <v>106</v>
      </c>
      <c r="B13" s="147" t="s">
        <v>98</v>
      </c>
      <c r="C13" s="148" t="str">
        <f>functionInfo[[#This Row],[Function]]&amp;" - "&amp;functionInfo[[#This Row],[Service Delivery]]</f>
        <v>Air Freight - Invoicing &amp; Billing</v>
      </c>
      <c r="D13" s="147" t="s">
        <v>92</v>
      </c>
      <c r="E13" s="149" t="s">
        <v>99</v>
      </c>
      <c r="F13" s="147" t="s">
        <v>100</v>
      </c>
      <c r="G13" s="147">
        <v>17.399999999999999</v>
      </c>
      <c r="H13" s="147" t="s">
        <v>319</v>
      </c>
      <c r="I13" s="193">
        <f>IFERROR(INDEX(ProductivityBaseline[ProductivityBaseline],MATCH(functionInfo[[#This Row],[Service Description For Invoicing &amp; SLA]],ProductivityBaseline[Title],0)),0)</f>
        <v>0</v>
      </c>
      <c r="J13" s="147"/>
      <c r="K13" s="147" t="s">
        <v>96</v>
      </c>
      <c r="L13" s="147" t="s">
        <v>97</v>
      </c>
      <c r="M13" s="207" t="s">
        <v>333</v>
      </c>
      <c r="N13" s="147" t="s">
        <v>335</v>
      </c>
      <c r="O13" s="208" t="s">
        <v>309</v>
      </c>
    </row>
    <row r="14" spans="1:15" ht="45" hidden="1" x14ac:dyDescent="0.25">
      <c r="A14" s="146" t="s">
        <v>106</v>
      </c>
      <c r="B14" s="147" t="s">
        <v>141</v>
      </c>
      <c r="C14" s="148" t="str">
        <f>functionInfo[[#This Row],[Function]]&amp;" - "&amp;functionInfo[[#This Row],[Service Delivery]]</f>
        <v>Air Freight - Hellmann Marine Solutions</v>
      </c>
      <c r="D14" s="147" t="s">
        <v>92</v>
      </c>
      <c r="E14" s="147" t="s">
        <v>142</v>
      </c>
      <c r="F14" s="147" t="s">
        <v>120</v>
      </c>
      <c r="G14" s="147">
        <v>11.6</v>
      </c>
      <c r="H14" s="147" t="s">
        <v>134</v>
      </c>
      <c r="I14" s="193">
        <f>IFERROR(INDEX(ProductivityBaseline[ProductivityBaseline],MATCH(functionInfo[[#This Row],[Service Description For Invoicing &amp; SLA]],ProductivityBaseline[Title],0)),0)</f>
        <v>14.326133909287257</v>
      </c>
      <c r="J14" s="147" t="s">
        <v>125</v>
      </c>
      <c r="K14" s="147" t="s">
        <v>125</v>
      </c>
      <c r="L14" s="147" t="s">
        <v>97</v>
      </c>
      <c r="M14" s="147"/>
      <c r="N14" s="147" t="s">
        <v>312</v>
      </c>
      <c r="O14" s="154"/>
    </row>
    <row r="15" spans="1:15" ht="45" hidden="1" x14ac:dyDescent="0.25">
      <c r="A15" s="146" t="s">
        <v>106</v>
      </c>
      <c r="B15" s="147" t="s">
        <v>118</v>
      </c>
      <c r="C15" s="148" t="str">
        <f>functionInfo[[#This Row],[Function]]&amp;" - "&amp;functionInfo[[#This Row],[Service Delivery]]</f>
        <v>Air Freight - Customs Compiler</v>
      </c>
      <c r="D15" s="147" t="s">
        <v>92</v>
      </c>
      <c r="E15" s="149" t="s">
        <v>119</v>
      </c>
      <c r="F15" s="147" t="s">
        <v>120</v>
      </c>
      <c r="G15" s="147">
        <v>34.6</v>
      </c>
      <c r="H15" s="147"/>
      <c r="I15" s="193">
        <f>IFERROR(INDEX(ProductivityBaseline[ProductivityBaseline],MATCH(functionInfo[[#This Row],[Service Description For Invoicing &amp; SLA]],ProductivityBaseline[Title],0)),0)</f>
        <v>0</v>
      </c>
      <c r="J15" s="147"/>
      <c r="K15" s="147"/>
      <c r="L15" s="147" t="s">
        <v>97</v>
      </c>
      <c r="M15" s="147"/>
      <c r="N15" s="147" t="s">
        <v>312</v>
      </c>
      <c r="O15" s="154"/>
    </row>
    <row r="16" spans="1:15" ht="60" hidden="1" x14ac:dyDescent="0.25">
      <c r="A16" s="150" t="s">
        <v>106</v>
      </c>
      <c r="B16" s="151" t="s">
        <v>122</v>
      </c>
      <c r="C16" s="152" t="str">
        <f>functionInfo[[#This Row],[Function]]&amp;" - "&amp;functionInfo[[#This Row],[Service Delivery]]</f>
        <v>Air Freight - 3PL Control Tower</v>
      </c>
      <c r="D16" s="151" t="s">
        <v>92</v>
      </c>
      <c r="E16" s="153" t="s">
        <v>123</v>
      </c>
      <c r="F16" s="151" t="s">
        <v>94</v>
      </c>
      <c r="G16" s="151">
        <v>2.7</v>
      </c>
      <c r="H16" s="151"/>
      <c r="I16" s="194">
        <f>IFERROR(INDEX(ProductivityBaseline[ProductivityBaseline],MATCH(functionInfo[[#This Row],[Service Description For Invoicing &amp; SLA]],ProductivityBaseline[Title],0)),0)</f>
        <v>0</v>
      </c>
      <c r="J16" s="151"/>
      <c r="K16" s="152"/>
      <c r="L16" s="151" t="s">
        <v>97</v>
      </c>
      <c r="M16" s="147"/>
      <c r="N16" s="147" t="s">
        <v>312</v>
      </c>
      <c r="O16" s="154"/>
    </row>
    <row r="17" spans="1:15" ht="45" hidden="1" x14ac:dyDescent="0.25">
      <c r="A17" s="146" t="s">
        <v>215</v>
      </c>
      <c r="B17" s="147" t="s">
        <v>98</v>
      </c>
      <c r="C17" s="148" t="str">
        <f>functionInfo[[#This Row],[Function]]&amp;" - "&amp;functionInfo[[#This Row],[Service Delivery]]</f>
        <v>Contract Logistics - Invoicing &amp; Billing</v>
      </c>
      <c r="D17" s="147" t="s">
        <v>92</v>
      </c>
      <c r="E17" s="149" t="s">
        <v>216</v>
      </c>
      <c r="F17" s="147" t="s">
        <v>120</v>
      </c>
      <c r="G17" s="147">
        <v>11</v>
      </c>
      <c r="H17" s="147" t="s">
        <v>217</v>
      </c>
      <c r="I17" s="193">
        <f>IFERROR(INDEX(ProductivityBaseline[ProductivityBaseline],MATCH(functionInfo[[#This Row],[Service Description For Invoicing &amp; SLA]],ProductivityBaseline[Title],0)),0)</f>
        <v>11.585585585585585</v>
      </c>
      <c r="J17" s="147" t="s">
        <v>125</v>
      </c>
      <c r="K17" s="147" t="s">
        <v>96</v>
      </c>
      <c r="L17" s="147" t="s">
        <v>97</v>
      </c>
      <c r="M17" s="205" t="s">
        <v>308</v>
      </c>
      <c r="N17" s="147" t="s">
        <v>314</v>
      </c>
      <c r="O17" s="154"/>
    </row>
    <row r="18" spans="1:15" ht="60" hidden="1" x14ac:dyDescent="0.25">
      <c r="A18" s="146" t="s">
        <v>215</v>
      </c>
      <c r="B18" s="147" t="s">
        <v>218</v>
      </c>
      <c r="C18" s="148" t="str">
        <f>functionInfo[[#This Row],[Function]]&amp;" - "&amp;functionInfo[[#This Row],[Service Delivery]]</f>
        <v>Contract Logistics - Solutions</v>
      </c>
      <c r="D18" s="147" t="s">
        <v>127</v>
      </c>
      <c r="E18" s="149" t="s">
        <v>219</v>
      </c>
      <c r="F18" s="147"/>
      <c r="G18" s="147"/>
      <c r="H18" s="147"/>
      <c r="I18" s="193">
        <f>IFERROR(INDEX(ProductivityBaseline[ProductivityBaseline],MATCH(functionInfo[[#This Row],[Service Description For Invoicing &amp; SLA]],ProductivityBaseline[Title],0)),0)</f>
        <v>0</v>
      </c>
      <c r="J18" s="147" t="s">
        <v>129</v>
      </c>
      <c r="K18" s="147" t="s">
        <v>129</v>
      </c>
      <c r="L18" s="147"/>
      <c r="M18" s="147"/>
      <c r="N18" s="147" t="s">
        <v>312</v>
      </c>
      <c r="O18" s="154"/>
    </row>
    <row r="19" spans="1:15" ht="45" hidden="1" x14ac:dyDescent="0.25">
      <c r="A19" s="146" t="s">
        <v>211</v>
      </c>
      <c r="B19" s="147" t="s">
        <v>212</v>
      </c>
      <c r="C19" s="148" t="str">
        <f>functionInfo[[#This Row],[Function]]&amp;" - "&amp;functionInfo[[#This Row],[Service Delivery]]</f>
        <v>DTI - Customer Implementation</v>
      </c>
      <c r="D19" s="147" t="s">
        <v>127</v>
      </c>
      <c r="E19" s="149" t="s">
        <v>213</v>
      </c>
      <c r="F19" s="147" t="s">
        <v>214</v>
      </c>
      <c r="G19" s="147"/>
      <c r="H19" s="147"/>
      <c r="I19" s="193">
        <f>IFERROR(INDEX(ProductivityBaseline[ProductivityBaseline],MATCH(functionInfo[[#This Row],[Service Description For Invoicing &amp; SLA]],ProductivityBaseline[Title],0)),0)</f>
        <v>0</v>
      </c>
      <c r="J19" s="147" t="s">
        <v>129</v>
      </c>
      <c r="K19" s="147" t="s">
        <v>129</v>
      </c>
      <c r="L19" s="147"/>
      <c r="M19" s="147"/>
      <c r="N19" s="147" t="s">
        <v>312</v>
      </c>
      <c r="O19" s="154"/>
    </row>
    <row r="20" spans="1:15" ht="45" x14ac:dyDescent="0.25">
      <c r="A20" s="150" t="s">
        <v>112</v>
      </c>
      <c r="B20" s="151" t="s">
        <v>113</v>
      </c>
      <c r="C20" s="152" t="str">
        <f>functionInfo[[#This Row],[Function]]&amp;" - "&amp;functionInfo[[#This Row],[Service Delivery]]</f>
        <v>Finance - Accounts Receivables</v>
      </c>
      <c r="D20" s="151" t="s">
        <v>92</v>
      </c>
      <c r="E20" s="153" t="s">
        <v>114</v>
      </c>
      <c r="F20" s="151" t="s">
        <v>115</v>
      </c>
      <c r="G20" s="151"/>
      <c r="H20" s="151" t="s">
        <v>116</v>
      </c>
      <c r="I20" s="194">
        <f>IFERROR(INDEX(ProductivityBaseline[ProductivityBaseline],MATCH(functionInfo[[#This Row],[Service Description For Invoicing &amp; SLA]],ProductivityBaseline[Title],0)),0)</f>
        <v>55</v>
      </c>
      <c r="J20" s="151" t="s">
        <v>96</v>
      </c>
      <c r="K20" s="151" t="s">
        <v>96</v>
      </c>
      <c r="L20" s="151" t="s">
        <v>117</v>
      </c>
      <c r="M20" s="207" t="s">
        <v>329</v>
      </c>
      <c r="N20" s="147" t="s">
        <v>269</v>
      </c>
      <c r="O20" s="154"/>
    </row>
    <row r="21" spans="1:15" ht="45" x14ac:dyDescent="0.25">
      <c r="A21" s="146" t="s">
        <v>112</v>
      </c>
      <c r="B21" s="147" t="s">
        <v>137</v>
      </c>
      <c r="C21" s="148" t="str">
        <f>functionInfo[[#This Row],[Function]]&amp;" - "&amp;functionInfo[[#This Row],[Service Delivery]]</f>
        <v>Finance - Accounts Payable</v>
      </c>
      <c r="D21" s="147" t="s">
        <v>92</v>
      </c>
      <c r="E21" s="147" t="s">
        <v>138</v>
      </c>
      <c r="F21" s="147" t="s">
        <v>139</v>
      </c>
      <c r="G21" s="147"/>
      <c r="H21" s="147" t="s">
        <v>116</v>
      </c>
      <c r="I21" s="193">
        <f>IFERROR(INDEX(ProductivityBaseline[ProductivityBaseline],MATCH(functionInfo[[#This Row],[Service Description For Invoicing &amp; SLA]],ProductivityBaseline[Title],0)),0)</f>
        <v>64</v>
      </c>
      <c r="J21" s="147" t="s">
        <v>96</v>
      </c>
      <c r="K21" s="147" t="s">
        <v>96</v>
      </c>
      <c r="L21" s="147" t="s">
        <v>140</v>
      </c>
      <c r="M21" s="207" t="s">
        <v>329</v>
      </c>
      <c r="N21" s="147" t="s">
        <v>270</v>
      </c>
      <c r="O21" s="154"/>
    </row>
    <row r="22" spans="1:15" ht="45" x14ac:dyDescent="0.25">
      <c r="A22" s="146" t="s">
        <v>112</v>
      </c>
      <c r="B22" s="147" t="s">
        <v>143</v>
      </c>
      <c r="C22" s="148" t="str">
        <f>functionInfo[[#This Row],[Function]]&amp;" - "&amp;functionInfo[[#This Row],[Service Delivery]]</f>
        <v>Finance - Bank Reconciliation</v>
      </c>
      <c r="D22" s="147" t="s">
        <v>92</v>
      </c>
      <c r="E22" s="149" t="s">
        <v>144</v>
      </c>
      <c r="F22" s="147" t="s">
        <v>145</v>
      </c>
      <c r="G22" s="147"/>
      <c r="H22" s="147" t="s">
        <v>116</v>
      </c>
      <c r="I22" s="193">
        <f>IFERROR(INDEX(ProductivityBaseline[ProductivityBaseline],MATCH(functionInfo[[#This Row],[Service Description For Invoicing &amp; SLA]],ProductivityBaseline[Title],0)),0)</f>
        <v>59</v>
      </c>
      <c r="J22" s="147" t="s">
        <v>96</v>
      </c>
      <c r="K22" s="147" t="s">
        <v>96</v>
      </c>
      <c r="L22" s="147" t="s">
        <v>146</v>
      </c>
      <c r="M22" s="147" t="s">
        <v>327</v>
      </c>
      <c r="N22" s="147" t="s">
        <v>328</v>
      </c>
      <c r="O22" s="154"/>
    </row>
    <row r="23" spans="1:15" ht="60" x14ac:dyDescent="0.25">
      <c r="A23" s="146" t="s">
        <v>112</v>
      </c>
      <c r="B23" s="147" t="s">
        <v>154</v>
      </c>
      <c r="C23" s="148" t="str">
        <f>functionInfo[[#This Row],[Function]]&amp;" - "&amp;functionInfo[[#This Row],[Service Delivery]]</f>
        <v>Finance - Job Costing Ledger Controlling</v>
      </c>
      <c r="D23" s="147" t="s">
        <v>92</v>
      </c>
      <c r="E23" s="149" t="s">
        <v>156</v>
      </c>
      <c r="F23" s="147" t="s">
        <v>157</v>
      </c>
      <c r="G23" s="147"/>
      <c r="H23" s="147" t="s">
        <v>158</v>
      </c>
      <c r="I23" s="193">
        <f>IFERROR(INDEX(ProductivityBaseline[ProductivityBaseline],MATCH(functionInfo[[#This Row],[Service Description For Invoicing &amp; SLA]],ProductivityBaseline[Title],0)),0)</f>
        <v>0</v>
      </c>
      <c r="J23" s="147" t="s">
        <v>159</v>
      </c>
      <c r="K23" s="147" t="s">
        <v>159</v>
      </c>
      <c r="L23" s="147"/>
      <c r="M23" s="147"/>
      <c r="N23" s="147">
        <v>0</v>
      </c>
      <c r="O23" s="154"/>
    </row>
    <row r="24" spans="1:15" ht="45" hidden="1" x14ac:dyDescent="0.25">
      <c r="A24" s="146" t="s">
        <v>112</v>
      </c>
      <c r="B24" s="147" t="s">
        <v>174</v>
      </c>
      <c r="C24" s="148" t="str">
        <f>functionInfo[[#This Row],[Function]]&amp;" - "&amp;functionInfo[[#This Row],[Service Delivery]]</f>
        <v>Finance - Master Data Management</v>
      </c>
      <c r="D24" s="147" t="s">
        <v>92</v>
      </c>
      <c r="E24" s="149" t="s">
        <v>175</v>
      </c>
      <c r="F24" s="147" t="s">
        <v>120</v>
      </c>
      <c r="G24" s="147">
        <v>55</v>
      </c>
      <c r="H24" s="147"/>
      <c r="I24" s="193">
        <f>IFERROR(INDEX(ProductivityBaseline[ProductivityBaseline],MATCH(functionInfo[[#This Row],[Service Description For Invoicing &amp; SLA]],ProductivityBaseline[Title],0)),0)</f>
        <v>45.725000000000001</v>
      </c>
      <c r="J24" s="147" t="s">
        <v>125</v>
      </c>
      <c r="K24" s="155" t="s">
        <v>96</v>
      </c>
      <c r="L24" s="147" t="s">
        <v>97</v>
      </c>
      <c r="M24" s="207" t="s">
        <v>257</v>
      </c>
      <c r="N24" s="147" t="s">
        <v>324</v>
      </c>
      <c r="O24" s="154"/>
    </row>
    <row r="25" spans="1:15" ht="45" x14ac:dyDescent="0.25">
      <c r="A25" s="150" t="s">
        <v>112</v>
      </c>
      <c r="B25" s="151" t="s">
        <v>170</v>
      </c>
      <c r="C25" s="152" t="str">
        <f>functionInfo[[#This Row],[Function]]&amp;" - "&amp;functionInfo[[#This Row],[Service Delivery]]</f>
        <v>Finance - Credit Control</v>
      </c>
      <c r="D25" s="151" t="s">
        <v>92</v>
      </c>
      <c r="E25" s="153" t="s">
        <v>171</v>
      </c>
      <c r="F25" s="151" t="s">
        <v>172</v>
      </c>
      <c r="G25" s="151"/>
      <c r="H25" s="151" t="s">
        <v>173</v>
      </c>
      <c r="I25" s="194">
        <f>IFERROR(INDEX(ProductivityBaseline[ProductivityBaseline],MATCH(functionInfo[[#This Row],[Service Description For Invoicing &amp; SLA]],ProductivityBaseline[Title],0)),0)</f>
        <v>3</v>
      </c>
      <c r="J25" s="151" t="s">
        <v>96</v>
      </c>
      <c r="K25" s="151" t="s">
        <v>96</v>
      </c>
      <c r="L25" s="151" t="s">
        <v>117</v>
      </c>
      <c r="M25" s="207" t="s">
        <v>329</v>
      </c>
      <c r="N25" s="147" t="s">
        <v>271</v>
      </c>
      <c r="O25" s="154"/>
    </row>
    <row r="26" spans="1:15" ht="30" hidden="1" x14ac:dyDescent="0.25">
      <c r="A26" s="150" t="s">
        <v>112</v>
      </c>
      <c r="B26" s="151" t="s">
        <v>176</v>
      </c>
      <c r="C26" s="152" t="str">
        <f>functionInfo[[#This Row],[Function]]&amp;" - "&amp;functionInfo[[#This Row],[Service Delivery]]</f>
        <v>Finance - Accounts Payable - Non Netting Agents</v>
      </c>
      <c r="D26" s="151" t="s">
        <v>92</v>
      </c>
      <c r="E26" s="153" t="s">
        <v>177</v>
      </c>
      <c r="F26" s="151" t="s">
        <v>157</v>
      </c>
      <c r="G26" s="151"/>
      <c r="H26" s="151" t="s">
        <v>178</v>
      </c>
      <c r="I26" s="194">
        <f>IFERROR(INDEX(ProductivityBaseline[ProductivityBaseline],MATCH(functionInfo[[#This Row],[Service Description For Invoicing &amp; SLA]],ProductivityBaseline[Title],0)),0)</f>
        <v>0</v>
      </c>
      <c r="J26" s="152" t="s">
        <v>125</v>
      </c>
      <c r="K26" s="152" t="s">
        <v>125</v>
      </c>
      <c r="L26" s="151"/>
      <c r="M26" s="147"/>
      <c r="N26" s="147" t="s">
        <v>312</v>
      </c>
      <c r="O26" s="154"/>
    </row>
    <row r="27" spans="1:15" ht="45" hidden="1" x14ac:dyDescent="0.25">
      <c r="A27" s="150" t="s">
        <v>112</v>
      </c>
      <c r="B27" s="151" t="s">
        <v>186</v>
      </c>
      <c r="C27" s="152" t="str">
        <f>functionInfo[[#This Row],[Function]]&amp;" - "&amp;functionInfo[[#This Row],[Service Delivery]]</f>
        <v>Finance - Business Controlling</v>
      </c>
      <c r="D27" s="151" t="s">
        <v>92</v>
      </c>
      <c r="E27" s="153" t="s">
        <v>187</v>
      </c>
      <c r="F27" s="151" t="s">
        <v>157</v>
      </c>
      <c r="G27" s="151"/>
      <c r="H27" s="151" t="s">
        <v>158</v>
      </c>
      <c r="I27" s="194">
        <f>IFERROR(INDEX(ProductivityBaseline[ProductivityBaseline],MATCH(functionInfo[[#This Row],[Service Description For Invoicing &amp; SLA]],ProductivityBaseline[Title],0)),0)</f>
        <v>0</v>
      </c>
      <c r="J27" s="152" t="s">
        <v>125</v>
      </c>
      <c r="K27" s="152" t="s">
        <v>125</v>
      </c>
      <c r="L27" s="151"/>
      <c r="M27" s="147"/>
      <c r="N27" s="147" t="s">
        <v>312</v>
      </c>
      <c r="O27" s="154"/>
    </row>
    <row r="28" spans="1:15" ht="45" hidden="1" x14ac:dyDescent="0.25">
      <c r="A28" s="150" t="s">
        <v>112</v>
      </c>
      <c r="B28" s="151" t="s">
        <v>190</v>
      </c>
      <c r="C28" s="152" t="str">
        <f>functionInfo[[#This Row],[Function]]&amp;" - "&amp;functionInfo[[#This Row],[Service Delivery]]</f>
        <v>Finance - Reporting &amp; Analytics</v>
      </c>
      <c r="D28" s="151" t="s">
        <v>127</v>
      </c>
      <c r="E28" s="153" t="s">
        <v>191</v>
      </c>
      <c r="F28" s="151"/>
      <c r="G28" s="151"/>
      <c r="H28" s="151"/>
      <c r="I28" s="194">
        <f>IFERROR(INDEX(ProductivityBaseline[ProductivityBaseline],MATCH(functionInfo[[#This Row],[Service Description For Invoicing &amp; SLA]],ProductivityBaseline[Title],0)),0)</f>
        <v>0</v>
      </c>
      <c r="J28" s="151" t="s">
        <v>129</v>
      </c>
      <c r="K28" s="151" t="s">
        <v>129</v>
      </c>
      <c r="L28" s="151"/>
      <c r="M28" s="147"/>
      <c r="N28" s="147" t="s">
        <v>312</v>
      </c>
      <c r="O28" s="154"/>
    </row>
    <row r="29" spans="1:15" ht="45" hidden="1" x14ac:dyDescent="0.25">
      <c r="A29" s="146" t="s">
        <v>112</v>
      </c>
      <c r="B29" s="147" t="s">
        <v>193</v>
      </c>
      <c r="C29" s="148" t="str">
        <f>functionInfo[[#This Row],[Function]]&amp;" - "&amp;functionInfo[[#This Row],[Service Delivery]]</f>
        <v>Finance - Information Technology</v>
      </c>
      <c r="D29" s="147" t="s">
        <v>127</v>
      </c>
      <c r="E29" s="149" t="s">
        <v>194</v>
      </c>
      <c r="F29" s="147"/>
      <c r="G29" s="147"/>
      <c r="H29" s="147"/>
      <c r="I29" s="193">
        <f>IFERROR(INDEX(ProductivityBaseline[ProductivityBaseline],MATCH(functionInfo[[#This Row],[Service Description For Invoicing &amp; SLA]],ProductivityBaseline[Title],0)),0)</f>
        <v>0</v>
      </c>
      <c r="J29" s="147" t="s">
        <v>129</v>
      </c>
      <c r="K29" s="147" t="s">
        <v>129</v>
      </c>
      <c r="L29" s="147"/>
      <c r="M29" s="147"/>
      <c r="N29" s="147" t="s">
        <v>312</v>
      </c>
      <c r="O29" s="154"/>
    </row>
    <row r="30" spans="1:15" ht="45" hidden="1" x14ac:dyDescent="0.25">
      <c r="A30" s="146" t="s">
        <v>220</v>
      </c>
      <c r="B30" s="147" t="s">
        <v>132</v>
      </c>
      <c r="C30" s="148" t="str">
        <f>functionInfo[[#This Row],[Function]]&amp;" - "&amp;functionInfo[[#This Row],[Service Delivery]]</f>
        <v>HR - Operation</v>
      </c>
      <c r="D30" s="147" t="s">
        <v>92</v>
      </c>
      <c r="E30" s="149" t="s">
        <v>221</v>
      </c>
      <c r="F30" s="147"/>
      <c r="G30" s="147"/>
      <c r="H30" s="147"/>
      <c r="I30" s="193">
        <f>IFERROR(INDEX(ProductivityBaseline[ProductivityBaseline],MATCH(functionInfo[[#This Row],[Service Description For Invoicing &amp; SLA]],ProductivityBaseline[Title],0)),0)</f>
        <v>0</v>
      </c>
      <c r="J30" s="147" t="s">
        <v>125</v>
      </c>
      <c r="K30" s="147" t="s">
        <v>125</v>
      </c>
      <c r="L30" s="147"/>
      <c r="M30" s="147"/>
      <c r="N30" s="147" t="s">
        <v>312</v>
      </c>
      <c r="O30" s="154"/>
    </row>
    <row r="31" spans="1:15" ht="45" hidden="1" x14ac:dyDescent="0.25">
      <c r="A31" s="146" t="s">
        <v>220</v>
      </c>
      <c r="B31" s="147" t="s">
        <v>222</v>
      </c>
      <c r="C31" s="148" t="str">
        <f>functionInfo[[#This Row],[Function]]&amp;" - "&amp;functionInfo[[#This Row],[Service Delivery]]</f>
        <v>HR - Talent Management</v>
      </c>
      <c r="D31" s="147" t="s">
        <v>127</v>
      </c>
      <c r="E31" s="149" t="s">
        <v>223</v>
      </c>
      <c r="F31" s="147"/>
      <c r="G31" s="147"/>
      <c r="H31" s="147"/>
      <c r="I31" s="193">
        <f>IFERROR(INDEX(ProductivityBaseline[ProductivityBaseline],MATCH(functionInfo[[#This Row],[Service Description For Invoicing &amp; SLA]],ProductivityBaseline[Title],0)),0)</f>
        <v>0</v>
      </c>
      <c r="J31" s="147" t="s">
        <v>129</v>
      </c>
      <c r="K31" s="147" t="s">
        <v>129</v>
      </c>
      <c r="L31" s="147"/>
      <c r="M31" s="147"/>
      <c r="N31" s="147" t="s">
        <v>312</v>
      </c>
      <c r="O31" s="154"/>
    </row>
    <row r="32" spans="1:15" ht="45" hidden="1" x14ac:dyDescent="0.25">
      <c r="A32" s="146" t="s">
        <v>220</v>
      </c>
      <c r="B32" s="147" t="s">
        <v>224</v>
      </c>
      <c r="C32" s="148" t="str">
        <f>functionInfo[[#This Row],[Function]]&amp;" - "&amp;functionInfo[[#This Row],[Service Delivery]]</f>
        <v>HR - Talent &amp; Organizational Development</v>
      </c>
      <c r="D32" s="147" t="s">
        <v>127</v>
      </c>
      <c r="E32" s="147" t="s">
        <v>225</v>
      </c>
      <c r="F32" s="147"/>
      <c r="G32" s="147"/>
      <c r="H32" s="147"/>
      <c r="I32" s="193">
        <f>IFERROR(INDEX(ProductivityBaseline[ProductivityBaseline],MATCH(functionInfo[[#This Row],[Service Description For Invoicing &amp; SLA]],ProductivityBaseline[Title],0)),0)</f>
        <v>0</v>
      </c>
      <c r="J32" s="147" t="s">
        <v>129</v>
      </c>
      <c r="K32" s="147" t="s">
        <v>129</v>
      </c>
      <c r="L32" s="147"/>
      <c r="M32" s="147"/>
      <c r="N32" s="147" t="s">
        <v>312</v>
      </c>
      <c r="O32" s="154"/>
    </row>
    <row r="33" spans="1:15" ht="45" hidden="1" x14ac:dyDescent="0.25">
      <c r="A33" s="146" t="s">
        <v>199</v>
      </c>
      <c r="B33" s="147" t="s">
        <v>200</v>
      </c>
      <c r="C33" s="148" t="str">
        <f>functionInfo[[#This Row],[Function]]&amp;" - "&amp;functionInfo[[#This Row],[Service Delivery]]</f>
        <v>IT - Service Desk</v>
      </c>
      <c r="D33" s="147" t="s">
        <v>127</v>
      </c>
      <c r="E33" s="149" t="s">
        <v>201</v>
      </c>
      <c r="F33" s="147" t="s">
        <v>202</v>
      </c>
      <c r="G33" s="147"/>
      <c r="H33" s="147"/>
      <c r="I33" s="193">
        <f>IFERROR(INDEX(ProductivityBaseline[ProductivityBaseline],MATCH(functionInfo[[#This Row],[Service Description For Invoicing &amp; SLA]],ProductivityBaseline[Title],0)),0)</f>
        <v>0</v>
      </c>
      <c r="J33" s="147" t="s">
        <v>129</v>
      </c>
      <c r="K33" s="147" t="s">
        <v>129</v>
      </c>
      <c r="L33" s="147"/>
      <c r="M33" s="147"/>
      <c r="N33" s="147" t="s">
        <v>312</v>
      </c>
      <c r="O33" s="154"/>
    </row>
    <row r="34" spans="1:15" ht="60" hidden="1" x14ac:dyDescent="0.25">
      <c r="A34" s="146" t="s">
        <v>199</v>
      </c>
      <c r="B34" s="147" t="s">
        <v>203</v>
      </c>
      <c r="C34" s="148" t="str">
        <f>functionInfo[[#This Row],[Function]]&amp;" - "&amp;functionInfo[[#This Row],[Service Delivery]]</f>
        <v xml:space="preserve">IT - Network </v>
      </c>
      <c r="D34" s="147" t="s">
        <v>127</v>
      </c>
      <c r="E34" s="147" t="s">
        <v>204</v>
      </c>
      <c r="F34" s="147"/>
      <c r="G34" s="147"/>
      <c r="H34" s="147"/>
      <c r="I34" s="193">
        <f>IFERROR(INDEX(ProductivityBaseline[ProductivityBaseline],MATCH(functionInfo[[#This Row],[Service Description For Invoicing &amp; SLA]],ProductivityBaseline[Title],0)),0)</f>
        <v>0</v>
      </c>
      <c r="J34" s="147" t="s">
        <v>129</v>
      </c>
      <c r="K34" s="147" t="s">
        <v>129</v>
      </c>
      <c r="L34" s="147"/>
      <c r="M34" s="147"/>
      <c r="N34" s="147" t="s">
        <v>312</v>
      </c>
      <c r="O34" s="154"/>
    </row>
    <row r="35" spans="1:15" ht="45" hidden="1" x14ac:dyDescent="0.25">
      <c r="A35" s="146" t="s">
        <v>199</v>
      </c>
      <c r="B35" s="147" t="s">
        <v>205</v>
      </c>
      <c r="C35" s="148" t="str">
        <f>functionInfo[[#This Row],[Function]]&amp;" - "&amp;functionInfo[[#This Row],[Service Delivery]]</f>
        <v>IT - Cyber Security</v>
      </c>
      <c r="D35" s="147" t="s">
        <v>127</v>
      </c>
      <c r="E35" s="147" t="s">
        <v>206</v>
      </c>
      <c r="F35" s="147"/>
      <c r="G35" s="147"/>
      <c r="H35" s="147"/>
      <c r="I35" s="193">
        <f>IFERROR(INDEX(ProductivityBaseline[ProductivityBaseline],MATCH(functionInfo[[#This Row],[Service Description For Invoicing &amp; SLA]],ProductivityBaseline[Title],0)),0)</f>
        <v>0</v>
      </c>
      <c r="J35" s="147" t="s">
        <v>129</v>
      </c>
      <c r="K35" s="147" t="s">
        <v>129</v>
      </c>
      <c r="L35" s="147"/>
      <c r="M35" s="147"/>
      <c r="N35" s="147" t="s">
        <v>312</v>
      </c>
      <c r="O35" s="154"/>
    </row>
    <row r="36" spans="1:15" ht="45" hidden="1" x14ac:dyDescent="0.25">
      <c r="A36" s="146" t="s">
        <v>199</v>
      </c>
      <c r="B36" s="147" t="s">
        <v>207</v>
      </c>
      <c r="C36" s="148" t="str">
        <f>functionInfo[[#This Row],[Function]]&amp;" - "&amp;functionInfo[[#This Row],[Service Delivery]]</f>
        <v>IT - Server &amp; Cloud</v>
      </c>
      <c r="D36" s="147" t="s">
        <v>127</v>
      </c>
      <c r="E36" s="149" t="s">
        <v>208</v>
      </c>
      <c r="F36" s="147"/>
      <c r="G36" s="147"/>
      <c r="H36" s="147"/>
      <c r="I36" s="193">
        <f>IFERROR(INDEX(ProductivityBaseline[ProductivityBaseline],MATCH(functionInfo[[#This Row],[Service Description For Invoicing &amp; SLA]],ProductivityBaseline[Title],0)),0)</f>
        <v>0</v>
      </c>
      <c r="J36" s="147" t="s">
        <v>129</v>
      </c>
      <c r="K36" s="147" t="s">
        <v>129</v>
      </c>
      <c r="L36" s="147"/>
      <c r="M36" s="147"/>
      <c r="N36" s="147" t="s">
        <v>312</v>
      </c>
      <c r="O36" s="154"/>
    </row>
    <row r="37" spans="1:15" ht="47.25" hidden="1" customHeight="1" x14ac:dyDescent="0.25">
      <c r="A37" s="146" t="s">
        <v>199</v>
      </c>
      <c r="B37" s="147" t="s">
        <v>209</v>
      </c>
      <c r="C37" s="148" t="str">
        <f>functionInfo[[#This Row],[Function]]&amp;" - "&amp;functionInfo[[#This Row],[Service Delivery]]</f>
        <v>IT - Warehouse Management System</v>
      </c>
      <c r="D37" s="147" t="s">
        <v>127</v>
      </c>
      <c r="E37" s="149" t="s">
        <v>210</v>
      </c>
      <c r="F37" s="147"/>
      <c r="G37" s="147"/>
      <c r="H37" s="147"/>
      <c r="I37" s="193">
        <f>IFERROR(INDEX(ProductivityBaseline[ProductivityBaseline],MATCH(functionInfo[[#This Row],[Service Description For Invoicing &amp; SLA]],ProductivityBaseline[Title],0)),0)</f>
        <v>0</v>
      </c>
      <c r="J37" s="147" t="s">
        <v>129</v>
      </c>
      <c r="K37" s="147" t="s">
        <v>129</v>
      </c>
      <c r="L37" s="147"/>
      <c r="M37" s="147"/>
      <c r="N37" s="147" t="s">
        <v>312</v>
      </c>
      <c r="O37" s="154"/>
    </row>
    <row r="38" spans="1:15" ht="45" hidden="1" x14ac:dyDescent="0.25">
      <c r="A38" s="146" t="s">
        <v>226</v>
      </c>
      <c r="B38" s="147" t="s">
        <v>227</v>
      </c>
      <c r="C38" s="148" t="str">
        <f>functionInfo[[#This Row],[Function]]&amp;" - "&amp;functionInfo[[#This Row],[Service Delivery]]</f>
        <v>Legal - Power App Development</v>
      </c>
      <c r="D38" s="147" t="s">
        <v>127</v>
      </c>
      <c r="E38" s="149" t="s">
        <v>228</v>
      </c>
      <c r="F38" s="147" t="s">
        <v>166</v>
      </c>
      <c r="G38" s="147"/>
      <c r="H38" s="147"/>
      <c r="I38" s="193">
        <f>IFERROR(INDEX(ProductivityBaseline[ProductivityBaseline],MATCH(functionInfo[[#This Row],[Service Description For Invoicing &amp; SLA]],ProductivityBaseline[Title],0)),0)</f>
        <v>0</v>
      </c>
      <c r="J38" s="147" t="s">
        <v>129</v>
      </c>
      <c r="K38" s="147" t="s">
        <v>129</v>
      </c>
      <c r="L38" s="147"/>
      <c r="M38" s="147"/>
      <c r="N38" s="147" t="s">
        <v>312</v>
      </c>
      <c r="O38" s="154"/>
    </row>
    <row r="39" spans="1:15" ht="45" hidden="1" x14ac:dyDescent="0.25">
      <c r="A39" s="146" t="s">
        <v>226</v>
      </c>
      <c r="B39" s="147" t="s">
        <v>229</v>
      </c>
      <c r="C39" s="148" t="str">
        <f>functionInfo[[#This Row],[Function]]&amp;" - "&amp;functionInfo[[#This Row],[Service Delivery]]</f>
        <v>Legal - Third-Party Risk Management</v>
      </c>
      <c r="D39" s="147" t="s">
        <v>127</v>
      </c>
      <c r="E39" s="149" t="s">
        <v>230</v>
      </c>
      <c r="F39" s="147" t="s">
        <v>120</v>
      </c>
      <c r="G39" s="147"/>
      <c r="H39" s="147"/>
      <c r="I39" s="193">
        <f>IFERROR(INDEX(ProductivityBaseline[ProductivityBaseline],MATCH(functionInfo[[#This Row],[Service Description For Invoicing &amp; SLA]],ProductivityBaseline[Title],0)),0)</f>
        <v>0</v>
      </c>
      <c r="J39" s="147" t="s">
        <v>129</v>
      </c>
      <c r="K39" s="147" t="s">
        <v>129</v>
      </c>
      <c r="L39" s="147"/>
      <c r="M39" s="147"/>
      <c r="N39" s="147" t="s">
        <v>312</v>
      </c>
      <c r="O39" s="154"/>
    </row>
    <row r="40" spans="1:15" ht="30" hidden="1" x14ac:dyDescent="0.25">
      <c r="A40" s="146" t="s">
        <v>231</v>
      </c>
      <c r="B40" s="147" t="s">
        <v>232</v>
      </c>
      <c r="C40" s="148" t="str">
        <f>functionInfo[[#This Row],[Function]]&amp;" - "&amp;functionInfo[[#This Row],[Service Delivery]]</f>
        <v>Management - SSC General</v>
      </c>
      <c r="D40" s="147" t="s">
        <v>233</v>
      </c>
      <c r="E40" s="149" t="s">
        <v>234</v>
      </c>
      <c r="F40" s="147"/>
      <c r="G40" s="147"/>
      <c r="H40" s="147"/>
      <c r="I40" s="193">
        <f>IFERROR(INDEX(ProductivityBaseline[ProductivityBaseline],MATCH(functionInfo[[#This Row],[Service Description For Invoicing &amp; SLA]],ProductivityBaseline[Title],0)),0)</f>
        <v>0</v>
      </c>
      <c r="J40" s="147" t="s">
        <v>129</v>
      </c>
      <c r="K40" s="147" t="s">
        <v>129</v>
      </c>
      <c r="L40" s="147"/>
      <c r="M40" s="147"/>
      <c r="N40" s="147" t="s">
        <v>312</v>
      </c>
      <c r="O40" s="154"/>
    </row>
    <row r="41" spans="1:15" ht="60" hidden="1" x14ac:dyDescent="0.25">
      <c r="A41" s="146" t="s">
        <v>231</v>
      </c>
      <c r="B41" s="147" t="s">
        <v>235</v>
      </c>
      <c r="C41" s="148" t="str">
        <f>functionInfo[[#This Row],[Function]]&amp;" - "&amp;functionInfo[[#This Row],[Service Delivery]]</f>
        <v>Management - SSC Sales &amp; Business Analytics</v>
      </c>
      <c r="D41" s="147" t="s">
        <v>233</v>
      </c>
      <c r="E41" s="149" t="s">
        <v>236</v>
      </c>
      <c r="F41" s="147"/>
      <c r="G41" s="147"/>
      <c r="H41" s="147"/>
      <c r="I41" s="193">
        <f>IFERROR(INDEX(ProductivityBaseline[ProductivityBaseline],MATCH(functionInfo[[#This Row],[Service Description For Invoicing &amp; SLA]],ProductivityBaseline[Title],0)),0)</f>
        <v>0</v>
      </c>
      <c r="J41" s="147" t="s">
        <v>129</v>
      </c>
      <c r="K41" s="147" t="s">
        <v>129</v>
      </c>
      <c r="L41" s="147"/>
      <c r="M41" s="147"/>
      <c r="N41" s="147" t="s">
        <v>312</v>
      </c>
      <c r="O41" s="154"/>
    </row>
    <row r="42" spans="1:15" ht="30" hidden="1" x14ac:dyDescent="0.25">
      <c r="A42" s="146" t="s">
        <v>231</v>
      </c>
      <c r="B42" s="147" t="s">
        <v>237</v>
      </c>
      <c r="C42" s="148" t="str">
        <f>functionInfo[[#This Row],[Function]]&amp;" - "&amp;functionInfo[[#This Row],[Service Delivery]]</f>
        <v>Management - SSC Finance</v>
      </c>
      <c r="D42" s="147" t="s">
        <v>233</v>
      </c>
      <c r="E42" s="149" t="s">
        <v>238</v>
      </c>
      <c r="F42" s="147"/>
      <c r="G42" s="147"/>
      <c r="H42" s="147"/>
      <c r="I42" s="193">
        <f>IFERROR(INDEX(ProductivityBaseline[ProductivityBaseline],MATCH(functionInfo[[#This Row],[Service Description For Invoicing &amp; SLA]],ProductivityBaseline[Title],0)),0)</f>
        <v>0</v>
      </c>
      <c r="J42" s="147" t="s">
        <v>129</v>
      </c>
      <c r="K42" s="147" t="s">
        <v>129</v>
      </c>
      <c r="L42" s="147"/>
      <c r="M42" s="147"/>
      <c r="N42" s="147" t="s">
        <v>312</v>
      </c>
      <c r="O42" s="154"/>
    </row>
    <row r="43" spans="1:15" ht="45" hidden="1" x14ac:dyDescent="0.25">
      <c r="A43" s="146" t="s">
        <v>231</v>
      </c>
      <c r="B43" s="147" t="s">
        <v>239</v>
      </c>
      <c r="C43" s="148" t="str">
        <f>functionInfo[[#This Row],[Function]]&amp;" - "&amp;functionInfo[[#This Row],[Service Delivery]]</f>
        <v>Management - SSC HR</v>
      </c>
      <c r="D43" s="147" t="s">
        <v>233</v>
      </c>
      <c r="E43" s="149" t="s">
        <v>240</v>
      </c>
      <c r="F43" s="147"/>
      <c r="G43" s="147"/>
      <c r="H43" s="147"/>
      <c r="I43" s="193">
        <f>IFERROR(INDEX(ProductivityBaseline[ProductivityBaseline],MATCH(functionInfo[[#This Row],[Service Description For Invoicing &amp; SLA]],ProductivityBaseline[Title],0)),0)</f>
        <v>0</v>
      </c>
      <c r="J43" s="147" t="s">
        <v>129</v>
      </c>
      <c r="K43" s="147" t="s">
        <v>129</v>
      </c>
      <c r="L43" s="147"/>
      <c r="M43" s="147"/>
      <c r="N43" s="147" t="s">
        <v>312</v>
      </c>
      <c r="O43" s="154"/>
    </row>
    <row r="44" spans="1:15" ht="30" hidden="1" x14ac:dyDescent="0.25">
      <c r="A44" s="146" t="s">
        <v>231</v>
      </c>
      <c r="B44" s="147" t="s">
        <v>241</v>
      </c>
      <c r="C44" s="148" t="str">
        <f>functionInfo[[#This Row],[Function]]&amp;" - "&amp;functionInfo[[#This Row],[Service Delivery]]</f>
        <v>Management - SSC IT</v>
      </c>
      <c r="D44" s="147" t="s">
        <v>233</v>
      </c>
      <c r="E44" s="149" t="s">
        <v>242</v>
      </c>
      <c r="F44" s="147"/>
      <c r="G44" s="147"/>
      <c r="H44" s="147"/>
      <c r="I44" s="193">
        <f>IFERROR(INDEX(ProductivityBaseline[ProductivityBaseline],MATCH(functionInfo[[#This Row],[Service Description For Invoicing &amp; SLA]],ProductivityBaseline[Title],0)),0)</f>
        <v>0</v>
      </c>
      <c r="J44" s="147" t="s">
        <v>129</v>
      </c>
      <c r="K44" s="147" t="s">
        <v>129</v>
      </c>
      <c r="L44" s="147"/>
      <c r="M44" s="147"/>
      <c r="N44" s="147" t="s">
        <v>312</v>
      </c>
      <c r="O44" s="154"/>
    </row>
    <row r="45" spans="1:15" ht="30" hidden="1" x14ac:dyDescent="0.25">
      <c r="A45" s="146" t="s">
        <v>231</v>
      </c>
      <c r="B45" s="147" t="s">
        <v>243</v>
      </c>
      <c r="C45" s="148" t="str">
        <f>functionInfo[[#This Row],[Function]]&amp;" - "&amp;functionInfo[[#This Row],[Service Delivery]]</f>
        <v>Management - SSC Air &amp; Sea &amp; Supply Chain Operation</v>
      </c>
      <c r="D45" s="147" t="s">
        <v>233</v>
      </c>
      <c r="E45" s="149" t="s">
        <v>244</v>
      </c>
      <c r="F45" s="147"/>
      <c r="G45" s="147"/>
      <c r="H45" s="147"/>
      <c r="I45" s="193">
        <f>IFERROR(INDEX(ProductivityBaseline[ProductivityBaseline],MATCH(functionInfo[[#This Row],[Service Description For Invoicing &amp; SLA]],ProductivityBaseline[Title],0)),0)</f>
        <v>0</v>
      </c>
      <c r="J45" s="147" t="s">
        <v>129</v>
      </c>
      <c r="K45" s="147" t="s">
        <v>129</v>
      </c>
      <c r="L45" s="147"/>
      <c r="M45" s="147"/>
      <c r="N45" s="147" t="s">
        <v>312</v>
      </c>
      <c r="O45" s="154"/>
    </row>
    <row r="46" spans="1:15" ht="30" hidden="1" x14ac:dyDescent="0.25">
      <c r="A46" s="146" t="s">
        <v>231</v>
      </c>
      <c r="B46" s="147" t="s">
        <v>245</v>
      </c>
      <c r="C46" s="148" t="str">
        <f>functionInfo[[#This Row],[Function]]&amp;" - "&amp;functionInfo[[#This Row],[Service Delivery]]</f>
        <v>Management - SSC Operation Excellence</v>
      </c>
      <c r="D46" s="147" t="s">
        <v>233</v>
      </c>
      <c r="E46" s="147" t="s">
        <v>246</v>
      </c>
      <c r="F46" s="147"/>
      <c r="G46" s="147"/>
      <c r="H46" s="147"/>
      <c r="I46" s="193">
        <f>IFERROR(INDEX(ProductivityBaseline[ProductivityBaseline],MATCH(functionInfo[[#This Row],[Service Description For Invoicing &amp; SLA]],ProductivityBaseline[Title],0)),0)</f>
        <v>0</v>
      </c>
      <c r="J46" s="147" t="s">
        <v>129</v>
      </c>
      <c r="K46" s="147" t="s">
        <v>129</v>
      </c>
      <c r="L46" s="147"/>
      <c r="M46" s="147"/>
      <c r="N46" s="147" t="s">
        <v>312</v>
      </c>
      <c r="O46" s="154"/>
    </row>
    <row r="47" spans="1:15" ht="45" hidden="1" x14ac:dyDescent="0.25">
      <c r="A47" s="146" t="s">
        <v>147</v>
      </c>
      <c r="B47" s="147" t="s">
        <v>148</v>
      </c>
      <c r="C47" s="148" t="str">
        <f>functionInfo[[#This Row],[Function]]&amp;" - "&amp;functionInfo[[#This Row],[Service Delivery]]</f>
        <v>Sales - Operation Account Management</v>
      </c>
      <c r="D47" s="147" t="s">
        <v>92</v>
      </c>
      <c r="E47" s="149" t="s">
        <v>149</v>
      </c>
      <c r="F47" s="147" t="s">
        <v>150</v>
      </c>
      <c r="G47" s="147"/>
      <c r="H47" s="147"/>
      <c r="I47" s="193">
        <f>IFERROR(INDEX(ProductivityBaseline[ProductivityBaseline],MATCH(functionInfo[[#This Row],[Service Description For Invoicing &amp; SLA]],ProductivityBaseline[Title],0)),0)</f>
        <v>0</v>
      </c>
      <c r="J47" s="147" t="s">
        <v>125</v>
      </c>
      <c r="K47" s="147" t="s">
        <v>125</v>
      </c>
      <c r="L47" s="147"/>
      <c r="M47" s="147"/>
      <c r="N47" s="147" t="s">
        <v>312</v>
      </c>
      <c r="O47" s="154"/>
    </row>
    <row r="48" spans="1:15" ht="45" hidden="1" customHeight="1" x14ac:dyDescent="0.25">
      <c r="A48" s="150" t="s">
        <v>147</v>
      </c>
      <c r="B48" s="151" t="s">
        <v>151</v>
      </c>
      <c r="C48" s="152" t="str">
        <f>functionInfo[[#This Row],[Function]]&amp;" - "&amp;functionInfo[[#This Row],[Service Delivery]]</f>
        <v>Sales - Inside Sales</v>
      </c>
      <c r="D48" s="151" t="s">
        <v>92</v>
      </c>
      <c r="E48" s="151" t="s">
        <v>152</v>
      </c>
      <c r="F48" s="151" t="s">
        <v>153</v>
      </c>
      <c r="G48" s="151"/>
      <c r="H48" s="151"/>
      <c r="I48" s="194">
        <f>IFERROR(INDEX(ProductivityBaseline[ProductivityBaseline],MATCH(functionInfo[[#This Row],[Service Description For Invoicing &amp; SLA]],ProductivityBaseline[Title],0)),0)</f>
        <v>0</v>
      </c>
      <c r="J48" s="151" t="s">
        <v>125</v>
      </c>
      <c r="K48" s="151" t="s">
        <v>125</v>
      </c>
      <c r="L48" s="151"/>
      <c r="M48" s="147"/>
      <c r="N48" s="147" t="s">
        <v>312</v>
      </c>
      <c r="O48" s="154"/>
    </row>
    <row r="49" spans="1:15" ht="45" hidden="1" x14ac:dyDescent="0.25">
      <c r="A49" s="146" t="s">
        <v>147</v>
      </c>
      <c r="B49" s="147" t="s">
        <v>160</v>
      </c>
      <c r="C49" s="148" t="str">
        <f>functionInfo[[#This Row],[Function]]&amp;" - "&amp;functionInfo[[#This Row],[Service Delivery]]</f>
        <v>Sales - Operation &amp; Performance</v>
      </c>
      <c r="D49" s="147" t="s">
        <v>127</v>
      </c>
      <c r="E49" s="149" t="s">
        <v>161</v>
      </c>
      <c r="F49" s="147"/>
      <c r="G49" s="147"/>
      <c r="H49" s="147"/>
      <c r="I49" s="193">
        <f>IFERROR(INDEX(ProductivityBaseline[ProductivityBaseline],MATCH(functionInfo[[#This Row],[Service Description For Invoicing &amp; SLA]],ProductivityBaseline[Title],0)),0)</f>
        <v>0</v>
      </c>
      <c r="J49" s="147" t="s">
        <v>129</v>
      </c>
      <c r="K49" s="147" t="s">
        <v>129</v>
      </c>
      <c r="L49" s="147"/>
      <c r="M49" s="147"/>
      <c r="N49" s="147" t="s">
        <v>312</v>
      </c>
      <c r="O49" s="154"/>
    </row>
    <row r="50" spans="1:15" ht="45" hidden="1" x14ac:dyDescent="0.25">
      <c r="A50" s="146" t="s">
        <v>147</v>
      </c>
      <c r="B50" s="147" t="s">
        <v>162</v>
      </c>
      <c r="C50" s="148" t="str">
        <f>functionInfo[[#This Row],[Function]]&amp;" - "&amp;functionInfo[[#This Row],[Service Delivery]]</f>
        <v>Sales - Marketing</v>
      </c>
      <c r="D50" s="147" t="s">
        <v>127</v>
      </c>
      <c r="E50" s="149" t="s">
        <v>163</v>
      </c>
      <c r="F50" s="147"/>
      <c r="G50" s="147"/>
      <c r="H50" s="147"/>
      <c r="I50" s="193">
        <f>IFERROR(INDEX(ProductivityBaseline[ProductivityBaseline],MATCH(functionInfo[[#This Row],[Service Description For Invoicing &amp; SLA]],ProductivityBaseline[Title],0)),0)</f>
        <v>0</v>
      </c>
      <c r="J50" s="147" t="s">
        <v>129</v>
      </c>
      <c r="K50" s="147" t="s">
        <v>129</v>
      </c>
      <c r="L50" s="147"/>
      <c r="M50" s="147"/>
      <c r="N50" s="147" t="s">
        <v>312</v>
      </c>
      <c r="O50" s="154"/>
    </row>
    <row r="51" spans="1:15" ht="45" hidden="1" x14ac:dyDescent="0.25">
      <c r="A51" s="146" t="s">
        <v>147</v>
      </c>
      <c r="B51" s="147" t="s">
        <v>164</v>
      </c>
      <c r="C51" s="148" t="str">
        <f>functionInfo[[#This Row],[Function]]&amp;" - "&amp;functionInfo[[#This Row],[Service Delivery]]</f>
        <v>Sales - Business Analytics &amp; Development</v>
      </c>
      <c r="D51" s="147" t="s">
        <v>92</v>
      </c>
      <c r="E51" s="149" t="s">
        <v>165</v>
      </c>
      <c r="F51" s="147" t="s">
        <v>166</v>
      </c>
      <c r="G51" s="147"/>
      <c r="H51" s="147"/>
      <c r="I51" s="193">
        <f>IFERROR(INDEX(ProductivityBaseline[ProductivityBaseline],MATCH(functionInfo[[#This Row],[Service Description For Invoicing &amp; SLA]],ProductivityBaseline[Title],0)),0)</f>
        <v>0</v>
      </c>
      <c r="J51" s="147" t="s">
        <v>125</v>
      </c>
      <c r="K51" s="147" t="s">
        <v>125</v>
      </c>
      <c r="L51" s="147"/>
      <c r="M51" s="147"/>
      <c r="N51" s="147" t="s">
        <v>312</v>
      </c>
      <c r="O51" s="154"/>
    </row>
    <row r="52" spans="1:15" ht="45" hidden="1" x14ac:dyDescent="0.25">
      <c r="A52" s="150" t="s">
        <v>147</v>
      </c>
      <c r="B52" s="151" t="s">
        <v>167</v>
      </c>
      <c r="C52" s="152" t="str">
        <f>functionInfo[[#This Row],[Function]]&amp;" - "&amp;functionInfo[[#This Row],[Service Delivery]]</f>
        <v>Sales - Opportunity Management</v>
      </c>
      <c r="D52" s="151" t="s">
        <v>127</v>
      </c>
      <c r="E52" s="153" t="s">
        <v>168</v>
      </c>
      <c r="F52" s="151" t="s">
        <v>169</v>
      </c>
      <c r="G52" s="151"/>
      <c r="H52" s="151"/>
      <c r="I52" s="194">
        <f>IFERROR(INDEX(ProductivityBaseline[ProductivityBaseline],MATCH(functionInfo[[#This Row],[Service Description For Invoicing &amp; SLA]],ProductivityBaseline[Title],0)),0)</f>
        <v>0</v>
      </c>
      <c r="J52" s="151" t="s">
        <v>129</v>
      </c>
      <c r="K52" s="151" t="s">
        <v>129</v>
      </c>
      <c r="L52" s="151"/>
      <c r="M52" s="147"/>
      <c r="N52" s="147" t="s">
        <v>312</v>
      </c>
      <c r="O52" s="154"/>
    </row>
    <row r="53" spans="1:15" ht="45" x14ac:dyDescent="0.25">
      <c r="A53" s="150" t="s">
        <v>147</v>
      </c>
      <c r="B53" s="151" t="s">
        <v>179</v>
      </c>
      <c r="C53" s="152" t="str">
        <f>functionInfo[[#This Row],[Function]]&amp;" - "&amp;functionInfo[[#This Row],[Service Delivery]]</f>
        <v>Sales - Customer Quotations</v>
      </c>
      <c r="D53" s="151" t="s">
        <v>92</v>
      </c>
      <c r="E53" s="153" t="s">
        <v>180</v>
      </c>
      <c r="F53" s="151" t="s">
        <v>181</v>
      </c>
      <c r="G53" s="151">
        <v>7.8</v>
      </c>
      <c r="H53" s="151"/>
      <c r="I53" s="194">
        <f>IFERROR(INDEX(ProductivityBaseline[ProductivityBaseline],MATCH(functionInfo[[#This Row],[Service Description For Invoicing &amp; SLA]],ProductivityBaseline[Title],0)),0)</f>
        <v>7.8085451595457007</v>
      </c>
      <c r="J53" s="151" t="s">
        <v>96</v>
      </c>
      <c r="K53" s="151" t="s">
        <v>96</v>
      </c>
      <c r="L53" s="151"/>
      <c r="M53" s="147"/>
      <c r="N53" s="147" t="s">
        <v>312</v>
      </c>
      <c r="O53" s="154"/>
    </row>
    <row r="54" spans="1:15" ht="60" x14ac:dyDescent="0.25">
      <c r="A54" s="146" t="s">
        <v>147</v>
      </c>
      <c r="B54" s="147" t="s">
        <v>182</v>
      </c>
      <c r="C54" s="148" t="str">
        <f>functionInfo[[#This Row],[Function]]&amp;" - "&amp;functionInfo[[#This Row],[Service Delivery]]</f>
        <v>Sales - Customer Reporting</v>
      </c>
      <c r="D54" s="147" t="s">
        <v>92</v>
      </c>
      <c r="E54" s="147" t="s">
        <v>184</v>
      </c>
      <c r="F54" s="147" t="s">
        <v>185</v>
      </c>
      <c r="G54" s="147">
        <v>4.5</v>
      </c>
      <c r="H54" s="147"/>
      <c r="I54" s="193">
        <f>IFERROR(INDEX(ProductivityBaseline[ProductivityBaseline],MATCH(functionInfo[[#This Row],[Service Description For Invoicing &amp; SLA]],ProductivityBaseline[Title],0)),0)</f>
        <v>4.2</v>
      </c>
      <c r="J54" s="147" t="s">
        <v>96</v>
      </c>
      <c r="K54" s="147" t="s">
        <v>96</v>
      </c>
      <c r="L54" s="147" t="s">
        <v>276</v>
      </c>
      <c r="M54" s="147"/>
      <c r="N54" s="147">
        <v>0</v>
      </c>
      <c r="O54" s="154"/>
    </row>
    <row r="55" spans="1:15" ht="45" hidden="1" x14ac:dyDescent="0.25">
      <c r="A55" s="146" t="s">
        <v>90</v>
      </c>
      <c r="B55" s="147" t="s">
        <v>126</v>
      </c>
      <c r="C55" s="148" t="str">
        <f>functionInfo[[#This Row],[Function]]&amp;" - "&amp;functionInfo[[#This Row],[Service Delivery]]</f>
        <v>Sea Freight - Trade Management</v>
      </c>
      <c r="D55" s="147" t="s">
        <v>127</v>
      </c>
      <c r="E55" s="149" t="s">
        <v>128</v>
      </c>
      <c r="F55" s="147"/>
      <c r="G55" s="147"/>
      <c r="H55" s="147"/>
      <c r="I55" s="193">
        <f>IFERROR(INDEX(ProductivityBaseline[ProductivityBaseline],MATCH(functionInfo[[#This Row],[Service Description For Invoicing &amp; SLA]],ProductivityBaseline[Title],0)),0)</f>
        <v>0</v>
      </c>
      <c r="J55" s="147" t="s">
        <v>129</v>
      </c>
      <c r="K55" s="147" t="s">
        <v>129</v>
      </c>
      <c r="L55" s="147"/>
      <c r="M55" s="147"/>
      <c r="N55" s="147" t="s">
        <v>312</v>
      </c>
      <c r="O55" s="154"/>
    </row>
    <row r="56" spans="1:15" ht="75" hidden="1" x14ac:dyDescent="0.25">
      <c r="A56" s="146" t="s">
        <v>90</v>
      </c>
      <c r="B56" s="147" t="s">
        <v>130</v>
      </c>
      <c r="C56" s="148" t="str">
        <f>functionInfo[[#This Row],[Function]]&amp;" - "&amp;functionInfo[[#This Row],[Service Delivery]]</f>
        <v>Sea Freight - Allocation Management</v>
      </c>
      <c r="D56" s="147" t="s">
        <v>127</v>
      </c>
      <c r="E56" s="149" t="s">
        <v>131</v>
      </c>
      <c r="F56" s="147"/>
      <c r="G56" s="147"/>
      <c r="H56" s="147"/>
      <c r="I56" s="193">
        <f>IFERROR(INDEX(ProductivityBaseline[ProductivityBaseline],MATCH(functionInfo[[#This Row],[Service Description For Invoicing &amp; SLA]],ProductivityBaseline[Title],0)),0)</f>
        <v>0</v>
      </c>
      <c r="J56" s="147" t="s">
        <v>129</v>
      </c>
      <c r="K56" s="147" t="s">
        <v>129</v>
      </c>
      <c r="L56" s="147"/>
      <c r="M56" s="147"/>
      <c r="N56" s="147" t="s">
        <v>312</v>
      </c>
      <c r="O56" s="154"/>
    </row>
    <row r="57" spans="1:15" ht="45" hidden="1" x14ac:dyDescent="0.25">
      <c r="A57" s="146" t="s">
        <v>90</v>
      </c>
      <c r="B57" s="147" t="s">
        <v>98</v>
      </c>
      <c r="C57" s="148" t="str">
        <f>functionInfo[[#This Row],[Function]]&amp;" - "&amp;functionInfo[[#This Row],[Service Delivery]]</f>
        <v>Sea Freight - Invoicing &amp; Billing</v>
      </c>
      <c r="D57" s="147" t="s">
        <v>92</v>
      </c>
      <c r="E57" s="149" t="s">
        <v>99</v>
      </c>
      <c r="F57" s="147" t="s">
        <v>100</v>
      </c>
      <c r="G57" s="147">
        <v>7</v>
      </c>
      <c r="H57" s="147"/>
      <c r="I57" s="193">
        <f>IFERROR(INDEX(ProductivityBaseline[ProductivityBaseline],MATCH(functionInfo[[#This Row],[Service Description For Invoicing &amp; SLA]],ProductivityBaseline[Title],0)),0)</f>
        <v>6.2203672787979967</v>
      </c>
      <c r="J57" s="147"/>
      <c r="K57" s="147" t="s">
        <v>96</v>
      </c>
      <c r="L57" s="147" t="s">
        <v>97</v>
      </c>
      <c r="M57" s="147"/>
      <c r="N57" s="147" t="s">
        <v>291</v>
      </c>
      <c r="O57" s="154"/>
    </row>
    <row r="58" spans="1:15" ht="60" hidden="1" x14ac:dyDescent="0.25">
      <c r="A58" s="146" t="s">
        <v>90</v>
      </c>
      <c r="B58" s="147" t="s">
        <v>122</v>
      </c>
      <c r="C58" s="148" t="str">
        <f>functionInfo[[#This Row],[Function]]&amp;" - "&amp;functionInfo[[#This Row],[Service Delivery]]</f>
        <v>Sea Freight - 3PL Control Tower</v>
      </c>
      <c r="D58" s="147" t="s">
        <v>92</v>
      </c>
      <c r="E58" s="149" t="s">
        <v>123</v>
      </c>
      <c r="F58" s="147" t="s">
        <v>94</v>
      </c>
      <c r="G58" s="147">
        <v>7.7</v>
      </c>
      <c r="H58" s="147" t="s">
        <v>124</v>
      </c>
      <c r="I58" s="193">
        <f>IFERROR(INDEX(ProductivityBaseline[ProductivityBaseline],MATCH(functionInfo[[#This Row],[Service Description For Invoicing &amp; SLA]],ProductivityBaseline[Title],0)),0)</f>
        <v>0</v>
      </c>
      <c r="J58" s="147" t="s">
        <v>125</v>
      </c>
      <c r="K58" s="147" t="s">
        <v>125</v>
      </c>
      <c r="L58" s="147" t="s">
        <v>97</v>
      </c>
      <c r="M58" s="147"/>
      <c r="N58" s="147" t="s">
        <v>312</v>
      </c>
      <c r="O58" s="154"/>
    </row>
    <row r="59" spans="1:15" ht="45" hidden="1" x14ac:dyDescent="0.25">
      <c r="A59" s="146" t="s">
        <v>90</v>
      </c>
      <c r="B59" s="147" t="s">
        <v>91</v>
      </c>
      <c r="C59" s="148" t="str">
        <f>functionInfo[[#This Row],[Function]]&amp;" - "&amp;functionInfo[[#This Row],[Service Delivery]]</f>
        <v>Sea Freight - Operation - Singapore</v>
      </c>
      <c r="D59" s="147" t="s">
        <v>92</v>
      </c>
      <c r="E59" s="149" t="s">
        <v>93</v>
      </c>
      <c r="F59" s="147" t="s">
        <v>94</v>
      </c>
      <c r="G59" s="147">
        <v>4</v>
      </c>
      <c r="H59" s="147" t="s">
        <v>95</v>
      </c>
      <c r="I59" s="193">
        <f>IFERROR(INDEX(ProductivityBaseline[ProductivityBaseline],MATCH(functionInfo[[#This Row],[Service Description For Invoicing &amp; SLA]],ProductivityBaseline[Title],0)),0)</f>
        <v>0</v>
      </c>
      <c r="J59" s="147"/>
      <c r="K59" s="147" t="s">
        <v>96</v>
      </c>
      <c r="L59" s="147" t="s">
        <v>97</v>
      </c>
      <c r="M59" s="147" t="s">
        <v>325</v>
      </c>
      <c r="N59" s="147" t="s">
        <v>325</v>
      </c>
      <c r="O59" s="154"/>
    </row>
    <row r="60" spans="1:15" ht="60" hidden="1" x14ac:dyDescent="0.25">
      <c r="A60" s="185" t="s">
        <v>90</v>
      </c>
      <c r="B60" s="186" t="s">
        <v>101</v>
      </c>
      <c r="C60" s="187" t="str">
        <f>functionInfo[[#This Row],[Function]]&amp;" - "&amp;functionInfo[[#This Row],[Service Delivery]]</f>
        <v>Sea Freight - Accounts Payable Operation</v>
      </c>
      <c r="D60" s="186" t="s">
        <v>92</v>
      </c>
      <c r="E60" s="188" t="s">
        <v>102</v>
      </c>
      <c r="F60" s="186" t="s">
        <v>100</v>
      </c>
      <c r="G60" s="186">
        <v>57.4</v>
      </c>
      <c r="H60" s="165" t="s">
        <v>339</v>
      </c>
      <c r="I60" s="195">
        <f>IFERROR(INDEX(ProductivityBaseline[ProductivityBaseline],MATCH(functionInfo[[#This Row],[Service Description For Invoicing &amp; SLA]],ProductivityBaseline[Title],0)),0)</f>
        <v>60.109065155807365</v>
      </c>
      <c r="J60" s="186" t="s">
        <v>125</v>
      </c>
      <c r="K60" s="186" t="s">
        <v>125</v>
      </c>
      <c r="L60" s="186" t="s">
        <v>97</v>
      </c>
      <c r="M60" s="209" t="s">
        <v>318</v>
      </c>
      <c r="N60" s="186">
        <v>0</v>
      </c>
      <c r="O60" s="210"/>
    </row>
    <row r="61" spans="1:15" ht="60" hidden="1" x14ac:dyDescent="0.25">
      <c r="A61" s="185" t="s">
        <v>90</v>
      </c>
      <c r="B61" s="186" t="s">
        <v>103</v>
      </c>
      <c r="C61" s="187" t="str">
        <f>functionInfo[[#This Row],[Function]]&amp;" - "&amp;functionInfo[[#This Row],[Service Delivery]]</f>
        <v>Sea Freight - Vendor Invoice Auditing</v>
      </c>
      <c r="D61" s="186" t="s">
        <v>92</v>
      </c>
      <c r="E61" s="188" t="s">
        <v>104</v>
      </c>
      <c r="F61" s="186" t="s">
        <v>100</v>
      </c>
      <c r="G61" s="186">
        <v>30</v>
      </c>
      <c r="H61" s="165" t="s">
        <v>339</v>
      </c>
      <c r="I61" s="195">
        <f>IFERROR(INDEX(ProductivityBaseline[ProductivityBaseline],MATCH(functionInfo[[#This Row],[Service Description For Invoicing &amp; SLA]],ProductivityBaseline[Title],0)),0)</f>
        <v>0</v>
      </c>
      <c r="J61" s="186" t="s">
        <v>125</v>
      </c>
      <c r="K61" s="186" t="s">
        <v>125</v>
      </c>
      <c r="L61" s="186" t="s">
        <v>97</v>
      </c>
      <c r="M61" s="209" t="s">
        <v>318</v>
      </c>
      <c r="N61" s="189" t="s">
        <v>105</v>
      </c>
      <c r="O61" s="210"/>
    </row>
    <row r="62" spans="1:15" ht="60" x14ac:dyDescent="0.25">
      <c r="A62" s="146" t="s">
        <v>90</v>
      </c>
      <c r="B62" s="147" t="s">
        <v>118</v>
      </c>
      <c r="C62" s="148" t="str">
        <f>functionInfo[[#This Row],[Function]]&amp;" - "&amp;functionInfo[[#This Row],[Service Delivery]]</f>
        <v>Sea Freight - Customs Compiler</v>
      </c>
      <c r="D62" s="147" t="s">
        <v>92</v>
      </c>
      <c r="E62" s="147" t="s">
        <v>119</v>
      </c>
      <c r="F62" s="147" t="s">
        <v>120</v>
      </c>
      <c r="G62" s="147">
        <v>34.6</v>
      </c>
      <c r="H62" s="147" t="s">
        <v>121</v>
      </c>
      <c r="I62" s="193">
        <f>IFERROR(INDEX(ProductivityBaseline[ProductivityBaseline],MATCH(functionInfo[[#This Row],[Service Description For Invoicing &amp; SLA]],ProductivityBaseline[Title],0)),0)</f>
        <v>0</v>
      </c>
      <c r="J62" s="147" t="s">
        <v>96</v>
      </c>
      <c r="K62" s="147" t="s">
        <v>96</v>
      </c>
      <c r="L62" s="147" t="s">
        <v>97</v>
      </c>
      <c r="M62" s="205" t="s">
        <v>307</v>
      </c>
      <c r="N62" s="147" t="s">
        <v>315</v>
      </c>
      <c r="O62" s="154"/>
    </row>
    <row r="63" spans="1:15" ht="60" hidden="1" x14ac:dyDescent="0.25">
      <c r="A63" s="146" t="s">
        <v>90</v>
      </c>
      <c r="B63" s="147" t="s">
        <v>188</v>
      </c>
      <c r="C63" s="148" t="str">
        <f>functionInfo[[#This Row],[Function]]&amp;" - "&amp;functionInfo[[#This Row],[Service Delivery]]</f>
        <v>Sea Freight - RFQ Analytics &amp; Pricing</v>
      </c>
      <c r="D63" s="147" t="s">
        <v>92</v>
      </c>
      <c r="E63" s="149" t="s">
        <v>189</v>
      </c>
      <c r="F63" s="147" t="s">
        <v>169</v>
      </c>
      <c r="G63" s="147">
        <v>0.7</v>
      </c>
      <c r="H63" s="147"/>
      <c r="I63" s="197">
        <f>IFERROR(INDEX(ProductivityBaseline[ProductivityBaseline],MATCH(functionInfo[[#This Row],[Service Description For Invoicing &amp; SLA]],ProductivityBaseline[Title],0)),0)</f>
        <v>0.47195858498705778</v>
      </c>
      <c r="J63" s="147" t="s">
        <v>125</v>
      </c>
      <c r="K63" s="147" t="s">
        <v>96</v>
      </c>
      <c r="L63" s="147" t="s">
        <v>111</v>
      </c>
      <c r="M63" s="147"/>
      <c r="N63" s="147">
        <v>0</v>
      </c>
      <c r="O63" s="154"/>
    </row>
    <row r="64" spans="1:15" ht="60" x14ac:dyDescent="0.25">
      <c r="A64" s="146" t="s">
        <v>90</v>
      </c>
      <c r="B64" s="147" t="s">
        <v>107</v>
      </c>
      <c r="C64" s="148" t="str">
        <f>functionInfo[[#This Row],[Function]]&amp;" - "&amp;functionInfo[[#This Row],[Service Delivery]]</f>
        <v>Sea Freight - Network Product Pricing</v>
      </c>
      <c r="D64" s="147" t="s">
        <v>92</v>
      </c>
      <c r="E64" s="149" t="s">
        <v>109</v>
      </c>
      <c r="F64" s="147" t="s">
        <v>110</v>
      </c>
      <c r="G64" s="147">
        <v>9.5</v>
      </c>
      <c r="H64" s="147" t="s">
        <v>321</v>
      </c>
      <c r="I64" s="193">
        <f>IFERROR(INDEX(ProductivityBaseline[ProductivityBaseline],MATCH(functionInfo[[#This Row],[Service Description For Invoicing &amp; SLA]],ProductivityBaseline[Title],0)),0)</f>
        <v>0</v>
      </c>
      <c r="J64" s="147" t="s">
        <v>96</v>
      </c>
      <c r="K64" s="147" t="s">
        <v>96</v>
      </c>
      <c r="L64" s="147" t="s">
        <v>111</v>
      </c>
      <c r="M64" s="147"/>
      <c r="N64" s="147" t="s">
        <v>322</v>
      </c>
      <c r="O64" s="154"/>
    </row>
    <row r="65" spans="1:15" ht="45" hidden="1" x14ac:dyDescent="0.25">
      <c r="A65" s="156" t="s">
        <v>90</v>
      </c>
      <c r="B65" s="157" t="s">
        <v>247</v>
      </c>
      <c r="C65" s="158" t="str">
        <f>functionInfo[[#This Row],[Function]]&amp;" - "&amp;functionInfo[[#This Row],[Service Delivery]]</f>
        <v>Sea Freight - Operation - Australia</v>
      </c>
      <c r="D65" s="157" t="s">
        <v>92</v>
      </c>
      <c r="E65" s="157" t="s">
        <v>93</v>
      </c>
      <c r="F65" s="157" t="s">
        <v>120</v>
      </c>
      <c r="G65" s="157"/>
      <c r="H65" s="157" t="s">
        <v>248</v>
      </c>
      <c r="I65" s="196">
        <f>IFERROR(INDEX(ProductivityBaseline[ProductivityBaseline],MATCH(functionInfo[[#This Row],[Service Description For Invoicing &amp; SLA]],ProductivityBaseline[Title],0)),0)</f>
        <v>0</v>
      </c>
      <c r="J65" s="157"/>
      <c r="K65" s="157" t="s">
        <v>96</v>
      </c>
      <c r="L65" s="157" t="s">
        <v>97</v>
      </c>
      <c r="M65" s="211" t="s">
        <v>317</v>
      </c>
      <c r="N65" s="157" t="s">
        <v>326</v>
      </c>
      <c r="O65" s="212"/>
    </row>
  </sheetData>
  <conditionalFormatting sqref="A6:M10 A11:L11 A12:M12 A13:L13 A14:M19 A20:L21 A22:M23 A24:L25 A26:M59 A60:L61 A62:M64 A65:L65">
    <cfRule type="expression" dxfId="23" priority="3">
      <formula>AND($J6&lt;&gt;"Yes",$J6="Yes-Later",$K6&lt;&gt;"Yes",$K6&lt;&gt;"Yes-Later")</formula>
    </cfRule>
  </conditionalFormatting>
  <conditionalFormatting sqref="C6:C65">
    <cfRule type="duplicateValues" dxfId="22" priority="6"/>
  </conditionalFormatting>
  <conditionalFormatting sqref="N11">
    <cfRule type="expression" dxfId="21" priority="2">
      <formula>AND($J11&lt;&gt;"Yes",$J11="Yes-Later",$K11&lt;&gt;"Yes",$K11&lt;&gt;"Yes-Later")</formula>
    </cfRule>
  </conditionalFormatting>
  <conditionalFormatting sqref="N61">
    <cfRule type="expression" dxfId="20" priority="1">
      <formula>AND($J61&lt;&gt;"Yes",$J61="Yes-Later",$K61&lt;&gt;"Yes",$K61&lt;&gt;"Yes-Later")</formula>
    </cfRule>
  </conditionalFormatting>
  <hyperlinks>
    <hyperlink ref="M6" r:id="rId1" xr:uid="{0A8773CF-BCBA-4852-ADFB-1ED50FF828A8}"/>
    <hyperlink ref="M9" r:id="rId2" xr:uid="{B74F0DBD-6F0E-40FD-ACF9-DAE024BF4904}"/>
    <hyperlink ref="M17" r:id="rId3" display="https://app.powerbi.com/groups/5f8eff56-61f0-4824-9f06-fc0961e08c98/reports/0f74d8e1-bec7-4366-97c3-f3a8434f3b6f/ReportSection4b902f47121e3d14e754?experience=power-bi" xr:uid="{4613CBBC-63B7-415E-99AD-71D6613BC071}"/>
    <hyperlink ref="M62" r:id="rId4" display="https://app.powerbi.com/groups/5f8eff56-61f0-4824-9f06-fc0961e08c98/reports/0f74d8e1-bec7-4366-97c3-f3a8434f3b6f/01a0b62443de40eea946?experience=power-bi" xr:uid="{59C2CB07-0F87-4584-A0B4-74ADDFB11645}"/>
    <hyperlink ref="M7" r:id="rId5" display="https://app.powerbi.com/groups/5f8eff56-61f0-4824-9f06-fc0961e08c98/reports/0f74d8e1-bec7-4366-97c3-f3a8434f3b6f/ReportSectione8ad13368d3adba6932f?experience=power-bi" xr:uid="{22630CB3-CAB5-435C-BBFF-7F67B7506106}"/>
    <hyperlink ref="M10" r:id="rId6" display="https://app.powerbi.com/groups/5f8eff56-61f0-4824-9f06-fc0961e08c98/reports/118be7b0-cf1b-446b-a03f-ea5cb0eb4532/ReportSection898cd81d0751d7669fd4?experience=power-bi" xr:uid="{E906F764-3AFA-4114-9178-0A6DE54B7383}"/>
    <hyperlink ref="M65" r:id="rId7" display="https://app.powerbi.com/groups/5f8eff56-61f0-4824-9f06-fc0961e08c98/reports/6f9d4cc6-a16f-490b-8a5d-7c73d5a1e208/297104b92429842bac33?experience=power-bi" xr:uid="{8DC1329F-E3C1-4135-994F-0AA0284CD8AF}"/>
    <hyperlink ref="M11" r:id="rId8" display="https://app.powerbi.com/groups/5f8eff56-61f0-4824-9f06-fc0961e08c98/reports/118be7b0-cf1b-446b-a03f-ea5cb0eb4532/ReportSection780cb334a8da95d7e2c3?experience=power-bi" xr:uid="{CDBEB024-E618-4747-AE90-AD427EA28A4B}"/>
    <hyperlink ref="M61" r:id="rId9" display="https://app.powerbi.com/groups/5f8eff56-61f0-4824-9f06-fc0961e08c98/reports/118be7b0-cf1b-446b-a03f-ea5cb0eb4532/ReportSection780cb334a8da95d7e2c3?experience=power-bi" xr:uid="{9D6CDD38-366A-4D47-823B-A5644FB69350}"/>
    <hyperlink ref="M60" r:id="rId10" display="https://app.powerbi.com/groups/5f8eff56-61f0-4824-9f06-fc0961e08c98/reports/118be7b0-cf1b-446b-a03f-ea5cb0eb4532/ReportSection780cb334a8da95d7e2c3?experience=power-bi" xr:uid="{1DEF4722-1343-4829-AB64-18E6512F02A0}"/>
    <hyperlink ref="M20" r:id="rId11" display="https://app.powerbi.com/reportEmbed?reportId=14a1cf07-8940-4f68-b4f6-b50d4354e329&amp;autoAuth=true&amp;ctid=f1cf02ad-9661-4b67-ad60-9ae41c500550" xr:uid="{68C4D32E-62A5-4937-8624-7F4040D16E23}"/>
    <hyperlink ref="M21" r:id="rId12" display="https://app.powerbi.com/reportEmbed?reportId=14a1cf07-8940-4f68-b4f6-b50d4354e329&amp;autoAuth=true&amp;ctid=f1cf02ad-9661-4b67-ad60-9ae41c500550" xr:uid="{6A54E136-4E58-41A0-B77B-4B0686A6ED2A}"/>
    <hyperlink ref="M25" r:id="rId13" display="https://app.powerbi.com/reportEmbed?reportId=14a1cf07-8940-4f68-b4f6-b50d4354e329&amp;autoAuth=true&amp;ctid=f1cf02ad-9661-4b67-ad60-9ae41c500550" xr:uid="{735AFBD7-8246-4DDA-8B77-2BA61B5B7F58}"/>
    <hyperlink ref="M24" r:id="rId14" display="https://app.powerbi.com/reportEmbed?reportId=1c3ce76d-5b9a-4818-93cb-582bdaa28817&amp;autoAuth=true&amp;ctid=f1cf02ad-9661-4b67-ad60-9ae41c500550" xr:uid="{D99F3567-DD6D-416A-A353-C596A5863120}"/>
    <hyperlink ref="M13" r:id="rId15" display="https://app.powerbi.com/groups/5f8eff56-61f0-4824-9f06-fc0961e08c98/reports/be3be6b6-95fc-491f-b09b-e6263bd4253d/ReportSection3cd5df952ae3e24f6567?ctid=f1cf02ad-9661-4b67-ad60-9ae41c500550&amp;openReportSource=ReportInvitation&amp;experience=power-bi" xr:uid="{1A33ACF3-AAF8-4827-8375-3B09A504D7D0}"/>
    <hyperlink ref="O13" r:id="rId16" display="https://app.powerbi.com/groups/5f8eff56-61f0-4824-9f06-fc0961e08c98/reports/0f74d8e1-bec7-4366-97c3-f3a8434f3b6f/ReportSectione8ad13368d3adba6932f?ctid=f1cf02ad-9661-4b67-ad60-9ae41c500550&amp;openReportSource=ReportInvitation&amp;experience=power-bi" xr:uid="{1761E614-D2A8-40A4-8451-2A1D39FBD596}"/>
  </hyperlinks>
  <pageMargins left="0.7" right="0.7" top="0.75" bottom="0.75" header="0.3" footer="0.3"/>
  <tableParts count="1"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3BDD-DB01-4D57-9F53-6848D354A553}">
  <dimension ref="A1"/>
  <sheetViews>
    <sheetView showGridLines="0" zoomScale="85" zoomScaleNormal="85" workbookViewId="0">
      <selection activeCell="X4" sqref="X4"/>
    </sheetView>
    <sheetView workbookViewId="1">
      <selection activeCell="K4" sqref="K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A030-55C2-4BE6-A576-CE7ED4A1A1E5}">
  <sheetPr>
    <tabColor theme="9" tint="0.39997558519241921"/>
  </sheetPr>
  <dimension ref="A1:D13"/>
  <sheetViews>
    <sheetView tabSelected="1" workbookViewId="0">
      <selection activeCell="D19" sqref="D19"/>
    </sheetView>
    <sheetView workbookViewId="1">
      <selection activeCell="G31" sqref="G31"/>
    </sheetView>
  </sheetViews>
  <sheetFormatPr defaultColWidth="9.140625" defaultRowHeight="15" x14ac:dyDescent="0.25"/>
  <cols>
    <col min="1" max="3" width="9.140625" style="1"/>
    <col min="4" max="4" width="12.28515625" style="1" customWidth="1"/>
    <col min="5" max="16384" width="9.140625" style="1"/>
  </cols>
  <sheetData>
    <row r="1" spans="1:4" x14ac:dyDescent="0.25">
      <c r="A1" s="1" t="s">
        <v>42</v>
      </c>
      <c r="B1" s="1" t="s">
        <v>1</v>
      </c>
      <c r="C1" s="1" t="s">
        <v>48</v>
      </c>
      <c r="D1" s="1" t="s">
        <v>49</v>
      </c>
    </row>
    <row r="2" spans="1:4" x14ac:dyDescent="0.25">
      <c r="A2" s="1">
        <v>2025</v>
      </c>
      <c r="B2" s="1" t="s">
        <v>14</v>
      </c>
      <c r="C2" s="1">
        <v>19</v>
      </c>
      <c r="D2" s="1">
        <v>21</v>
      </c>
    </row>
    <row r="3" spans="1:4" x14ac:dyDescent="0.25">
      <c r="A3" s="1">
        <v>2025</v>
      </c>
      <c r="B3" s="1" t="s">
        <v>17</v>
      </c>
      <c r="C3" s="1">
        <v>19</v>
      </c>
      <c r="D3" s="1">
        <v>20</v>
      </c>
    </row>
    <row r="4" spans="1:4" x14ac:dyDescent="0.25">
      <c r="A4" s="1">
        <v>2025</v>
      </c>
      <c r="B4" s="1" t="s">
        <v>18</v>
      </c>
      <c r="C4" s="1">
        <v>21</v>
      </c>
      <c r="D4" s="1">
        <v>21</v>
      </c>
    </row>
    <row r="5" spans="1:4" x14ac:dyDescent="0.25">
      <c r="A5" s="1">
        <v>2025</v>
      </c>
      <c r="B5" s="1" t="s">
        <v>19</v>
      </c>
      <c r="C5" s="1">
        <v>22</v>
      </c>
      <c r="D5" s="1">
        <v>19</v>
      </c>
    </row>
    <row r="6" spans="1:4" x14ac:dyDescent="0.25">
      <c r="A6" s="1">
        <v>2025</v>
      </c>
      <c r="B6" s="1" t="s">
        <v>20</v>
      </c>
      <c r="C6" s="1">
        <v>19</v>
      </c>
      <c r="D6" s="1">
        <v>21</v>
      </c>
    </row>
    <row r="7" spans="1:4" x14ac:dyDescent="0.25">
      <c r="A7" s="1">
        <v>2025</v>
      </c>
      <c r="B7" s="1" t="s">
        <v>21</v>
      </c>
      <c r="C7" s="1">
        <v>20</v>
      </c>
      <c r="D7" s="1">
        <v>19</v>
      </c>
    </row>
    <row r="8" spans="1:4" x14ac:dyDescent="0.25">
      <c r="A8" s="1">
        <v>2025</v>
      </c>
      <c r="B8" s="1" t="s">
        <v>22</v>
      </c>
      <c r="C8" s="1">
        <v>23</v>
      </c>
      <c r="D8" s="1">
        <v>23</v>
      </c>
    </row>
    <row r="9" spans="1:4" x14ac:dyDescent="0.25">
      <c r="A9" s="1">
        <v>2025</v>
      </c>
      <c r="B9" s="1" t="s">
        <v>46</v>
      </c>
      <c r="C9" s="1">
        <v>21</v>
      </c>
      <c r="D9" s="1">
        <v>19</v>
      </c>
    </row>
    <row r="10" spans="1:4" x14ac:dyDescent="0.25">
      <c r="A10" s="1">
        <v>2025</v>
      </c>
      <c r="B10" s="1" t="s">
        <v>33</v>
      </c>
      <c r="C10" s="1">
        <v>23</v>
      </c>
      <c r="D10" s="1">
        <v>22</v>
      </c>
    </row>
    <row r="11" spans="1:4" x14ac:dyDescent="0.25">
      <c r="A11" s="1">
        <v>2025</v>
      </c>
      <c r="B11" s="1" t="s">
        <v>25</v>
      </c>
      <c r="C11" s="1">
        <v>18</v>
      </c>
      <c r="D11" s="1">
        <v>22</v>
      </c>
    </row>
    <row r="12" spans="1:4" x14ac:dyDescent="0.25">
      <c r="A12" s="1">
        <v>2025</v>
      </c>
      <c r="B12" s="1" t="s">
        <v>26</v>
      </c>
      <c r="C12" s="1">
        <v>20</v>
      </c>
      <c r="D12" s="1">
        <v>20</v>
      </c>
    </row>
    <row r="13" spans="1:4" x14ac:dyDescent="0.25">
      <c r="A13" s="1">
        <v>2025</v>
      </c>
      <c r="B13" s="1" t="s">
        <v>27</v>
      </c>
      <c r="C13" s="1">
        <v>23</v>
      </c>
      <c r="D13" s="1">
        <v>18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31F7-13DD-4090-9A46-6E20F08DE720}">
  <sheetPr>
    <tabColor theme="9" tint="0.39997558519241921"/>
  </sheetPr>
  <dimension ref="A1:I3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  <sheetView workbookViewId="1">
      <selection activeCell="E2" sqref="E2"/>
    </sheetView>
  </sheetViews>
  <sheetFormatPr defaultColWidth="10.28515625" defaultRowHeight="15" x14ac:dyDescent="0.25"/>
  <cols>
    <col min="1" max="1" width="30" style="72" customWidth="1"/>
    <col min="2" max="2" width="15.85546875" style="72" customWidth="1"/>
    <col min="3" max="3" width="28.42578125" style="72" bestFit="1" customWidth="1"/>
    <col min="4" max="4" width="26.85546875" style="72" customWidth="1"/>
    <col min="5" max="5" width="23.5703125" style="72" customWidth="1"/>
    <col min="6" max="6" width="24.28515625" style="72" customWidth="1"/>
    <col min="7" max="7" width="50" style="72" customWidth="1"/>
    <col min="8" max="8" width="21.7109375" style="72" hidden="1" customWidth="1"/>
    <col min="9" max="9" width="27.140625" style="72" customWidth="1"/>
    <col min="10" max="16384" width="10.28515625" style="72"/>
  </cols>
  <sheetData>
    <row r="1" spans="1:9" x14ac:dyDescent="0.25">
      <c r="A1" s="73" t="s">
        <v>50</v>
      </c>
      <c r="B1" s="73" t="s">
        <v>51</v>
      </c>
      <c r="C1" s="73" t="s">
        <v>52</v>
      </c>
      <c r="D1" s="73" t="s">
        <v>53</v>
      </c>
      <c r="E1" s="73" t="s">
        <v>54</v>
      </c>
      <c r="F1" s="73" t="s">
        <v>55</v>
      </c>
      <c r="G1" s="73" t="s">
        <v>56</v>
      </c>
      <c r="H1" s="73" t="s">
        <v>302</v>
      </c>
      <c r="I1" s="73" t="s">
        <v>255</v>
      </c>
    </row>
    <row r="2" spans="1:9" x14ac:dyDescent="0.25">
      <c r="A2" s="136" t="s">
        <v>278</v>
      </c>
      <c r="B2" s="137">
        <v>2025</v>
      </c>
      <c r="C2" s="161"/>
      <c r="D2" s="161"/>
      <c r="E2" s="84">
        <v>40</v>
      </c>
      <c r="F2" s="138" t="s">
        <v>330</v>
      </c>
      <c r="G2" s="138"/>
      <c r="H2" s="138" t="str">
        <f>ProductivityBaseline[[#This Row],[Title]]&amp;ProductivityBaseline[[#This Row],[Year to use]]</f>
        <v>4PL - Operation2025</v>
      </c>
      <c r="I2" s="139" t="str">
        <f>IFERROR(INDEX(functionInfo[Service Lead],MATCH(ProductivityBaseline[[#This Row],[Title]],functionInfo[Service Description For Invoicing &amp; SLA],0)),"--")</f>
        <v>Sasha Yan</v>
      </c>
    </row>
    <row r="3" spans="1:9" ht="30" x14ac:dyDescent="0.25">
      <c r="A3" s="74" t="s">
        <v>281</v>
      </c>
      <c r="B3" s="75">
        <v>2025</v>
      </c>
      <c r="C3" s="76">
        <f>10824+1543+10362+1542+10684+1688</f>
        <v>36643</v>
      </c>
      <c r="D3" s="76">
        <f>232.6+214.9+211.8</f>
        <v>659.3</v>
      </c>
      <c r="E3" s="85">
        <f>ProductivityBaseline[[#This Row],[TotalNoofTransactions]]/ProductivityBaseline[[#This Row],[TotalProductionDays]]</f>
        <v>55.578644016381013</v>
      </c>
      <c r="F3" s="77"/>
      <c r="G3" s="77"/>
      <c r="H3" s="77" t="str">
        <f>ProductivityBaseline[[#This Row],[Title]]&amp;ProductivityBaseline[[#This Row],[Year to use]]</f>
        <v>Air Freight - Accounts Payable Operation2025</v>
      </c>
      <c r="I3" s="78" t="str">
        <f>IFERROR(INDEX(functionInfo[Service Lead],MATCH(ProductivityBaseline[[#This Row],[Title]],functionInfo[Service Description For Invoicing &amp; SLA],0)),"--")</f>
        <v>--</v>
      </c>
    </row>
    <row r="4" spans="1:9" ht="30" x14ac:dyDescent="0.25">
      <c r="A4" s="140" t="s">
        <v>32</v>
      </c>
      <c r="B4" s="141">
        <v>2025</v>
      </c>
      <c r="C4" s="142">
        <v>6633</v>
      </c>
      <c r="D4" s="142">
        <v>463</v>
      </c>
      <c r="E4" s="143">
        <f>ProductivityBaseline[[#This Row],[TotalNoofTransactions]]/ProductivityBaseline[[#This Row],[TotalProductionDays]]</f>
        <v>14.326133909287257</v>
      </c>
      <c r="F4" s="144" t="s">
        <v>59</v>
      </c>
      <c r="G4" s="144" t="s">
        <v>58</v>
      </c>
      <c r="H4" s="144" t="str">
        <f>ProductivityBaseline[[#This Row],[Title]]&amp;ProductivityBaseline[[#This Row],[Year to use]]</f>
        <v>Air Freight - Hellmann Marine Solutions2025</v>
      </c>
      <c r="I4" s="145" t="str">
        <f>IFERROR(INDEX(functionInfo[Service Lead],MATCH(ProductivityBaseline[[#This Row],[Title]],functionInfo[Service Description For Invoicing &amp; SLA],0)),"--")</f>
        <v>Sasha Yan</v>
      </c>
    </row>
    <row r="5" spans="1:9" x14ac:dyDescent="0.25">
      <c r="A5" s="74" t="s">
        <v>337</v>
      </c>
      <c r="B5" s="75">
        <v>2025</v>
      </c>
      <c r="C5" s="76"/>
      <c r="D5" s="76"/>
      <c r="E5" s="85"/>
      <c r="F5" s="77"/>
      <c r="G5" s="77"/>
      <c r="H5" s="77" t="str">
        <f>ProductivityBaseline[[#This Row],[Title]]&amp;ProductivityBaseline[[#This Row],[Year to use]]</f>
        <v>Air Freight - Invoicing &amp; Billing2025</v>
      </c>
      <c r="I5" s="78" t="str">
        <f>IFERROR(INDEX(functionInfo[Service Lead],MATCH(ProductivityBaseline[[#This Row],[Title]],functionInfo[Service Description For Invoicing &amp; SLA],0)),"--")</f>
        <v>Sasha Yan</v>
      </c>
    </row>
    <row r="6" spans="1:9" ht="30" x14ac:dyDescent="0.25">
      <c r="A6" s="74" t="s">
        <v>108</v>
      </c>
      <c r="B6" s="75">
        <v>2025</v>
      </c>
      <c r="C6" s="76"/>
      <c r="D6" s="76"/>
      <c r="E6" s="85">
        <v>7</v>
      </c>
      <c r="F6" s="77"/>
      <c r="G6" s="77"/>
      <c r="H6" s="77" t="str">
        <f>ProductivityBaseline[[#This Row],[Title]]&amp;ProductivityBaseline[[#This Row],[Year to use]]</f>
        <v>Air Freight - Network Product Pricing2025</v>
      </c>
      <c r="I6" s="78" t="str">
        <f>IFERROR(INDEX(functionInfo[Service Lead],MATCH(ProductivityBaseline[[#This Row],[Title]],functionInfo[Service Description For Invoicing &amp; SLA],0)),"--")</f>
        <v>Coco Fan</v>
      </c>
    </row>
    <row r="7" spans="1:9" x14ac:dyDescent="0.25">
      <c r="A7" s="140" t="s">
        <v>35</v>
      </c>
      <c r="B7" s="141">
        <v>2025</v>
      </c>
      <c r="C7" s="142">
        <v>6692</v>
      </c>
      <c r="D7" s="142">
        <v>387.5</v>
      </c>
      <c r="E7" s="143">
        <f>ProductivityBaseline[[#This Row],[TotalNoofTransactions]]/ProductivityBaseline[[#This Row],[TotalProductionDays]]</f>
        <v>17.269677419354839</v>
      </c>
      <c r="F7" s="144" t="s">
        <v>57</v>
      </c>
      <c r="G7" s="144" t="s">
        <v>58</v>
      </c>
      <c r="H7" s="77" t="str">
        <f>ProductivityBaseline[[#This Row],[Title]]&amp;ProductivityBaseline[[#This Row],[Year to use]]</f>
        <v>Air Freight - Operation2025</v>
      </c>
      <c r="I7" s="78" t="str">
        <f>IFERROR(INDEX(functionInfo[Service Lead],MATCH(ProductivityBaseline[[#This Row],[Title]],functionInfo[Service Description For Invoicing &amp; SLA],0)),"--")</f>
        <v>--</v>
      </c>
    </row>
    <row r="8" spans="1:9" ht="30" x14ac:dyDescent="0.25">
      <c r="A8" s="74" t="s">
        <v>285</v>
      </c>
      <c r="B8" s="75">
        <v>2025</v>
      </c>
      <c r="C8" s="76"/>
      <c r="D8" s="76"/>
      <c r="E8" s="85">
        <v>20</v>
      </c>
      <c r="F8" s="77"/>
      <c r="G8" s="77"/>
      <c r="H8" s="77" t="str">
        <f>ProductivityBaseline[[#This Row],[Title]]&amp;ProductivityBaseline[[#This Row],[Year to use]]</f>
        <v>Air Freight - Operation - Australia2025</v>
      </c>
      <c r="I8" s="78" t="str">
        <f>IFERROR(INDEX(functionInfo[Service Lead],MATCH(ProductivityBaseline[[#This Row],[Title]],functionInfo[Service Description For Invoicing &amp; SLA],0)),"--")</f>
        <v>Sasha Yan</v>
      </c>
    </row>
    <row r="9" spans="1:9" ht="30" x14ac:dyDescent="0.25">
      <c r="A9" s="74" t="s">
        <v>296</v>
      </c>
      <c r="B9" s="75">
        <v>2025</v>
      </c>
      <c r="C9" s="76"/>
      <c r="D9" s="76"/>
      <c r="E9" s="85"/>
      <c r="F9" s="77"/>
      <c r="G9" s="77"/>
      <c r="H9" s="77" t="str">
        <f>ProductivityBaseline[[#This Row],[Title]]&amp;ProductivityBaseline[[#This Row],[Year to use]]</f>
        <v>Air Freight - Operation - Singapore2025</v>
      </c>
      <c r="I9" s="78" t="str">
        <f>IFERROR(INDEX(functionInfo[Service Lead],MATCH(ProductivityBaseline[[#This Row],[Title]],functionInfo[Service Description For Invoicing &amp; SLA],0)),"--")</f>
        <v>Sasha Yan</v>
      </c>
    </row>
    <row r="10" spans="1:9" ht="30" x14ac:dyDescent="0.25">
      <c r="A10" s="74" t="s">
        <v>282</v>
      </c>
      <c r="B10" s="75">
        <v>2025</v>
      </c>
      <c r="C10" s="76"/>
      <c r="D10" s="76"/>
      <c r="E10" s="85"/>
      <c r="F10" s="77"/>
      <c r="G10" s="77"/>
      <c r="H10" s="77" t="str">
        <f>ProductivityBaseline[[#This Row],[Title]]&amp;ProductivityBaseline[[#This Row],[Year to use]]</f>
        <v>Air Freight - Vendor Invoice Auditing2025</v>
      </c>
      <c r="I10" s="78" t="str">
        <f>IFERROR(INDEX(functionInfo[Service Lead],MATCH(ProductivityBaseline[[#This Row],[Title]],functionInfo[Service Description For Invoicing &amp; SLA],0)),"--")</f>
        <v>--</v>
      </c>
    </row>
    <row r="11" spans="1:9" ht="30" x14ac:dyDescent="0.25">
      <c r="A11" s="190" t="s">
        <v>343</v>
      </c>
      <c r="B11" s="75">
        <v>2025</v>
      </c>
      <c r="C11" s="76">
        <f>10824+1543+10362+1542+10684+1688</f>
        <v>36643</v>
      </c>
      <c r="D11" s="76">
        <f>232.6+214.9+211.8</f>
        <v>659.3</v>
      </c>
      <c r="E11" s="85">
        <f>ProductivityBaseline[[#This Row],[TotalNoofTransactions]]/ProductivityBaseline[[#This Row],[TotalProductionDays]]</f>
        <v>55.578644016381013</v>
      </c>
      <c r="F11" s="191" t="s">
        <v>345</v>
      </c>
      <c r="G11" s="191"/>
      <c r="H11" s="191" t="str">
        <f>ProductivityBaseline[[#This Row],[Title]]&amp;ProductivityBaseline[[#This Row],[Year to use]]</f>
        <v>Air/Sea Freight - Accounts Payable Operation2025</v>
      </c>
      <c r="I11" s="192" t="str">
        <f>IFERROR(INDEX(functionInfo[Service Lead],MATCH(ProductivityBaseline[[#This Row],[Title]],functionInfo[Service Description For Invoicing &amp; SLA],0)),"--")</f>
        <v>Sasha Yan</v>
      </c>
    </row>
    <row r="12" spans="1:9" ht="30" x14ac:dyDescent="0.25">
      <c r="A12" s="190" t="s">
        <v>342</v>
      </c>
      <c r="B12" s="75">
        <v>2025</v>
      </c>
      <c r="C12" s="76">
        <f>475+583+1041+1306+1871+2860</f>
        <v>8136</v>
      </c>
      <c r="D12" s="76">
        <f>119.87+111.81+115.66+106.42+100.7+78.88</f>
        <v>633.34</v>
      </c>
      <c r="E12" s="85">
        <f>ProductivityBaseline[[#This Row],[TotalNoofTransactions]]/ProductivityBaseline[[#This Row],[TotalProductionDays]]</f>
        <v>12.846180566520351</v>
      </c>
      <c r="F12" s="191" t="s">
        <v>346</v>
      </c>
      <c r="G12" s="191"/>
      <c r="H12" s="191" t="str">
        <f>ProductivityBaseline[[#This Row],[Title]]&amp;ProductivityBaseline[[#This Row],[Year to use]]</f>
        <v>Air/Sea Freight - Vendor Invoice Auditing2025</v>
      </c>
      <c r="I12" s="192" t="str">
        <f>IFERROR(INDEX(functionInfo[Service Lead],MATCH(ProductivityBaseline[[#This Row],[Title]],functionInfo[Service Description For Invoicing &amp; SLA],0)),"--")</f>
        <v>Sasha Yan</v>
      </c>
    </row>
    <row r="13" spans="1:9" ht="30" x14ac:dyDescent="0.25">
      <c r="A13" s="74" t="s">
        <v>297</v>
      </c>
      <c r="B13" s="75">
        <v>2025</v>
      </c>
      <c r="C13" s="76">
        <f>216+217+210</f>
        <v>643</v>
      </c>
      <c r="D13" s="76">
        <f>17.5+19+19</f>
        <v>55.5</v>
      </c>
      <c r="E13" s="85">
        <f>ProductivityBaseline[[#This Row],[TotalNoofTransactions]]/ProductivityBaseline[[#This Row],[TotalProductionDays]]</f>
        <v>11.585585585585585</v>
      </c>
      <c r="F13" s="77" t="s">
        <v>345</v>
      </c>
      <c r="G13" s="77" t="s">
        <v>347</v>
      </c>
      <c r="H13" s="77" t="str">
        <f>ProductivityBaseline[[#This Row],[Title]]&amp;ProductivityBaseline[[#This Row],[Year to use]]</f>
        <v>Contract Logistics - Invoicing &amp; Billing2025</v>
      </c>
      <c r="I13" s="78" t="str">
        <f>IFERROR(INDEX(functionInfo[Service Lead],MATCH(ProductivityBaseline[[#This Row],[Title]],functionInfo[Service Description For Invoicing &amp; SLA],0)),"--")</f>
        <v>Sasha Yan</v>
      </c>
    </row>
    <row r="14" spans="1:9" x14ac:dyDescent="0.25">
      <c r="A14" s="140" t="s">
        <v>62</v>
      </c>
      <c r="B14" s="141">
        <v>2025</v>
      </c>
      <c r="C14" s="142">
        <v>16065</v>
      </c>
      <c r="D14" s="142">
        <v>347</v>
      </c>
      <c r="E14" s="143">
        <f>ROUNDDOWN(ProductivityBaseline[[#This Row],[TotalNoofTransactions]]/ProductivityBaseline[[#This Row],[TotalProductionDays]],0)</f>
        <v>46</v>
      </c>
      <c r="F14" s="144" t="s">
        <v>63</v>
      </c>
      <c r="G14" s="144" t="s">
        <v>64</v>
      </c>
      <c r="H14" s="77" t="str">
        <f>ProductivityBaseline[[#This Row],[Title]]&amp;ProductivityBaseline[[#This Row],[Year to use]]</f>
        <v>Fin AR &amp;AP2025</v>
      </c>
      <c r="I14" s="78" t="str">
        <f>IFERROR(INDEX(functionInfo[Service Lead],MATCH(ProductivityBaseline[[#This Row],[Title]],functionInfo[Service Description For Invoicing &amp; SLA],0)),"--")</f>
        <v>--</v>
      </c>
    </row>
    <row r="15" spans="1:9" x14ac:dyDescent="0.25">
      <c r="A15" s="74" t="s">
        <v>37</v>
      </c>
      <c r="B15" s="75">
        <v>2024</v>
      </c>
      <c r="C15" s="76">
        <f>772+429+934+391+873+384+856+311+927+342+741+311+852+366</f>
        <v>8489</v>
      </c>
      <c r="D15" s="76">
        <f>19+21+21+20+21+14.7+14</f>
        <v>130.69999999999999</v>
      </c>
      <c r="E15" s="85">
        <f>ROUNDDOWN(ProductivityBaseline[[#This Row],[TotalNoofTransactions]]/ProductivityBaseline[[#This Row],[TotalProductionDays]],0)</f>
        <v>64</v>
      </c>
      <c r="F15" s="77" t="s">
        <v>65</v>
      </c>
      <c r="G15" s="77"/>
      <c r="H15" s="77" t="str">
        <f>ProductivityBaseline[[#This Row],[Title]]&amp;ProductivityBaseline[[#This Row],[Year to use]]</f>
        <v>Finance - Accounts Payable2024</v>
      </c>
      <c r="I15" s="78" t="str">
        <f>IFERROR(INDEX(functionInfo[Service Lead],MATCH(ProductivityBaseline[[#This Row],[Title]],functionInfo[Service Description For Invoicing &amp; SLA],0)),"--")</f>
        <v>Winston</v>
      </c>
    </row>
    <row r="16" spans="1:9" x14ac:dyDescent="0.25">
      <c r="A16" s="74" t="s">
        <v>37</v>
      </c>
      <c r="B16" s="75">
        <v>2025</v>
      </c>
      <c r="C16" s="76">
        <v>6403</v>
      </c>
      <c r="D16" s="76">
        <f>28.5+27.5+24.5+19+31.5+29.25</f>
        <v>160.25</v>
      </c>
      <c r="E16" s="85">
        <f>ROUNDDOWN(ProductivityBaseline[[#This Row],[TotalNoofTransactions]]/ProductivityBaseline[[#This Row],[TotalProductionDays]],0)</f>
        <v>39</v>
      </c>
      <c r="F16" s="77" t="s">
        <v>66</v>
      </c>
      <c r="G16" s="77"/>
      <c r="H16" s="77" t="str">
        <f>ProductivityBaseline[[#This Row],[Title]]&amp;ProductivityBaseline[[#This Row],[Year to use]]</f>
        <v>Finance - Accounts Payable2025</v>
      </c>
      <c r="I16" s="78" t="str">
        <f>IFERROR(INDEX(functionInfo[Service Lead],MATCH(ProductivityBaseline[[#This Row],[Title]],functionInfo[Service Description For Invoicing &amp; SLA],0)),"--")</f>
        <v>Winston</v>
      </c>
    </row>
    <row r="17" spans="1:9" x14ac:dyDescent="0.25">
      <c r="A17" s="74" t="s">
        <v>38</v>
      </c>
      <c r="B17" s="75">
        <v>2024</v>
      </c>
      <c r="C17" s="76">
        <f>1045+1407+1365+1292+903+1262+1186</f>
        <v>8460</v>
      </c>
      <c r="D17" s="76">
        <f>11+14+29+28+28+24+18</f>
        <v>152</v>
      </c>
      <c r="E17" s="85">
        <f>ROUNDDOWN(ProductivityBaseline[[#This Row],[TotalNoofTransactions]]/ProductivityBaseline[[#This Row],[TotalProductionDays]],0)</f>
        <v>55</v>
      </c>
      <c r="F17" s="77" t="s">
        <v>65</v>
      </c>
      <c r="G17" s="77"/>
      <c r="H17" s="77" t="str">
        <f>ProductivityBaseline[[#This Row],[Title]]&amp;ProductivityBaseline[[#This Row],[Year to use]]</f>
        <v>Finance - Accounts Receivables2024</v>
      </c>
      <c r="I17" s="78" t="str">
        <f>IFERROR(INDEX(functionInfo[Service Lead],MATCH(ProductivityBaseline[[#This Row],[Title]],functionInfo[Service Description For Invoicing &amp; SLA],0)),"--")</f>
        <v>Lovely Rose</v>
      </c>
    </row>
    <row r="18" spans="1:9" x14ac:dyDescent="0.25">
      <c r="A18" s="74" t="s">
        <v>38</v>
      </c>
      <c r="B18" s="75">
        <v>2025</v>
      </c>
      <c r="C18" s="76">
        <v>5890</v>
      </c>
      <c r="D18" s="76">
        <f>17.67+19.67+17.33+14.33+19.67+19.17</f>
        <v>107.84</v>
      </c>
      <c r="E18" s="85">
        <f>ROUNDDOWN(ProductivityBaseline[[#This Row],[TotalNoofTransactions]]/ProductivityBaseline[[#This Row],[TotalProductionDays]],0)</f>
        <v>54</v>
      </c>
      <c r="F18" s="77" t="s">
        <v>66</v>
      </c>
      <c r="G18" s="77"/>
      <c r="H18" s="77" t="str">
        <f>ProductivityBaseline[[#This Row],[Title]]&amp;ProductivityBaseline[[#This Row],[Year to use]]</f>
        <v>Finance - Accounts Receivables2025</v>
      </c>
      <c r="I18" s="78" t="str">
        <f>IFERROR(INDEX(functionInfo[Service Lead],MATCH(ProductivityBaseline[[#This Row],[Title]],functionInfo[Service Description For Invoicing &amp; SLA],0)),"--")</f>
        <v>Lovely Rose</v>
      </c>
    </row>
    <row r="19" spans="1:9" x14ac:dyDescent="0.25">
      <c r="A19" s="74" t="s">
        <v>67</v>
      </c>
      <c r="B19" s="75">
        <v>2025</v>
      </c>
      <c r="C19" s="76">
        <v>9610</v>
      </c>
      <c r="D19" s="76">
        <v>161</v>
      </c>
      <c r="E19" s="85">
        <f>ROUNDDOWN(ProductivityBaseline[[#This Row],[TotalNoofTransactions]]/ProductivityBaseline[[#This Row],[TotalProductionDays]],0)</f>
        <v>59</v>
      </c>
      <c r="F19" s="77" t="s">
        <v>66</v>
      </c>
      <c r="G19" s="77"/>
      <c r="H19" s="77" t="str">
        <f>ProductivityBaseline[[#This Row],[Title]]&amp;ProductivityBaseline[[#This Row],[Year to use]]</f>
        <v>Finance - Bank Reconciliation2025</v>
      </c>
      <c r="I19" s="78" t="str">
        <f>IFERROR(INDEX(functionInfo[Service Lead],MATCH(ProductivityBaseline[[#This Row],[Title]],functionInfo[Service Description For Invoicing &amp; SLA],0)),"--")</f>
        <v>Carlo</v>
      </c>
    </row>
    <row r="20" spans="1:9" x14ac:dyDescent="0.25">
      <c r="A20" s="74" t="s">
        <v>39</v>
      </c>
      <c r="B20" s="75">
        <v>2025</v>
      </c>
      <c r="C20" s="76">
        <v>937</v>
      </c>
      <c r="D20" s="76">
        <v>273</v>
      </c>
      <c r="E20" s="85">
        <f>ROUNDDOWN(ProductivityBaseline[[#This Row],[TotalNoofTransactions]]/ProductivityBaseline[[#This Row],[TotalProductionDays]],0)</f>
        <v>3</v>
      </c>
      <c r="F20" s="77" t="s">
        <v>68</v>
      </c>
      <c r="G20" s="77"/>
      <c r="H20" s="77" t="str">
        <f>ProductivityBaseline[[#This Row],[Title]]&amp;ProductivityBaseline[[#This Row],[Year to use]]</f>
        <v>Finance - Credit Control2025</v>
      </c>
      <c r="I20" s="78" t="str">
        <f>IFERROR(INDEX(functionInfo[Service Lead],MATCH(ProductivityBaseline[[#This Row],[Title]],functionInfo[Service Description For Invoicing &amp; SLA],0)),"--")</f>
        <v>Lovely Rose</v>
      </c>
    </row>
    <row r="21" spans="1:9" ht="30" x14ac:dyDescent="0.25">
      <c r="A21" s="74" t="s">
        <v>155</v>
      </c>
      <c r="B21" s="75">
        <v>2025</v>
      </c>
      <c r="C21" s="76"/>
      <c r="D21" s="76"/>
      <c r="E21" s="85"/>
      <c r="F21" s="77"/>
      <c r="G21" s="77" t="s">
        <v>331</v>
      </c>
      <c r="H21" s="77" t="str">
        <f>ProductivityBaseline[[#This Row],[Title]]&amp;ProductivityBaseline[[#This Row],[Year to use]]</f>
        <v>Finance - Job Costing Ledger Controlling2025</v>
      </c>
      <c r="I21" s="78">
        <f>IFERROR(INDEX(functionInfo[Service Lead],MATCH(ProductivityBaseline[[#This Row],[Title]],functionInfo[Service Description For Invoicing &amp; SLA],0)),"--")</f>
        <v>0</v>
      </c>
    </row>
    <row r="22" spans="1:9" ht="30" x14ac:dyDescent="0.25">
      <c r="A22" s="74" t="s">
        <v>34</v>
      </c>
      <c r="B22" s="75">
        <v>2025</v>
      </c>
      <c r="C22" s="76">
        <v>51212</v>
      </c>
      <c r="D22" s="76">
        <v>1120</v>
      </c>
      <c r="E22" s="85">
        <f>ProductivityBaseline[[#This Row],[TotalNoofTransactions]]/ProductivityBaseline[[#This Row],[TotalProductionDays]]</f>
        <v>45.725000000000001</v>
      </c>
      <c r="F22" s="77" t="s">
        <v>59</v>
      </c>
      <c r="G22" s="77" t="s">
        <v>58</v>
      </c>
      <c r="H22" s="77" t="str">
        <f>ProductivityBaseline[[#This Row],[Title]]&amp;ProductivityBaseline[[#This Row],[Year to use]]</f>
        <v>Finance - Master Data Management2025</v>
      </c>
      <c r="I22" s="78" t="str">
        <f>IFERROR(INDEX(functionInfo[Service Lead],MATCH(ProductivityBaseline[[#This Row],[Title]],functionInfo[Service Description For Invoicing &amp; SLA],0)),"--")</f>
        <v>Sasha Yan</v>
      </c>
    </row>
    <row r="23" spans="1:9" x14ac:dyDescent="0.25">
      <c r="A23" s="74" t="s">
        <v>28</v>
      </c>
      <c r="B23" s="75">
        <v>2025</v>
      </c>
      <c r="C23" s="76">
        <v>28876</v>
      </c>
      <c r="D23" s="76">
        <v>3698</v>
      </c>
      <c r="E23" s="85">
        <f>ProductivityBaseline[[#This Row],[TotalNoofTransactions]]/ProductivityBaseline[[#This Row],[TotalProductionDays]]</f>
        <v>7.8085451595457007</v>
      </c>
      <c r="F23" s="77" t="s">
        <v>59</v>
      </c>
      <c r="G23" s="77" t="s">
        <v>61</v>
      </c>
      <c r="H23" s="77" t="str">
        <f>ProductivityBaseline[[#This Row],[Title]]&amp;ProductivityBaseline[[#This Row],[Year to use]]</f>
        <v>Sales - Customer Quotations2025</v>
      </c>
      <c r="I23" s="78">
        <f>IFERROR(INDEX(functionInfo[Service Lead],MATCH(ProductivityBaseline[[#This Row],[Title]],functionInfo[Service Description For Invoicing &amp; SLA],0)),"--")</f>
        <v>0</v>
      </c>
    </row>
    <row r="24" spans="1:9" x14ac:dyDescent="0.25">
      <c r="A24" s="74" t="s">
        <v>183</v>
      </c>
      <c r="B24" s="75">
        <v>2025</v>
      </c>
      <c r="C24" s="76"/>
      <c r="D24" s="76"/>
      <c r="E24" s="85">
        <v>4.2</v>
      </c>
      <c r="F24" s="77" t="s">
        <v>301</v>
      </c>
      <c r="G24" s="77"/>
      <c r="H24" s="77" t="str">
        <f>ProductivityBaseline[[#This Row],[Title]]&amp;ProductivityBaseline[[#This Row],[Year to use]]</f>
        <v>Sales - Customer Reporting2025</v>
      </c>
      <c r="I24" s="78" t="str">
        <f>IFERROR(INDEX(functionInfo[Service Lead],MATCH(ProductivityBaseline[[#This Row],[Title]],functionInfo[Service Description For Invoicing &amp; SLA],0)),"--")</f>
        <v>Rey Michael Estela</v>
      </c>
    </row>
    <row r="25" spans="1:9" ht="30" x14ac:dyDescent="0.25">
      <c r="A25" s="74" t="s">
        <v>15</v>
      </c>
      <c r="B25" s="75">
        <v>2025</v>
      </c>
      <c r="C25" s="76">
        <v>169748</v>
      </c>
      <c r="D25" s="76">
        <v>2824</v>
      </c>
      <c r="E25" s="85">
        <f>ProductivityBaseline[[#This Row],[TotalNoofTransactions]]/ProductivityBaseline[[#This Row],[TotalProductionDays]]</f>
        <v>60.109065155807365</v>
      </c>
      <c r="F25" s="77" t="s">
        <v>59</v>
      </c>
      <c r="G25" s="77" t="s">
        <v>58</v>
      </c>
      <c r="H25" s="77" t="str">
        <f>ProductivityBaseline[[#This Row],[Title]]&amp;ProductivityBaseline[[#This Row],[Year to use]]</f>
        <v>Sea Freight - Accounts Payable Operation2025</v>
      </c>
      <c r="I25" s="78" t="str">
        <f>IFERROR(INDEX(functionInfo[Service Lead],MATCH(ProductivityBaseline[[#This Row],[Title]],functionInfo[Service Description For Invoicing &amp; SLA],0)),"--")</f>
        <v>Sasha Yan</v>
      </c>
    </row>
    <row r="26" spans="1:9" x14ac:dyDescent="0.25">
      <c r="A26" s="74" t="s">
        <v>292</v>
      </c>
      <c r="B26" s="75">
        <v>2025</v>
      </c>
      <c r="C26" s="76"/>
      <c r="D26" s="76"/>
      <c r="E26" s="85"/>
      <c r="F26" s="77"/>
      <c r="G26" s="77"/>
      <c r="H26" s="77" t="str">
        <f>ProductivityBaseline[[#This Row],[Title]]&amp;ProductivityBaseline[[#This Row],[Year to use]]</f>
        <v>Sea Freight - Customs Compiler2025</v>
      </c>
      <c r="I26" s="78" t="str">
        <f>IFERROR(INDEX(functionInfo[Service Lead],MATCH(ProductivityBaseline[[#This Row],[Title]],functionInfo[Service Description For Invoicing &amp; SLA],0)),"--")</f>
        <v>Sasha Yan</v>
      </c>
    </row>
    <row r="27" spans="1:9" x14ac:dyDescent="0.25">
      <c r="A27" s="74" t="s">
        <v>36</v>
      </c>
      <c r="B27" s="75">
        <v>2025</v>
      </c>
      <c r="C27" s="76">
        <v>1863</v>
      </c>
      <c r="D27" s="76">
        <v>299.5</v>
      </c>
      <c r="E27" s="85">
        <f>ProductivityBaseline[[#This Row],[TotalNoofTransactions]]/ProductivityBaseline[[#This Row],[TotalProductionDays]]</f>
        <v>6.2203672787979967</v>
      </c>
      <c r="F27" s="77" t="s">
        <v>60</v>
      </c>
      <c r="G27" s="77" t="s">
        <v>58</v>
      </c>
      <c r="H27" s="77" t="str">
        <f>ProductivityBaseline[[#This Row],[Title]]&amp;ProductivityBaseline[[#This Row],[Year to use]]</f>
        <v>Sea Freight - Invoicing &amp; Billing2025</v>
      </c>
      <c r="I27" s="78" t="str">
        <f>IFERROR(INDEX(functionInfo[Service Lead],MATCH(ProductivityBaseline[[#This Row],[Title]],functionInfo[Service Description For Invoicing &amp; SLA],0)),"--")</f>
        <v>Sasha Yan</v>
      </c>
    </row>
    <row r="28" spans="1:9" ht="30" x14ac:dyDescent="0.25">
      <c r="A28" s="74" t="s">
        <v>192</v>
      </c>
      <c r="B28" s="75">
        <v>2025</v>
      </c>
      <c r="C28" s="76"/>
      <c r="D28" s="76"/>
      <c r="E28" s="85"/>
      <c r="F28" s="77"/>
      <c r="G28" s="77"/>
      <c r="H28" s="77" t="str">
        <f>ProductivityBaseline[[#This Row],[Title]]&amp;ProductivityBaseline[[#This Row],[Year to use]]</f>
        <v>Sea Freight - Network Product Pricing2025</v>
      </c>
      <c r="I28" s="78" t="str">
        <f>IFERROR(INDEX(functionInfo[Service Lead],MATCH(ProductivityBaseline[[#This Row],[Title]],functionInfo[Service Description For Invoicing &amp; SLA],0)),"--")</f>
        <v>Coco Fan</v>
      </c>
    </row>
    <row r="29" spans="1:9" ht="30" x14ac:dyDescent="0.25">
      <c r="A29" s="79" t="s">
        <v>300</v>
      </c>
      <c r="B29" s="80">
        <v>2025</v>
      </c>
      <c r="C29" s="81"/>
      <c r="D29" s="81"/>
      <c r="E29" s="86"/>
      <c r="F29" s="82"/>
      <c r="G29" s="82"/>
      <c r="H29" s="82" t="str">
        <f>ProductivityBaseline[[#This Row],[Title]]&amp;ProductivityBaseline[[#This Row],[Year to use]]</f>
        <v>Sea Freight - Operation - Australia2025</v>
      </c>
      <c r="I29" s="83" t="str">
        <f>IFERROR(INDEX(functionInfo[Service Lead],MATCH(ProductivityBaseline[[#This Row],[Title]],functionInfo[Service Description For Invoicing &amp; SLA],0)),"--")</f>
        <v>Sasha Yan</v>
      </c>
    </row>
    <row r="30" spans="1:9" ht="30" x14ac:dyDescent="0.25">
      <c r="A30" s="79" t="s">
        <v>298</v>
      </c>
      <c r="B30" s="80">
        <v>2025</v>
      </c>
      <c r="C30" s="81"/>
      <c r="D30" s="81"/>
      <c r="E30" s="86"/>
      <c r="F30" s="82"/>
      <c r="G30" s="82"/>
      <c r="H30" s="82" t="str">
        <f>ProductivityBaseline[[#This Row],[Title]]&amp;ProductivityBaseline[[#This Row],[Year to use]]</f>
        <v>Sea Freight - Operation - Singapore2025</v>
      </c>
      <c r="I30" s="83" t="str">
        <f>IFERROR(INDEX(functionInfo[Service Lead],MATCH(ProductivityBaseline[[#This Row],[Title]],functionInfo[Service Description For Invoicing &amp; SLA],0)),"--")</f>
        <v>Sasha Yan</v>
      </c>
    </row>
    <row r="31" spans="1:9" ht="30" x14ac:dyDescent="0.25">
      <c r="A31" s="79" t="s">
        <v>29</v>
      </c>
      <c r="B31" s="80">
        <v>2025</v>
      </c>
      <c r="C31" s="81">
        <v>547</v>
      </c>
      <c r="D31" s="81">
        <v>1159</v>
      </c>
      <c r="E31" s="86">
        <f>ProductivityBaseline[[#This Row],[TotalNoofTransactions]]/ProductivityBaseline[[#This Row],[TotalProductionDays]]</f>
        <v>0.47195858498705778</v>
      </c>
      <c r="F31" s="82" t="s">
        <v>59</v>
      </c>
      <c r="G31" s="82" t="s">
        <v>58</v>
      </c>
      <c r="H31" s="82" t="str">
        <f>ProductivityBaseline[[#This Row],[Title]]&amp;ProductivityBaseline[[#This Row],[Year to use]]</f>
        <v>Sea Freight - RFQ Analytics &amp; Pricing2025</v>
      </c>
      <c r="I31" s="83" t="str">
        <f>IFERROR(INDEX(functionInfo[Service Lead],MATCH(ProductivityBaseline[[#This Row],[Title]],functionInfo[Service Description For Invoicing &amp; SLA],0)),"--")</f>
        <v>Coco Fan</v>
      </c>
    </row>
    <row r="32" spans="1:9" ht="30" x14ac:dyDescent="0.25">
      <c r="A32" s="79" t="s">
        <v>299</v>
      </c>
      <c r="B32" s="80">
        <v>2025</v>
      </c>
      <c r="C32" s="81"/>
      <c r="D32" s="81"/>
      <c r="E32" s="86"/>
      <c r="F32" s="82"/>
      <c r="G32" s="82"/>
      <c r="H32" s="82" t="str">
        <f>ProductivityBaseline[[#This Row],[Title]]&amp;ProductivityBaseline[[#This Row],[Year to use]]</f>
        <v>Sea Freight - Vendor Invoice Auditing2025</v>
      </c>
      <c r="I32" s="83" t="str">
        <f>IFERROR(INDEX(functionInfo[Service Lead],MATCH(ProductivityBaseline[[#This Row],[Title]],functionInfo[Service Description For Invoicing &amp; SLA],0)),"--")</f>
        <v>Sasha Yan</v>
      </c>
    </row>
  </sheetData>
  <conditionalFormatting sqref="H2:H32">
    <cfRule type="duplicateValues" dxfId="24" priority="12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7C93-BDEF-4C44-8656-E5ABE0D16D39}">
  <sheetPr>
    <tabColor theme="0" tint="-0.499984740745262"/>
  </sheetPr>
  <dimension ref="A1:Q40"/>
  <sheetViews>
    <sheetView showGridLines="0" topLeftCell="A6" workbookViewId="0">
      <selection activeCell="Q15" sqref="Q15:Q40"/>
    </sheetView>
    <sheetView tabSelected="1" workbookViewId="1">
      <selection activeCell="F9" sqref="F9"/>
    </sheetView>
  </sheetViews>
  <sheetFormatPr defaultColWidth="9.140625" defaultRowHeight="15" x14ac:dyDescent="0.25"/>
  <cols>
    <col min="1" max="1" width="23.7109375" style="2" customWidth="1"/>
    <col min="2" max="2" width="24" style="2" customWidth="1"/>
    <col min="3" max="3" width="23.140625" style="2" customWidth="1"/>
    <col min="4" max="4" width="21" style="2" customWidth="1"/>
    <col min="5" max="5" width="22" style="2" customWidth="1"/>
    <col min="6" max="6" width="26.42578125" style="2" customWidth="1"/>
    <col min="7" max="11" width="9.140625" style="2"/>
    <col min="12" max="12" width="4.5703125" style="2" customWidth="1"/>
    <col min="13" max="16384" width="9.140625" style="2"/>
  </cols>
  <sheetData>
    <row r="1" spans="1:17" ht="46.5" x14ac:dyDescent="0.7">
      <c r="A1" s="5" t="s">
        <v>249</v>
      </c>
    </row>
    <row r="3" spans="1:17" ht="18.75" x14ac:dyDescent="0.3">
      <c r="A3" s="6" t="s">
        <v>250</v>
      </c>
    </row>
    <row r="4" spans="1:17" x14ac:dyDescent="0.25">
      <c r="A4" s="91" t="str" cm="1">
        <f t="array" ref="A4:F4">TRANSPOSE(_xlfn.UNIQUE(_xlfn._xlws.FILTER(_xlfn.CHOOSECOLS(functionInfo[#Data],1),functionInfo[Daily Dashboard Set-up]="Yes")))</f>
        <v>4PL</v>
      </c>
      <c r="B4" s="91" t="str">
        <v>Air Freight</v>
      </c>
      <c r="C4" s="91" t="str">
        <v>Air/Sea Freight</v>
      </c>
      <c r="D4" s="91" t="str">
        <v>Finance</v>
      </c>
      <c r="E4" s="91" t="str">
        <v>Sales</v>
      </c>
      <c r="F4" s="91" t="str">
        <v>Sea Freight</v>
      </c>
      <c r="H4" s="162" t="s">
        <v>251</v>
      </c>
      <c r="I4" s="162"/>
      <c r="J4" s="162"/>
      <c r="K4" s="162"/>
    </row>
    <row r="5" spans="1:17" ht="30" x14ac:dyDescent="0.25">
      <c r="A5" s="93" t="str" cm="1">
        <f t="array" ref="A5">_xlfn.UNIQUE(_xlfn._xlws.FILTER(_xlfn.CHOOSECOLS(functionInfo[#Data],2),((functionInfo[Daily Dashboard Set-up]="Yes")+(functionInfo[Daily Dashboard Set-up]="Yes-Later")) * (functionInfo[Function]=A$4)))</f>
        <v>Operation</v>
      </c>
      <c r="B5" s="94" t="str" cm="1">
        <f t="array" ref="B5:B6">_xlfn.UNIQUE(_xlfn._xlws.FILTER(_xlfn.CHOOSECOLS(functionInfo[#Data],2),((functionInfo[Daily Dashboard Set-up]="Yes")+(functionInfo[Daily Dashboard Set-up]="Yes-Later")) * (functionInfo[Function]=B$4)))</f>
        <v>Network Product Pricing</v>
      </c>
      <c r="C5" s="94" t="str" cm="1">
        <f t="array" ref="C5:C6">_xlfn.UNIQUE(_xlfn._xlws.FILTER(_xlfn.CHOOSECOLS(functionInfo[#Data],2),((functionInfo[Daily Dashboard Set-up]="Yes")+(functionInfo[Daily Dashboard Set-up]="Yes-Later")) * (functionInfo[Function]=C$4)))</f>
        <v>Accounts Payable Operation</v>
      </c>
      <c r="D5" s="94" t="str" cm="1">
        <f t="array" ref="D5:D9">_xlfn.UNIQUE(_xlfn._xlws.FILTER(_xlfn.CHOOSECOLS(functionInfo[#Data],2),((functionInfo[Daily Dashboard Set-up]="Yes")+(functionInfo[Daily Dashboard Set-up]="Yes-Later")) * (functionInfo[Function]=D$4)))</f>
        <v>Accounts Receivables</v>
      </c>
      <c r="E5" s="95" t="str" cm="1">
        <f t="array" ref="E5:E6">_xlfn.UNIQUE(_xlfn._xlws.FILTER(_xlfn.CHOOSECOLS(functionInfo[#Data],2),((functionInfo[Daily Dashboard Set-up]="Yes")+(functionInfo[Daily Dashboard Set-up]="Yes-Later")) * (functionInfo[Function]=E$4)))</f>
        <v>Customer Quotations</v>
      </c>
      <c r="F5" s="54" t="str" cm="1">
        <f t="array" ref="F5:F6">_xlfn.UNIQUE(_xlfn._xlws.FILTER(_xlfn.CHOOSECOLS(functionInfo[#Data],2),((functionInfo[Daily Dashboard Set-up]="Yes")+(functionInfo[Daily Dashboard Set-up]="Yes-Later")) * (functionInfo[Function]=F$4)))</f>
        <v>Customs Compiler</v>
      </c>
      <c r="H5" s="163">
        <f>COUNTA(A5:F10)</f>
        <v>14</v>
      </c>
      <c r="I5" s="163"/>
      <c r="J5" s="163"/>
      <c r="K5" s="163"/>
    </row>
    <row r="6" spans="1:17" x14ac:dyDescent="0.25">
      <c r="A6" s="96"/>
      <c r="B6" s="97" t="str">
        <v>Operation - Singapore</v>
      </c>
      <c r="C6" s="97" t="str">
        <v>Vendor Invoice Auditing</v>
      </c>
      <c r="D6" s="97" t="str">
        <v>Accounts Payable</v>
      </c>
      <c r="E6" s="98" t="str">
        <v>Customer Reporting</v>
      </c>
      <c r="F6" s="54" t="str">
        <v>Network Product Pricing</v>
      </c>
      <c r="H6" s="163"/>
      <c r="I6" s="163"/>
      <c r="J6" s="163"/>
      <c r="K6" s="163"/>
    </row>
    <row r="7" spans="1:17" x14ac:dyDescent="0.25">
      <c r="A7" s="96"/>
      <c r="B7" s="97"/>
      <c r="C7" s="97"/>
      <c r="D7" s="97" t="str">
        <v>Bank Reconciliation</v>
      </c>
      <c r="E7" s="98"/>
      <c r="F7" s="54"/>
      <c r="H7" s="163"/>
      <c r="I7" s="163"/>
      <c r="J7" s="163"/>
      <c r="K7" s="163"/>
    </row>
    <row r="8" spans="1:17" ht="30" x14ac:dyDescent="0.25">
      <c r="A8" s="96"/>
      <c r="B8" s="97"/>
      <c r="C8" s="97"/>
      <c r="D8" s="97" t="str">
        <v>Job Costing Ledger Controlling</v>
      </c>
      <c r="E8" s="98"/>
      <c r="F8" s="54"/>
      <c r="H8" s="163"/>
      <c r="I8" s="163"/>
      <c r="J8" s="163"/>
      <c r="K8" s="163"/>
    </row>
    <row r="9" spans="1:17" x14ac:dyDescent="0.25">
      <c r="A9" s="230"/>
      <c r="B9" s="99"/>
      <c r="C9" s="99"/>
      <c r="D9" s="99" t="str">
        <v>Credit Control</v>
      </c>
      <c r="E9" s="231"/>
      <c r="F9" s="54"/>
      <c r="H9" s="163"/>
      <c r="I9" s="163"/>
      <c r="J9" s="163"/>
      <c r="K9" s="163"/>
    </row>
    <row r="10" spans="1:17" x14ac:dyDescent="0.25">
      <c r="A10" s="92"/>
      <c r="B10" s="92"/>
      <c r="C10" s="92"/>
      <c r="D10" s="92"/>
      <c r="E10" s="92"/>
      <c r="H10" s="163"/>
      <c r="I10" s="163"/>
      <c r="J10" s="163"/>
      <c r="K10" s="163"/>
    </row>
    <row r="11" spans="1:17" x14ac:dyDescent="0.25">
      <c r="A11" s="92"/>
      <c r="B11" s="92"/>
      <c r="C11" s="92"/>
      <c r="D11" s="92"/>
      <c r="E11" s="92"/>
    </row>
    <row r="12" spans="1:17" x14ac:dyDescent="0.25">
      <c r="A12" s="92"/>
      <c r="B12" s="92"/>
      <c r="C12" s="92"/>
      <c r="D12" s="92"/>
      <c r="E12" s="92"/>
    </row>
    <row r="14" spans="1:17" x14ac:dyDescent="0.25">
      <c r="Q14" s="107" t="s">
        <v>266</v>
      </c>
    </row>
    <row r="15" spans="1:17" ht="18.75" x14ac:dyDescent="0.3">
      <c r="A15" s="6" t="s">
        <v>252</v>
      </c>
      <c r="B15" s="229" t="s">
        <v>348</v>
      </c>
      <c r="Q15" s="2" t="str" cm="1">
        <f t="array" ref="Q15:Q40">_xlfn._xlws.SORT(_xlfn.UNIQUE(capacityTbl[Process]),,1)</f>
        <v>4PL - Operation</v>
      </c>
    </row>
    <row r="16" spans="1:17" x14ac:dyDescent="0.25">
      <c r="A16" s="91" t="str" cm="1">
        <f t="array" ref="A16:G16">TRANSPOSE(_xlfn.UNIQUE(_xlfn._xlws.FILTER(_xlfn.CHOOSECOLS(functionInfo[#Data],1),functionInfo[Monthly Dashboard]="Yes")))</f>
        <v>4PL</v>
      </c>
      <c r="B16" s="91" t="str">
        <v>Air Freight</v>
      </c>
      <c r="C16" s="91" t="str">
        <v>Air/Sea Freight</v>
      </c>
      <c r="D16" s="91" t="str">
        <v>Contract Logistics</v>
      </c>
      <c r="E16" s="91" t="str">
        <v>Finance</v>
      </c>
      <c r="F16" s="91" t="str">
        <v>Sales</v>
      </c>
      <c r="G16" s="2" t="str">
        <v>Sea Freight</v>
      </c>
      <c r="H16" s="162" t="s">
        <v>251</v>
      </c>
      <c r="I16" s="162"/>
      <c r="J16" s="162"/>
      <c r="K16" s="162"/>
      <c r="M16" s="164" t="s">
        <v>267</v>
      </c>
      <c r="N16" s="164"/>
      <c r="O16" s="164"/>
      <c r="P16" s="164"/>
      <c r="Q16" s="2" t="str">
        <v>Air Freight - Hellmann Marine Solutions</v>
      </c>
    </row>
    <row r="17" spans="1:17" x14ac:dyDescent="0.25">
      <c r="A17" s="93" t="str" cm="1">
        <f t="array" ref="A17">_xlfn.UNIQUE(_xlfn._xlws.FILTER(_xlfn.CHOOSECOLS(functionInfo[#Data],2),((functionInfo[Monthly Dashboard]="Yes")+(functionInfo[Monthly Dashboard]="Yes-Later")) * (functionInfo[Function]=A$16)))</f>
        <v>Operation</v>
      </c>
      <c r="B17" s="94" t="str" cm="1">
        <f t="array" ref="B17:B20">_xlfn.UNIQUE(_xlfn._xlws.FILTER(_xlfn.CHOOSECOLS(functionInfo[#Data],2),((functionInfo[Monthly Dashboard]="Yes")+(functionInfo[Monthly Dashboard]="Yes-Later")) * (functionInfo[Function]=B$16)))</f>
        <v>Operation - Australia</v>
      </c>
      <c r="C17" s="94" t="str" cm="1">
        <f t="array" ref="C17:C18">_xlfn.UNIQUE(_xlfn._xlws.FILTER(_xlfn.CHOOSECOLS(functionInfo[#Data],2),((functionInfo[Monthly Dashboard]="Yes")+(functionInfo[Monthly Dashboard]="Yes-Later")) * (functionInfo[Function]=C$16)))</f>
        <v>Accounts Payable Operation</v>
      </c>
      <c r="D17" s="94" t="str" cm="1">
        <f t="array" ref="D17">_xlfn.UNIQUE(_xlfn._xlws.FILTER(_xlfn.CHOOSECOLS(functionInfo[#Data],2),((functionInfo[Monthly Dashboard]="Yes")+(functionInfo[Monthly Dashboard]="Yes-Later")) * (functionInfo[Function]=D$16)))</f>
        <v>Invoicing &amp; Billing</v>
      </c>
      <c r="E17" s="94" t="str" cm="1">
        <f t="array" ref="E17:E22">_xlfn.UNIQUE(_xlfn._xlws.FILTER(_xlfn.CHOOSECOLS(functionInfo[#Data],2),((functionInfo[Monthly Dashboard]="Yes")+(functionInfo[Monthly Dashboard]="Yes-Later")) * (functionInfo[Function]=E$16)))</f>
        <v>Accounts Receivables</v>
      </c>
      <c r="F17" s="95" t="str" cm="1">
        <f t="array" ref="F17:F18">_xlfn.UNIQUE(_xlfn._xlws.FILTER(_xlfn.CHOOSECOLS(functionInfo[#Data],2),((functionInfo[Monthly Dashboard]="Yes")+(functionInfo[Monthly Dashboard]="Yes-Later")) * (functionInfo[Function]=F$16)))</f>
        <v>Customer Quotations</v>
      </c>
      <c r="H17" s="163">
        <f>COUNTA(A17:F27)</f>
        <v>16</v>
      </c>
      <c r="I17" s="163"/>
      <c r="J17" s="163"/>
      <c r="K17" s="163"/>
      <c r="M17" s="163"/>
      <c r="N17" s="163"/>
      <c r="O17" s="163"/>
      <c r="P17" s="163"/>
      <c r="Q17" s="2" t="str">
        <v>Air Freight - Invoicing &amp; Billing</v>
      </c>
    </row>
    <row r="18" spans="1:17" x14ac:dyDescent="0.25">
      <c r="A18" s="96"/>
      <c r="B18" s="97" t="str">
        <v>Network Product Pricing</v>
      </c>
      <c r="C18" s="97" t="str">
        <v>Vendor Invoice Auditing</v>
      </c>
      <c r="D18" s="97"/>
      <c r="E18" s="97" t="str">
        <v>Accounts Payable</v>
      </c>
      <c r="F18" s="100" t="str">
        <v>Customer Reporting</v>
      </c>
      <c r="H18" s="163"/>
      <c r="I18" s="163"/>
      <c r="J18" s="163"/>
      <c r="K18" s="163"/>
      <c r="M18" s="163"/>
      <c r="N18" s="163"/>
      <c r="O18" s="163"/>
      <c r="P18" s="163"/>
      <c r="Q18" s="2" t="str">
        <v>Air Freight - Network Product Pricing</v>
      </c>
    </row>
    <row r="19" spans="1:17" x14ac:dyDescent="0.25">
      <c r="A19" s="96"/>
      <c r="B19" s="97" t="str">
        <v>Operation - Singapore</v>
      </c>
      <c r="C19" s="97"/>
      <c r="D19" s="97"/>
      <c r="E19" s="97" t="str">
        <v>Bank Reconciliation</v>
      </c>
      <c r="F19" s="100"/>
      <c r="H19" s="163"/>
      <c r="I19" s="163"/>
      <c r="J19" s="163"/>
      <c r="K19" s="163"/>
      <c r="M19" s="163"/>
      <c r="N19" s="163"/>
      <c r="O19" s="163"/>
      <c r="P19" s="163"/>
      <c r="Q19" s="2" t="str">
        <v>Air Freight - Operation</v>
      </c>
    </row>
    <row r="20" spans="1:17" ht="30" x14ac:dyDescent="0.25">
      <c r="A20" s="96"/>
      <c r="B20" s="97" t="str">
        <v>Invoicing &amp; Billing</v>
      </c>
      <c r="C20" s="97"/>
      <c r="D20" s="97"/>
      <c r="E20" s="97" t="str">
        <v>Job Costing Ledger Controlling</v>
      </c>
      <c r="F20" s="100"/>
      <c r="H20" s="163"/>
      <c r="I20" s="163"/>
      <c r="J20" s="163"/>
      <c r="K20" s="163"/>
      <c r="M20" s="163"/>
      <c r="N20" s="163"/>
      <c r="O20" s="163"/>
      <c r="P20" s="163"/>
      <c r="Q20" s="2" t="str">
        <v>Air Freight - Operation - Australia</v>
      </c>
    </row>
    <row r="21" spans="1:17" ht="30" x14ac:dyDescent="0.25">
      <c r="A21" s="96"/>
      <c r="B21" s="97"/>
      <c r="C21" s="97"/>
      <c r="D21" s="97"/>
      <c r="E21" s="97" t="str">
        <v>Master Data Management</v>
      </c>
      <c r="F21" s="100"/>
      <c r="H21" s="163"/>
      <c r="I21" s="163"/>
      <c r="J21" s="163"/>
      <c r="K21" s="163"/>
      <c r="M21" s="163"/>
      <c r="N21" s="163"/>
      <c r="O21" s="163"/>
      <c r="P21" s="163"/>
      <c r="Q21" s="2" t="str">
        <v>Air Freight - Operation - Singapore</v>
      </c>
    </row>
    <row r="22" spans="1:17" x14ac:dyDescent="0.25">
      <c r="A22" s="96"/>
      <c r="B22" s="97"/>
      <c r="C22" s="97"/>
      <c r="D22" s="97"/>
      <c r="E22" s="97" t="str">
        <v>Credit Control</v>
      </c>
      <c r="F22" s="100"/>
      <c r="H22" s="163"/>
      <c r="I22" s="163"/>
      <c r="J22" s="163"/>
      <c r="K22" s="163"/>
      <c r="M22" s="163"/>
      <c r="N22" s="163"/>
      <c r="O22" s="163"/>
      <c r="P22" s="163"/>
      <c r="Q22" s="2" t="str">
        <v>Air/Sea Freight - Accounts Payable Operation</v>
      </c>
    </row>
    <row r="23" spans="1:17" x14ac:dyDescent="0.25">
      <c r="A23" s="101"/>
      <c r="B23" s="102"/>
      <c r="C23" s="102"/>
      <c r="D23" s="102"/>
      <c r="E23" s="102"/>
      <c r="F23" s="100"/>
      <c r="Q23" s="2" t="str">
        <v>Air/Sea Freight - Vendor Invoice Auditing</v>
      </c>
    </row>
    <row r="24" spans="1:17" x14ac:dyDescent="0.25">
      <c r="A24" s="103"/>
      <c r="B24" s="104"/>
      <c r="C24" s="104"/>
      <c r="D24" s="104"/>
      <c r="E24" s="104"/>
      <c r="F24" s="105"/>
      <c r="Q24" s="2" t="str">
        <v>Contract Logistics - Invoicing &amp; Billing</v>
      </c>
    </row>
    <row r="25" spans="1:17" x14ac:dyDescent="0.25">
      <c r="A25" s="106"/>
      <c r="B25" s="106"/>
      <c r="C25" s="106"/>
      <c r="D25" s="106"/>
      <c r="E25" s="106"/>
      <c r="F25" s="106"/>
      <c r="Q25" s="2" t="str">
        <v>Fin AR &amp;AP</v>
      </c>
    </row>
    <row r="26" spans="1:17" x14ac:dyDescent="0.25">
      <c r="Q26" s="2" t="str">
        <v>Finance - Accounts Payable</v>
      </c>
    </row>
    <row r="27" spans="1:17" x14ac:dyDescent="0.25">
      <c r="Q27" s="2" t="str">
        <v>Finance - Accounts Receivables</v>
      </c>
    </row>
    <row r="28" spans="1:17" x14ac:dyDescent="0.25">
      <c r="Q28" s="2" t="str">
        <v>Finance - Bank Reconciliation</v>
      </c>
    </row>
    <row r="29" spans="1:17" x14ac:dyDescent="0.25">
      <c r="Q29" s="2" t="str">
        <v>Finance - Credit Control</v>
      </c>
    </row>
    <row r="30" spans="1:17" x14ac:dyDescent="0.25">
      <c r="Q30" s="2" t="str">
        <v>Finance - Job Costing Ledger Controlling</v>
      </c>
    </row>
    <row r="31" spans="1:17" x14ac:dyDescent="0.25">
      <c r="Q31" s="2" t="str">
        <v>Finance - Master Data Management</v>
      </c>
    </row>
    <row r="32" spans="1:17" x14ac:dyDescent="0.25">
      <c r="Q32" s="2" t="str">
        <v>Sales - Customer Quotations</v>
      </c>
    </row>
    <row r="33" spans="17:17" x14ac:dyDescent="0.25">
      <c r="Q33" s="2" t="str">
        <v>Sales - Customer Reporting</v>
      </c>
    </row>
    <row r="34" spans="17:17" x14ac:dyDescent="0.25">
      <c r="Q34" s="2" t="str">
        <v>Sea Freight - Accounts Payable Operation</v>
      </c>
    </row>
    <row r="35" spans="17:17" x14ac:dyDescent="0.25">
      <c r="Q35" s="2" t="str">
        <v>Sea Freight - Customs Compiler</v>
      </c>
    </row>
    <row r="36" spans="17:17" x14ac:dyDescent="0.25">
      <c r="Q36" s="2" t="str">
        <v>Sea Freight - Invoicing &amp; Billing</v>
      </c>
    </row>
    <row r="37" spans="17:17" x14ac:dyDescent="0.25">
      <c r="Q37" s="2" t="str">
        <v>Sea Freight - Network Product Pricing</v>
      </c>
    </row>
    <row r="38" spans="17:17" x14ac:dyDescent="0.25">
      <c r="Q38" s="2" t="str">
        <v>Sea Freight - Operation - Australia</v>
      </c>
    </row>
    <row r="39" spans="17:17" x14ac:dyDescent="0.25">
      <c r="Q39" s="2" t="str">
        <v>Sea Freight - Operation - Singapore</v>
      </c>
    </row>
    <row r="40" spans="17:17" x14ac:dyDescent="0.25">
      <c r="Q40" s="2" t="str">
        <v>Sea Freight - RFQ Analytics &amp; Pricing</v>
      </c>
    </row>
  </sheetData>
  <mergeCells count="6">
    <mergeCell ref="H4:K4"/>
    <mergeCell ref="H5:K10"/>
    <mergeCell ref="H16:K16"/>
    <mergeCell ref="H17:K22"/>
    <mergeCell ref="M17:P22"/>
    <mergeCell ref="M16:P16"/>
  </mergeCells>
  <conditionalFormatting sqref="A17:F24">
    <cfRule type="expression" dxfId="19" priority="6">
      <formula>COUNTIF($Q:$Q,A$16&amp;" - "&amp;A17)&gt;0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22A4-59B7-42DA-96A4-25368FD7F88E}">
  <sheetPr>
    <tabColor theme="0" tint="-0.249977111117893"/>
  </sheetPr>
  <dimension ref="A1:M32"/>
  <sheetViews>
    <sheetView workbookViewId="0">
      <selection activeCell="F2" sqref="F2"/>
    </sheetView>
    <sheetView workbookViewId="1"/>
  </sheetViews>
  <sheetFormatPr defaultColWidth="9.140625" defaultRowHeight="15" x14ac:dyDescent="0.25"/>
  <cols>
    <col min="1" max="1" width="44.85546875" style="66" customWidth="1"/>
    <col min="2" max="3" width="9.140625" style="1"/>
    <col min="4" max="4" width="51.7109375" style="1" customWidth="1"/>
    <col min="5" max="12" width="9.140625" style="1"/>
    <col min="13" max="13" width="9.140625" style="66"/>
    <col min="14" max="16384" width="9.140625" style="1"/>
  </cols>
  <sheetData>
    <row r="1" spans="1:4" x14ac:dyDescent="0.25">
      <c r="A1" s="67" t="s">
        <v>303</v>
      </c>
    </row>
    <row r="2" spans="1:4" x14ac:dyDescent="0.25">
      <c r="A2" s="66" t="str" cm="1">
        <f t="array" ref="A2:A22">_xlfn.UNIQUE(_xlfn._xlws.FILTER(_xlfn.CHOOSECOLS(functionInfo[],3),(functionInfo[Daily Dashboard Set-up]="Yes") + (functionInfo[Monthly Dashboard]="Yes")))</f>
        <v>4PL - Operation</v>
      </c>
      <c r="D2" s="67" t="s">
        <v>253</v>
      </c>
    </row>
    <row r="3" spans="1:4" x14ac:dyDescent="0.25">
      <c r="A3" s="66" t="str">
        <v>Air Freight - Operation - Australia</v>
      </c>
    </row>
    <row r="4" spans="1:4" x14ac:dyDescent="0.25">
      <c r="A4" s="66" t="str">
        <v>Air Freight - Network Product Pricing</v>
      </c>
      <c r="D4" s="1" t="str" cm="1">
        <f t="array" ref="D4:D29">_xlfn.UNIQUE(capacityTbl[Process])</f>
        <v>Air Freight - Hellmann Marine Solutions</v>
      </c>
    </row>
    <row r="5" spans="1:4" x14ac:dyDescent="0.25">
      <c r="A5" s="66" t="str">
        <v>Air Freight - Operation - Singapore</v>
      </c>
      <c r="D5" s="1" t="str">
        <v>Air Freight - Operation</v>
      </c>
    </row>
    <row r="6" spans="1:4" x14ac:dyDescent="0.25">
      <c r="A6" s="66" t="str">
        <v>Air/Sea Freight - Accounts Payable Operation</v>
      </c>
      <c r="D6" s="1" t="str">
        <v>Fin AR &amp;AP</v>
      </c>
    </row>
    <row r="7" spans="1:4" x14ac:dyDescent="0.25">
      <c r="A7" s="66" t="str">
        <v>Air/Sea Freight - Vendor Invoice Auditing</v>
      </c>
      <c r="D7" s="1" t="str">
        <v>Finance - Master Data Management</v>
      </c>
    </row>
    <row r="8" spans="1:4" x14ac:dyDescent="0.25">
      <c r="A8" s="66" t="str">
        <v>Air Freight - Invoicing &amp; Billing</v>
      </c>
      <c r="D8" s="1" t="str">
        <v>Sales - Customer Quotations</v>
      </c>
    </row>
    <row r="9" spans="1:4" x14ac:dyDescent="0.25">
      <c r="A9" s="66" t="str">
        <v>Contract Logistics - Invoicing &amp; Billing</v>
      </c>
      <c r="D9" s="1" t="str">
        <v>Sea Freight - Accounts Payable Operation</v>
      </c>
    </row>
    <row r="10" spans="1:4" x14ac:dyDescent="0.25">
      <c r="A10" s="66" t="str">
        <v>Finance - Accounts Receivables</v>
      </c>
      <c r="D10" s="1" t="str">
        <v>Sea Freight - Invoicing &amp; Billing</v>
      </c>
    </row>
    <row r="11" spans="1:4" x14ac:dyDescent="0.25">
      <c r="A11" s="66" t="str">
        <v>Finance - Accounts Payable</v>
      </c>
      <c r="D11" s="1" t="str">
        <v>Sea Freight - RFQ Analytics &amp; Pricing</v>
      </c>
    </row>
    <row r="12" spans="1:4" x14ac:dyDescent="0.25">
      <c r="A12" s="66" t="str">
        <v>Finance - Bank Reconciliation</v>
      </c>
      <c r="D12" s="1" t="str">
        <v>4PL - Operation</v>
      </c>
    </row>
    <row r="13" spans="1:4" x14ac:dyDescent="0.25">
      <c r="A13" s="66" t="str">
        <v>Finance - Master Data Management</v>
      </c>
      <c r="D13" s="1" t="str">
        <v>Air Freight - Network Product Pricing</v>
      </c>
    </row>
    <row r="14" spans="1:4" x14ac:dyDescent="0.25">
      <c r="A14" s="66" t="str">
        <v>Finance - Credit Control</v>
      </c>
      <c r="D14" s="1" t="str">
        <v>Air Freight - Operation - Australia</v>
      </c>
    </row>
    <row r="15" spans="1:4" x14ac:dyDescent="0.25">
      <c r="A15" s="66" t="str">
        <v>Sales - Customer Quotations</v>
      </c>
      <c r="D15" s="1" t="str">
        <v>Air Freight - Operation - Singapore</v>
      </c>
    </row>
    <row r="16" spans="1:4" x14ac:dyDescent="0.25">
      <c r="A16" s="66" t="str">
        <v>Sales - Customer Reporting</v>
      </c>
      <c r="D16" s="1" t="str">
        <v>Contract Logistics - Invoicing &amp; Billing</v>
      </c>
    </row>
    <row r="17" spans="1:13" x14ac:dyDescent="0.25">
      <c r="A17" s="66" t="str">
        <v>Sea Freight - Invoicing &amp; Billing</v>
      </c>
      <c r="D17" s="1" t="str">
        <v>Finance - Accounts Payable</v>
      </c>
    </row>
    <row r="18" spans="1:13" x14ac:dyDescent="0.25">
      <c r="A18" s="66" t="str">
        <v>Sea Freight - Operation - Singapore</v>
      </c>
      <c r="D18" s="1" t="str">
        <v>Finance - Accounts Receivables</v>
      </c>
      <c r="M18" s="66" t="s">
        <v>36</v>
      </c>
    </row>
    <row r="19" spans="1:13" x14ac:dyDescent="0.25">
      <c r="A19" s="66" t="str">
        <v>Sea Freight - Customs Compiler</v>
      </c>
      <c r="D19" s="1" t="str">
        <v>Finance - Bank Reconciliation</v>
      </c>
      <c r="M19" s="66" t="s">
        <v>15</v>
      </c>
    </row>
    <row r="20" spans="1:13" x14ac:dyDescent="0.25">
      <c r="A20" s="66" t="str">
        <v>Sea Freight - RFQ Analytics &amp; Pricing</v>
      </c>
      <c r="D20" s="1" t="str">
        <v>Finance - Credit Control</v>
      </c>
      <c r="M20" s="66" t="s">
        <v>29</v>
      </c>
    </row>
    <row r="21" spans="1:13" x14ac:dyDescent="0.25">
      <c r="A21" s="66" t="str">
        <v>Sea Freight - Network Product Pricing</v>
      </c>
      <c r="D21" s="1" t="str">
        <v>Finance - Job Costing Ledger Controlling</v>
      </c>
      <c r="M21" s="66" t="s">
        <v>108</v>
      </c>
    </row>
    <row r="22" spans="1:13" x14ac:dyDescent="0.25">
      <c r="A22" s="66" t="str">
        <v>Sea Freight - Operation - Australia</v>
      </c>
      <c r="D22" s="1" t="str">
        <v>Sales - Customer Reporting</v>
      </c>
      <c r="M22" s="66" t="s">
        <v>35</v>
      </c>
    </row>
    <row r="23" spans="1:13" x14ac:dyDescent="0.25">
      <c r="D23" s="1" t="str">
        <v>Sea Freight - Customs Compiler</v>
      </c>
      <c r="M23" s="66" t="s">
        <v>38</v>
      </c>
    </row>
    <row r="24" spans="1:13" x14ac:dyDescent="0.25">
      <c r="D24" s="1" t="str">
        <v>Sea Freight - Network Product Pricing</v>
      </c>
      <c r="M24" s="66" t="s">
        <v>32</v>
      </c>
    </row>
    <row r="25" spans="1:13" x14ac:dyDescent="0.25">
      <c r="D25" s="1" t="str">
        <v>Sea Freight - Operation - Australia</v>
      </c>
      <c r="M25" s="66" t="s">
        <v>37</v>
      </c>
    </row>
    <row r="26" spans="1:13" x14ac:dyDescent="0.25">
      <c r="D26" s="1" t="str">
        <v>Sea Freight - Operation - Singapore</v>
      </c>
      <c r="M26" s="66" t="s">
        <v>67</v>
      </c>
    </row>
    <row r="27" spans="1:13" x14ac:dyDescent="0.25">
      <c r="D27" s="1" t="str">
        <v>Air Freight - Invoicing &amp; Billing</v>
      </c>
      <c r="M27" s="66" t="s">
        <v>39</v>
      </c>
    </row>
    <row r="28" spans="1:13" x14ac:dyDescent="0.25">
      <c r="D28" s="1" t="str">
        <v>Air/Sea Freight - Vendor Invoice Auditing</v>
      </c>
      <c r="M28" s="66" t="s">
        <v>34</v>
      </c>
    </row>
    <row r="29" spans="1:13" x14ac:dyDescent="0.25">
      <c r="D29" s="1" t="str">
        <v>Air/Sea Freight - Accounts Payable Operation</v>
      </c>
      <c r="M29" s="66" t="s">
        <v>28</v>
      </c>
    </row>
    <row r="30" spans="1:13" x14ac:dyDescent="0.25">
      <c r="M30" s="66" t="s">
        <v>155</v>
      </c>
    </row>
    <row r="31" spans="1:13" x14ac:dyDescent="0.25">
      <c r="M31" s="66" t="s">
        <v>183</v>
      </c>
    </row>
    <row r="32" spans="1:13" x14ac:dyDescent="0.25">
      <c r="M32" s="66" t="s">
        <v>192</v>
      </c>
    </row>
  </sheetData>
  <conditionalFormatting sqref="A2:A22">
    <cfRule type="expression" dxfId="18" priority="5">
      <formula>COUNTIF($D:$D,$A2)&gt;0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33DE-C8A8-4A2F-A900-7023DDAFABA3}">
  <sheetPr>
    <tabColor theme="0" tint="-0.249977111117893"/>
  </sheetPr>
  <dimension ref="A1:E27"/>
  <sheetViews>
    <sheetView showGridLines="0" topLeftCell="A11" workbookViewId="0">
      <selection activeCell="D26" sqref="D26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3.5" x14ac:dyDescent="0.25"/>
  <cols>
    <col min="1" max="1" width="32.140625" style="65" customWidth="1"/>
    <col min="2" max="2" width="16.28515625" style="65" bestFit="1" customWidth="1"/>
    <col min="3" max="3" width="42" style="65" customWidth="1"/>
    <col min="4" max="4" width="24.140625" style="65" customWidth="1"/>
    <col min="5" max="5" width="19.42578125" style="65" customWidth="1"/>
    <col min="6" max="16384" width="9.140625" style="65"/>
  </cols>
  <sheetData>
    <row r="1" spans="1:5" ht="15" x14ac:dyDescent="0.25">
      <c r="A1" s="108" t="s">
        <v>254</v>
      </c>
      <c r="B1" s="109" t="s">
        <v>255</v>
      </c>
      <c r="C1" s="108" t="s">
        <v>256</v>
      </c>
      <c r="D1" s="108" t="s">
        <v>56</v>
      </c>
      <c r="E1" s="108" t="s">
        <v>284</v>
      </c>
    </row>
    <row r="2" spans="1:5" ht="15" x14ac:dyDescent="0.25">
      <c r="A2" s="114" t="s">
        <v>278</v>
      </c>
      <c r="B2" s="115" t="s">
        <v>97</v>
      </c>
      <c r="C2" s="127" t="s">
        <v>273</v>
      </c>
      <c r="D2" s="115"/>
      <c r="E2" s="116" t="s">
        <v>96</v>
      </c>
    </row>
    <row r="3" spans="1:5" ht="30" x14ac:dyDescent="0.25">
      <c r="A3" s="117" t="s">
        <v>259</v>
      </c>
      <c r="B3" s="118" t="s">
        <v>97</v>
      </c>
      <c r="C3" s="119" t="s">
        <v>260</v>
      </c>
      <c r="D3" s="118" t="s">
        <v>289</v>
      </c>
      <c r="E3" s="120" t="s">
        <v>125</v>
      </c>
    </row>
    <row r="4" spans="1:5" ht="30" x14ac:dyDescent="0.25">
      <c r="A4" s="117" t="s">
        <v>281</v>
      </c>
      <c r="B4" s="118" t="s">
        <v>97</v>
      </c>
      <c r="C4" s="122" t="s">
        <v>273</v>
      </c>
      <c r="D4" s="118"/>
      <c r="E4" s="120" t="s">
        <v>96</v>
      </c>
    </row>
    <row r="5" spans="1:5" ht="30" x14ac:dyDescent="0.25">
      <c r="A5" s="117" t="s">
        <v>287</v>
      </c>
      <c r="B5" s="118" t="s">
        <v>97</v>
      </c>
      <c r="C5" s="119" t="str">
        <f>HYPERLINK("https://app.powerbi.com/reportEmbed?reportId=6c24a801-705f-46f5-9460-71cd42716206&amp;autoAuth=true&amp;ctid=f1cf02ad-9661-4b67-ad60-9ae41c500550","AF HMS")</f>
        <v>AF HMS</v>
      </c>
      <c r="D5" s="118" t="s">
        <v>288</v>
      </c>
      <c r="E5" s="120" t="s">
        <v>125</v>
      </c>
    </row>
    <row r="6" spans="1:5" ht="30" x14ac:dyDescent="0.25">
      <c r="A6" s="117" t="s">
        <v>108</v>
      </c>
      <c r="B6" s="118" t="s">
        <v>97</v>
      </c>
      <c r="C6" s="122" t="s">
        <v>273</v>
      </c>
      <c r="D6" s="118"/>
      <c r="E6" s="120" t="s">
        <v>96</v>
      </c>
    </row>
    <row r="7" spans="1:5" ht="15" x14ac:dyDescent="0.25">
      <c r="A7" s="117" t="s">
        <v>279</v>
      </c>
      <c r="B7" s="118" t="s">
        <v>97</v>
      </c>
      <c r="C7" s="122" t="s">
        <v>273</v>
      </c>
      <c r="D7" s="118"/>
      <c r="E7" s="120" t="s">
        <v>96</v>
      </c>
    </row>
    <row r="8" spans="1:5" ht="30" x14ac:dyDescent="0.25">
      <c r="A8" s="117" t="s">
        <v>280</v>
      </c>
      <c r="B8" s="118" t="s">
        <v>97</v>
      </c>
      <c r="C8" s="119" t="s">
        <v>260</v>
      </c>
      <c r="D8" s="118" t="s">
        <v>306</v>
      </c>
      <c r="E8" s="120" t="s">
        <v>96</v>
      </c>
    </row>
    <row r="9" spans="1:5" ht="30" x14ac:dyDescent="0.25">
      <c r="A9" s="117" t="s">
        <v>282</v>
      </c>
      <c r="B9" s="118" t="s">
        <v>97</v>
      </c>
      <c r="C9" s="122" t="s">
        <v>273</v>
      </c>
      <c r="D9" s="118"/>
      <c r="E9" s="120" t="s">
        <v>96</v>
      </c>
    </row>
    <row r="10" spans="1:5" ht="15" x14ac:dyDescent="0.25">
      <c r="A10" s="117" t="s">
        <v>263</v>
      </c>
      <c r="B10" s="118" t="s">
        <v>264</v>
      </c>
      <c r="C10" s="119" t="s">
        <v>265</v>
      </c>
      <c r="D10" s="118"/>
      <c r="E10" s="120" t="s">
        <v>125</v>
      </c>
    </row>
    <row r="11" spans="1:5" ht="15" x14ac:dyDescent="0.25">
      <c r="A11" s="117" t="s">
        <v>37</v>
      </c>
      <c r="B11" s="118"/>
      <c r="C11" s="119" t="s">
        <v>265</v>
      </c>
      <c r="D11" s="118" t="s">
        <v>270</v>
      </c>
      <c r="E11" s="120" t="s">
        <v>96</v>
      </c>
    </row>
    <row r="12" spans="1:5" ht="15" x14ac:dyDescent="0.25">
      <c r="A12" s="117" t="s">
        <v>38</v>
      </c>
      <c r="B12" s="118" t="s">
        <v>97</v>
      </c>
      <c r="C12" s="119" t="s">
        <v>265</v>
      </c>
      <c r="D12" s="118" t="s">
        <v>269</v>
      </c>
      <c r="E12" s="120" t="s">
        <v>96</v>
      </c>
    </row>
    <row r="13" spans="1:5" ht="30" x14ac:dyDescent="0.25">
      <c r="A13" s="117" t="s">
        <v>67</v>
      </c>
      <c r="B13" s="118" t="s">
        <v>272</v>
      </c>
      <c r="C13" s="122" t="s">
        <v>273</v>
      </c>
      <c r="D13" s="118"/>
      <c r="E13" s="120" t="s">
        <v>96</v>
      </c>
    </row>
    <row r="14" spans="1:5" ht="30.6" customHeight="1" x14ac:dyDescent="0.25">
      <c r="A14" s="117" t="s">
        <v>39</v>
      </c>
      <c r="B14" s="118" t="s">
        <v>294</v>
      </c>
      <c r="C14" s="119" t="s">
        <v>265</v>
      </c>
      <c r="D14" s="118" t="s">
        <v>271</v>
      </c>
      <c r="E14" s="120" t="s">
        <v>96</v>
      </c>
    </row>
    <row r="15" spans="1:5" ht="30" x14ac:dyDescent="0.25">
      <c r="A15" s="117" t="s">
        <v>155</v>
      </c>
      <c r="B15" s="118" t="s">
        <v>274</v>
      </c>
      <c r="C15" s="122" t="s">
        <v>273</v>
      </c>
      <c r="D15" s="118"/>
      <c r="E15" s="120" t="s">
        <v>96</v>
      </c>
    </row>
    <row r="16" spans="1:5" ht="30" x14ac:dyDescent="0.25">
      <c r="A16" s="117" t="s">
        <v>290</v>
      </c>
      <c r="B16" s="118" t="s">
        <v>97</v>
      </c>
      <c r="C16" s="119" t="s">
        <v>257</v>
      </c>
      <c r="D16" s="118"/>
      <c r="E16" s="120" t="s">
        <v>96</v>
      </c>
    </row>
    <row r="17" spans="1:5" ht="60" x14ac:dyDescent="0.25">
      <c r="A17" s="117" t="s">
        <v>275</v>
      </c>
      <c r="B17" s="118" t="s">
        <v>111</v>
      </c>
      <c r="C17" s="121" t="s">
        <v>277</v>
      </c>
      <c r="D17" s="118" t="s">
        <v>261</v>
      </c>
      <c r="E17" s="120" t="s">
        <v>96</v>
      </c>
    </row>
    <row r="18" spans="1:5" ht="30" x14ac:dyDescent="0.25">
      <c r="A18" s="117" t="s">
        <v>183</v>
      </c>
      <c r="B18" s="118" t="s">
        <v>276</v>
      </c>
      <c r="C18" s="122" t="s">
        <v>273</v>
      </c>
      <c r="D18" s="118"/>
      <c r="E18" s="120" t="s">
        <v>96</v>
      </c>
    </row>
    <row r="19" spans="1:5" ht="30" x14ac:dyDescent="0.25">
      <c r="A19" s="117" t="s">
        <v>15</v>
      </c>
      <c r="B19" s="118" t="s">
        <v>97</v>
      </c>
      <c r="C19" s="130" t="s">
        <v>273</v>
      </c>
      <c r="D19" s="118"/>
      <c r="E19" s="120" t="s">
        <v>96</v>
      </c>
    </row>
    <row r="20" spans="1:5" ht="15" x14ac:dyDescent="0.25">
      <c r="A20" s="117" t="s">
        <v>292</v>
      </c>
      <c r="B20" s="118" t="s">
        <v>97</v>
      </c>
      <c r="C20" s="130" t="s">
        <v>273</v>
      </c>
      <c r="D20" s="118"/>
      <c r="E20" s="120" t="s">
        <v>96</v>
      </c>
    </row>
    <row r="21" spans="1:5" ht="45" x14ac:dyDescent="0.25">
      <c r="A21" s="123" t="s">
        <v>36</v>
      </c>
      <c r="B21" s="124" t="s">
        <v>97</v>
      </c>
      <c r="C21" s="131" t="s">
        <v>258</v>
      </c>
      <c r="D21" s="124" t="s">
        <v>291</v>
      </c>
      <c r="E21" s="125" t="s">
        <v>96</v>
      </c>
    </row>
    <row r="22" spans="1:5" ht="30" x14ac:dyDescent="0.25">
      <c r="A22" s="123" t="s">
        <v>192</v>
      </c>
      <c r="B22" s="124" t="s">
        <v>97</v>
      </c>
      <c r="C22" s="129" t="s">
        <v>273</v>
      </c>
      <c r="D22" s="124"/>
      <c r="E22" s="125" t="s">
        <v>96</v>
      </c>
    </row>
    <row r="23" spans="1:5" ht="15" x14ac:dyDescent="0.25">
      <c r="A23" s="123" t="s">
        <v>293</v>
      </c>
      <c r="B23" s="124" t="s">
        <v>97</v>
      </c>
      <c r="C23" s="129" t="s">
        <v>273</v>
      </c>
      <c r="D23" s="124"/>
      <c r="E23" s="125" t="s">
        <v>96</v>
      </c>
    </row>
    <row r="24" spans="1:5" ht="30" x14ac:dyDescent="0.25">
      <c r="A24" s="123" t="s">
        <v>283</v>
      </c>
      <c r="B24" s="124" t="s">
        <v>97</v>
      </c>
      <c r="C24" s="126" t="str">
        <f>HYPERLINK("https://app.powerbi.com/groups/5f8eff56-61f0-4824-9f06-fc0961e08c98/reports/6c24a801-705f-46f5-9460-71cd42716206/ReportSection98f9bd1fc71fd2e308f1?experience=power-bi","AF HMS")</f>
        <v>AF HMS</v>
      </c>
      <c r="D24" s="124"/>
      <c r="E24" s="125" t="s">
        <v>96</v>
      </c>
    </row>
    <row r="25" spans="1:5" ht="30" x14ac:dyDescent="0.25">
      <c r="A25" s="123" t="s">
        <v>29</v>
      </c>
      <c r="B25" s="124" t="s">
        <v>97</v>
      </c>
      <c r="C25" s="129" t="s">
        <v>273</v>
      </c>
      <c r="D25" s="124"/>
      <c r="E25" s="125" t="s">
        <v>96</v>
      </c>
    </row>
    <row r="26" spans="1:5" ht="60" x14ac:dyDescent="0.25">
      <c r="A26" s="123" t="s">
        <v>262</v>
      </c>
      <c r="B26" s="124" t="s">
        <v>111</v>
      </c>
      <c r="C26" s="128" t="s">
        <v>277</v>
      </c>
      <c r="D26" s="124" t="s">
        <v>261</v>
      </c>
      <c r="E26" s="125" t="s">
        <v>125</v>
      </c>
    </row>
    <row r="27" spans="1:5" ht="30" x14ac:dyDescent="0.25">
      <c r="A27" s="123" t="s">
        <v>295</v>
      </c>
      <c r="B27" s="124" t="s">
        <v>97</v>
      </c>
      <c r="C27" s="129" t="s">
        <v>273</v>
      </c>
      <c r="D27" s="124"/>
      <c r="E27" s="125" t="s">
        <v>96</v>
      </c>
    </row>
  </sheetData>
  <conditionalFormatting sqref="A2:E27">
    <cfRule type="expression" dxfId="17" priority="2">
      <formula>$E2="No"</formula>
    </cfRule>
  </conditionalFormatting>
  <conditionalFormatting sqref="C1:C1048576">
    <cfRule type="expression" dxfId="16" priority="1">
      <formula>$C1="Pending"</formula>
    </cfRule>
  </conditionalFormatting>
  <dataValidations count="1">
    <dataValidation type="list" allowBlank="1" showInputMessage="1" showErrorMessage="1" sqref="E2:E27" xr:uid="{EC6293B9-4851-453D-9AD2-E8B96D9A814B}">
      <formula1>"Yes, No"</formula1>
    </dataValidation>
  </dataValidations>
  <hyperlinks>
    <hyperlink ref="C21" r:id="rId1" xr:uid="{4DDE8553-2F03-456A-9507-5AED7B5056AF}"/>
    <hyperlink ref="C16" r:id="rId2" xr:uid="{CE77A839-73DB-4FA6-919C-B5C054E0EF68}"/>
    <hyperlink ref="C3" r:id="rId3" xr:uid="{F43ABA44-777C-40B1-B6BA-D832D2B51AE9}"/>
    <hyperlink ref="C10" r:id="rId4" xr:uid="{EBE81542-D1B2-4569-9DD5-AD9E8E96FEFC}"/>
    <hyperlink ref="C11" r:id="rId5" xr:uid="{4BF79DC8-3EAC-4E4E-B4BC-0D7B98B9CDFE}"/>
    <hyperlink ref="C12" r:id="rId6" xr:uid="{32BDF920-6871-4EF3-8854-73835C24A333}"/>
    <hyperlink ref="C14" r:id="rId7" xr:uid="{0400D5E1-6246-408D-B41F-4C0071A8BF89}"/>
    <hyperlink ref="C8" r:id="rId8" xr:uid="{6C8B165C-55BD-49E4-BA76-D44A322069ED}"/>
  </hyperlinks>
  <pageMargins left="0.7" right="0.7" top="0.75" bottom="0.75" header="0.3" footer="0.3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A9196C2F7C94D803E2258ED71EAAF" ma:contentTypeVersion="10" ma:contentTypeDescription="Create a new document." ma:contentTypeScope="" ma:versionID="f5407b1542af0bb379f8a7fc9b4c3fde">
  <xsd:schema xmlns:xsd="http://www.w3.org/2001/XMLSchema" xmlns:xs="http://www.w3.org/2001/XMLSchema" xmlns:p="http://schemas.microsoft.com/office/2006/metadata/properties" xmlns:ns2="e463bb6d-2520-4fa8-ad54-65ec8f69f310" targetNamespace="http://schemas.microsoft.com/office/2006/metadata/properties" ma:root="true" ma:fieldsID="93aacfd3ce4501578b24e2ba49c65e73" ns2:_="">
    <xsd:import namespace="e463bb6d-2520-4fa8-ad54-65ec8f69f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3bb6d-2520-4fa8-ad54-65ec8f69f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80037ef-5633-4fe5-ade4-c62f8cb071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63bb6d-2520-4fa8-ad54-65ec8f69f310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DAAC8-5995-4409-8B3F-ECD5B448ADD9}"/>
</file>

<file path=customXml/itemProps2.xml><?xml version="1.0" encoding="utf-8"?>
<ds:datastoreItem xmlns:ds="http://schemas.openxmlformats.org/officeDocument/2006/customXml" ds:itemID="{6A2811B9-9464-4D47-822A-EB6EBCBC37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71D5D9-33B5-4E6E-9BD1-FF9B5E2D8DC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A472A9B-9B43-4509-B57E-19F007748D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Monthly Full Calculations</vt:lpstr>
      <vt:lpstr>FTE Sheet</vt:lpstr>
      <vt:lpstr>Daily Raw Data</vt:lpstr>
      <vt:lpstr>Function Info</vt:lpstr>
      <vt:lpstr>workspaceAnalysis</vt:lpstr>
      <vt:lpstr>Standard Working Days</vt:lpstr>
      <vt:lpstr>Productivity Baseline</vt:lpstr>
      <vt:lpstr>Analysis</vt:lpstr>
      <vt:lpstr>Active Service Delivery</vt:lpstr>
      <vt:lpstr>Dataset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 Michael Estela</cp:lastModifiedBy>
  <cp:revision/>
  <dcterms:created xsi:type="dcterms:W3CDTF">2025-09-23T06:31:11Z</dcterms:created>
  <dcterms:modified xsi:type="dcterms:W3CDTF">2025-10-02T08:15:49Z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0x01010086CA9196C2F7C94D803E2258ED71EAAF</vt:lpwstr>
  </property>
</Properties>
</file>