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副本时间模板" sheetId="1" r:id="rId1"/>
    <sheet name="参考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" i="1" l="1"/>
  <c r="F82" i="1"/>
  <c r="F96" i="1"/>
  <c r="E96" i="1"/>
  <c r="D96" i="1"/>
  <c r="C84" i="1"/>
  <c r="D95" i="1"/>
  <c r="F110" i="1"/>
  <c r="E110" i="1"/>
  <c r="D110" i="1"/>
  <c r="C98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E124" i="1"/>
  <c r="F124" i="1"/>
  <c r="J64" i="1"/>
  <c r="J103" i="1"/>
  <c r="E59" i="1"/>
  <c r="F59" i="1"/>
  <c r="G59" i="1"/>
  <c r="C177" i="1"/>
  <c r="D177" i="1"/>
  <c r="E177" i="1"/>
  <c r="H59" i="1"/>
  <c r="D100" i="1"/>
  <c r="G109" i="1"/>
  <c r="G108" i="1"/>
  <c r="G107" i="1"/>
  <c r="G106" i="1"/>
  <c r="G105" i="1"/>
  <c r="J104" i="1"/>
  <c r="G104" i="1"/>
  <c r="G103" i="1"/>
  <c r="G102" i="1"/>
  <c r="G101" i="1"/>
  <c r="E100" i="1"/>
  <c r="F100" i="1"/>
  <c r="G100" i="1"/>
  <c r="J90" i="1"/>
  <c r="J89" i="1"/>
  <c r="D87" i="1"/>
  <c r="D88" i="1"/>
  <c r="D89" i="1"/>
  <c r="D90" i="1"/>
  <c r="D91" i="1"/>
  <c r="D92" i="1"/>
  <c r="D93" i="1"/>
  <c r="D94" i="1"/>
  <c r="D86" i="1"/>
  <c r="D73" i="1"/>
  <c r="D74" i="1"/>
  <c r="D75" i="1"/>
  <c r="D76" i="1"/>
  <c r="D77" i="1"/>
  <c r="D78" i="1"/>
  <c r="D79" i="1"/>
  <c r="D80" i="1"/>
  <c r="D81" i="1"/>
  <c r="E95" i="1"/>
  <c r="F95" i="1"/>
  <c r="G95" i="1"/>
  <c r="E94" i="1"/>
  <c r="F94" i="1"/>
  <c r="G94" i="1"/>
  <c r="E93" i="1"/>
  <c r="F93" i="1"/>
  <c r="G93" i="1"/>
  <c r="E92" i="1"/>
  <c r="F92" i="1"/>
  <c r="G92" i="1"/>
  <c r="E91" i="1"/>
  <c r="F91" i="1"/>
  <c r="G91" i="1"/>
  <c r="E90" i="1"/>
  <c r="F90" i="1"/>
  <c r="G90" i="1"/>
  <c r="E89" i="1"/>
  <c r="F89" i="1"/>
  <c r="G89" i="1"/>
  <c r="E88" i="1"/>
  <c r="F88" i="1"/>
  <c r="G88" i="1"/>
  <c r="E87" i="1"/>
  <c r="F87" i="1"/>
  <c r="G87" i="1"/>
  <c r="E86" i="1"/>
  <c r="F86" i="1"/>
  <c r="G86" i="1"/>
  <c r="C112" i="1"/>
  <c r="H58" i="1"/>
  <c r="E60" i="1"/>
  <c r="F60" i="1"/>
  <c r="G60" i="1"/>
  <c r="C178" i="1"/>
  <c r="D178" i="1"/>
  <c r="E178" i="1"/>
  <c r="H60" i="1"/>
  <c r="E61" i="1"/>
  <c r="F61" i="1"/>
  <c r="G61" i="1"/>
  <c r="C179" i="1"/>
  <c r="D179" i="1"/>
  <c r="E179" i="1"/>
  <c r="H61" i="1"/>
  <c r="E62" i="1"/>
  <c r="F62" i="1"/>
  <c r="G62" i="1"/>
  <c r="C180" i="1"/>
  <c r="D180" i="1"/>
  <c r="E180" i="1"/>
  <c r="H62" i="1"/>
  <c r="D68" i="1"/>
  <c r="E68" i="1"/>
  <c r="F68" i="1"/>
  <c r="D114" i="1"/>
  <c r="D115" i="1"/>
  <c r="D116" i="1"/>
  <c r="D117" i="1"/>
  <c r="D118" i="1"/>
  <c r="D119" i="1"/>
  <c r="D120" i="1"/>
  <c r="D121" i="1"/>
  <c r="D122" i="1"/>
  <c r="D123" i="1"/>
  <c r="D124" i="1"/>
  <c r="J63" i="1"/>
  <c r="S122" i="1"/>
  <c r="S123" i="1"/>
  <c r="S124" i="1"/>
  <c r="S125" i="1"/>
  <c r="S126" i="1"/>
  <c r="S121" i="1"/>
  <c r="E7" i="1"/>
  <c r="H142" i="1"/>
  <c r="G176" i="1"/>
  <c r="H176" i="1"/>
  <c r="H143" i="1"/>
  <c r="G177" i="1"/>
  <c r="H177" i="1"/>
  <c r="I177" i="1"/>
  <c r="H144" i="1"/>
  <c r="G178" i="1"/>
  <c r="H178" i="1"/>
  <c r="I178" i="1"/>
  <c r="H145" i="1"/>
  <c r="G179" i="1"/>
  <c r="H179" i="1"/>
  <c r="I179" i="1"/>
  <c r="H146" i="1"/>
  <c r="G180" i="1"/>
  <c r="H180" i="1"/>
  <c r="I180" i="1"/>
  <c r="I176" i="1"/>
  <c r="C176" i="1"/>
  <c r="D176" i="1"/>
  <c r="E176" i="1"/>
  <c r="C153" i="1"/>
  <c r="D153" i="1"/>
  <c r="E153" i="1"/>
  <c r="F153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4" i="1"/>
  <c r="D164" i="1"/>
  <c r="E164" i="1"/>
  <c r="C156" i="1"/>
  <c r="D156" i="1"/>
  <c r="E156" i="1"/>
  <c r="C157" i="1"/>
  <c r="D157" i="1"/>
  <c r="E157" i="1"/>
  <c r="F157" i="1"/>
  <c r="C155" i="1"/>
  <c r="D155" i="1"/>
  <c r="E155" i="1"/>
  <c r="F156" i="1"/>
  <c r="C145" i="1"/>
  <c r="C146" i="1"/>
  <c r="I145" i="1"/>
  <c r="J145" i="1"/>
  <c r="K145" i="1"/>
  <c r="I146" i="1"/>
  <c r="J146" i="1"/>
  <c r="K146" i="1"/>
  <c r="F132" i="1"/>
  <c r="G132" i="1"/>
  <c r="H132" i="1"/>
  <c r="I132" i="1"/>
  <c r="J132" i="1"/>
  <c r="F133" i="1"/>
  <c r="G133" i="1"/>
  <c r="H133" i="1"/>
  <c r="I133" i="1"/>
  <c r="J133" i="1"/>
  <c r="F130" i="1"/>
  <c r="C154" i="1"/>
  <c r="D154" i="1"/>
  <c r="D24" i="1"/>
  <c r="D30" i="1"/>
  <c r="D31" i="1"/>
  <c r="D44" i="1"/>
  <c r="E44" i="1"/>
  <c r="E154" i="1"/>
  <c r="F131" i="1"/>
  <c r="F129" i="1"/>
  <c r="F155" i="1"/>
  <c r="F154" i="1"/>
  <c r="K144" i="1"/>
  <c r="J144" i="1"/>
  <c r="I144" i="1"/>
  <c r="C144" i="1"/>
  <c r="K143" i="1"/>
  <c r="J143" i="1"/>
  <c r="I143" i="1"/>
  <c r="C143" i="1"/>
  <c r="K142" i="1"/>
  <c r="J142" i="1"/>
  <c r="I142" i="1"/>
  <c r="C142" i="1"/>
  <c r="G130" i="1"/>
  <c r="H130" i="1"/>
  <c r="E31" i="1"/>
  <c r="I130" i="1"/>
  <c r="E30" i="1"/>
  <c r="J130" i="1"/>
  <c r="G131" i="1"/>
  <c r="H131" i="1"/>
  <c r="I131" i="1"/>
  <c r="J131" i="1"/>
  <c r="H129" i="1"/>
  <c r="J129" i="1"/>
  <c r="G129" i="1"/>
  <c r="I129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C70" i="1"/>
  <c r="D72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D8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58" i="1"/>
  <c r="F58" i="1"/>
  <c r="G58" i="1"/>
  <c r="D43" i="1"/>
  <c r="D34" i="1"/>
  <c r="D38" i="1"/>
  <c r="E38" i="1"/>
</calcChain>
</file>

<file path=xl/sharedStrings.xml><?xml version="1.0" encoding="utf-8"?>
<sst xmlns="http://schemas.openxmlformats.org/spreadsheetml/2006/main" count="297" uniqueCount="167">
  <si>
    <t>新版对局时间模板</t>
    <phoneticPr fontId="1" type="noConversion"/>
  </si>
  <si>
    <t>每天时间</t>
    <phoneticPr fontId="1" type="noConversion"/>
  </si>
  <si>
    <t>focus数据表明，每天游戏时间2.5~5小时的玩家较多。</t>
    <phoneticPr fontId="1" type="noConversion"/>
  </si>
  <si>
    <t>分钟</t>
    <phoneticPr fontId="1" type="noConversion"/>
  </si>
  <si>
    <t>小时</t>
    <phoneticPr fontId="1" type="noConversion"/>
  </si>
  <si>
    <t>高强度</t>
    <phoneticPr fontId="1" type="noConversion"/>
  </si>
  <si>
    <t>中强度</t>
    <phoneticPr fontId="1" type="noConversion"/>
  </si>
  <si>
    <t>中低难度副本刷刷刷，活动本</t>
    <phoneticPr fontId="1" type="noConversion"/>
  </si>
  <si>
    <t>时间定价（元/分钟）</t>
    <phoneticPr fontId="1" type="noConversion"/>
  </si>
  <si>
    <t>高难度副本，pvp等</t>
    <phoneticPr fontId="1" type="noConversion"/>
  </si>
  <si>
    <t>玩法基础时间模板</t>
    <phoneticPr fontId="1" type="noConversion"/>
  </si>
  <si>
    <t>活动/特殊副本的构成</t>
    <phoneticPr fontId="1" type="noConversion"/>
  </si>
  <si>
    <t>12s</t>
    <phoneticPr fontId="1" type="noConversion"/>
  </si>
  <si>
    <t>普通/精英副本的构成</t>
    <phoneticPr fontId="1" type="noConversion"/>
  </si>
  <si>
    <t>精英副本Boss对局时间</t>
  </si>
  <si>
    <t>普通副本Boss对局时间</t>
    <phoneticPr fontId="1" type="noConversion"/>
  </si>
  <si>
    <t>小怪对局个数</t>
    <phoneticPr fontId="1" type="noConversion"/>
  </si>
  <si>
    <t>boss对局个数</t>
    <phoneticPr fontId="1" type="noConversion"/>
  </si>
  <si>
    <t>活动副本小怪对局时间</t>
    <phoneticPr fontId="1" type="noConversion"/>
  </si>
  <si>
    <t>活动副本Boss对局时间</t>
    <phoneticPr fontId="1" type="noConversion"/>
  </si>
  <si>
    <t>30s</t>
    <phoneticPr fontId="1" type="noConversion"/>
  </si>
  <si>
    <t>33s</t>
    <phoneticPr fontId="1" type="noConversion"/>
  </si>
  <si>
    <t>51s</t>
    <phoneticPr fontId="1" type="noConversion"/>
  </si>
  <si>
    <t>未释放大招</t>
    <phoneticPr fontId="1" type="noConversion"/>
  </si>
  <si>
    <t>27s</t>
    <phoneticPr fontId="1" type="noConversion"/>
  </si>
  <si>
    <t>27s</t>
    <phoneticPr fontId="1" type="noConversion"/>
  </si>
  <si>
    <t>自动释放大招</t>
    <phoneticPr fontId="1" type="noConversion"/>
  </si>
  <si>
    <t>22s</t>
    <phoneticPr fontId="1" type="noConversion"/>
  </si>
  <si>
    <t>25s</t>
    <phoneticPr fontId="1" type="noConversion"/>
  </si>
  <si>
    <t>阵亡</t>
    <phoneticPr fontId="1" type="noConversion"/>
  </si>
  <si>
    <t>29s</t>
    <phoneticPr fontId="1" type="noConversion"/>
  </si>
  <si>
    <t>48s</t>
    <phoneticPr fontId="1" type="noConversion"/>
  </si>
  <si>
    <t>13s</t>
    <phoneticPr fontId="1" type="noConversion"/>
  </si>
  <si>
    <t>20s</t>
    <phoneticPr fontId="1" type="noConversion"/>
  </si>
  <si>
    <t>28s</t>
    <phoneticPr fontId="1" type="noConversion"/>
  </si>
  <si>
    <t>dota精英副本对局</t>
    <phoneticPr fontId="1" type="noConversion"/>
  </si>
  <si>
    <t>32s</t>
    <phoneticPr fontId="1" type="noConversion"/>
  </si>
  <si>
    <t>31s</t>
    <phoneticPr fontId="1" type="noConversion"/>
  </si>
  <si>
    <t>26s</t>
    <phoneticPr fontId="1" type="noConversion"/>
  </si>
  <si>
    <t>19s</t>
    <phoneticPr fontId="1" type="noConversion"/>
  </si>
  <si>
    <t>25s</t>
    <phoneticPr fontId="1" type="noConversion"/>
  </si>
  <si>
    <t>15s</t>
    <phoneticPr fontId="1" type="noConversion"/>
  </si>
  <si>
    <t>4s</t>
    <phoneticPr fontId="1" type="noConversion"/>
  </si>
  <si>
    <t>9s</t>
    <phoneticPr fontId="1" type="noConversion"/>
  </si>
  <si>
    <t>未释放大招</t>
    <phoneticPr fontId="1" type="noConversion"/>
  </si>
  <si>
    <t>活动本（女武神的对决）</t>
    <phoneticPr fontId="1" type="noConversion"/>
  </si>
  <si>
    <t>7s</t>
    <phoneticPr fontId="1" type="noConversion"/>
  </si>
  <si>
    <t>10s</t>
    <phoneticPr fontId="1" type="noConversion"/>
  </si>
  <si>
    <t>5s</t>
    <phoneticPr fontId="1" type="noConversion"/>
  </si>
  <si>
    <t>6s</t>
    <phoneticPr fontId="1" type="noConversion"/>
  </si>
  <si>
    <t>8s</t>
    <phoneticPr fontId="1" type="noConversion"/>
  </si>
  <si>
    <t>9s</t>
    <phoneticPr fontId="1" type="noConversion"/>
  </si>
  <si>
    <t>竞技场</t>
    <phoneticPr fontId="1" type="noConversion"/>
  </si>
  <si>
    <t>50s</t>
    <phoneticPr fontId="1" type="noConversion"/>
  </si>
  <si>
    <t>时光之穴</t>
    <phoneticPr fontId="1" type="noConversion"/>
  </si>
  <si>
    <t>34s</t>
    <phoneticPr fontId="1" type="noConversion"/>
  </si>
  <si>
    <t>19s</t>
    <phoneticPr fontId="1" type="noConversion"/>
  </si>
  <si>
    <t>未释放大招</t>
    <phoneticPr fontId="1" type="noConversion"/>
  </si>
  <si>
    <t>释放大招</t>
  </si>
  <si>
    <t>dota普通副本对局</t>
    <phoneticPr fontId="1" type="noConversion"/>
  </si>
  <si>
    <t>魔灵召唤普通副本对局</t>
    <phoneticPr fontId="1" type="noConversion"/>
  </si>
  <si>
    <t>25s左右</t>
    <phoneticPr fontId="1" type="noConversion"/>
  </si>
  <si>
    <t>小怪</t>
    <phoneticPr fontId="1" type="noConversion"/>
  </si>
  <si>
    <t>Boss</t>
    <phoneticPr fontId="1" type="noConversion"/>
  </si>
  <si>
    <t>魔灵召唤困难副本对局</t>
    <phoneticPr fontId="1" type="noConversion"/>
  </si>
  <si>
    <t>50s左右</t>
    <phoneticPr fontId="1" type="noConversion"/>
  </si>
  <si>
    <t>90s左右</t>
    <phoneticPr fontId="1" type="noConversion"/>
  </si>
  <si>
    <t>90s左右</t>
    <phoneticPr fontId="1" type="noConversion"/>
  </si>
  <si>
    <t>魔灵召唤地下城对局</t>
    <phoneticPr fontId="1" type="noConversion"/>
  </si>
  <si>
    <t>min</t>
    <phoneticPr fontId="1" type="noConversion"/>
  </si>
  <si>
    <t>max</t>
    <phoneticPr fontId="1" type="noConversion"/>
  </si>
  <si>
    <t>普通副本</t>
  </si>
  <si>
    <t>精英副本小怪对局时间</t>
    <phoneticPr fontId="1" type="noConversion"/>
  </si>
  <si>
    <t>精英副本</t>
  </si>
  <si>
    <t>（单位为s）</t>
    <phoneticPr fontId="1" type="noConversion"/>
  </si>
  <si>
    <t>活动副本</t>
    <phoneticPr fontId="1" type="noConversion"/>
  </si>
  <si>
    <t>普通副本小怪对局时间</t>
    <phoneticPr fontId="1" type="noConversion"/>
  </si>
  <si>
    <t>普通副本百分比</t>
    <phoneticPr fontId="1" type="noConversion"/>
  </si>
  <si>
    <t>精英副本百分比</t>
    <phoneticPr fontId="1" type="noConversion"/>
  </si>
  <si>
    <t>平均耗时</t>
    <phoneticPr fontId="1" type="noConversion"/>
  </si>
  <si>
    <t>竞技场战斗时间</t>
    <phoneticPr fontId="1" type="noConversion"/>
  </si>
  <si>
    <t xml:space="preserve">50s </t>
    <phoneticPr fontId="1" type="noConversion"/>
  </si>
  <si>
    <t>90s</t>
    <phoneticPr fontId="1" type="noConversion"/>
  </si>
  <si>
    <t>等级模板</t>
    <phoneticPr fontId="1" type="noConversion"/>
  </si>
  <si>
    <t>等级时间公式</t>
    <phoneticPr fontId="1" type="noConversion"/>
  </si>
  <si>
    <t>T（lv）=s(lv)*t（level）*n（lv1）*（k0（plv）+k1（plv）+k2（plv）+……+kn(plv))*t（plv）</t>
    <phoneticPr fontId="1" type="noConversion"/>
  </si>
  <si>
    <t>其中t（level）是对局基础时间，</t>
    <phoneticPr fontId="1" type="noConversion"/>
  </si>
  <si>
    <t>t（plv）为预期周期。</t>
    <phoneticPr fontId="1" type="noConversion"/>
  </si>
  <si>
    <t>kn（plv）是根据开启的坑和活动对预期时间的调整，k0（plv）表示单次投放时间系数，plv代表等级段，k1（plv）、k2（plv）……kn(plv)代表每个等级段开放的活动数量</t>
    <phoneticPr fontId="1" type="noConversion"/>
  </si>
  <si>
    <t>s(lv)是随等级变化的对局修正系数是对（k0（plv）+k1（plv）+k2（plv）+……+kn(plv))的整体增量描述</t>
    <phoneticPr fontId="1" type="noConversion"/>
  </si>
  <si>
    <t>所以时间差在公式中体现在不同等级段的：S(plv)*（1+k1（plv）+k2（plv）+……+kn(plv))差</t>
    <phoneticPr fontId="1" type="noConversion"/>
  </si>
  <si>
    <t>其中S(plv)为等级段中所有s（lv）的和</t>
    <phoneticPr fontId="1" type="noConversion"/>
  </si>
  <si>
    <t>n（lv1）是Lv1到lv2预期对局次数，</t>
    <phoneticPr fontId="1" type="noConversion"/>
  </si>
  <si>
    <t>战斗时间等级分段</t>
    <phoneticPr fontId="1" type="noConversion"/>
  </si>
  <si>
    <t>天</t>
    <phoneticPr fontId="1" type="noConversion"/>
  </si>
  <si>
    <t>小时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</si>
  <si>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</si>
  <si>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</si>
  <si>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</si>
  <si>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总战斗时间</t>
    <phoneticPr fontId="1" type="noConversion"/>
  </si>
  <si>
    <t>小时</t>
    <phoneticPr fontId="1" type="noConversion"/>
  </si>
  <si>
    <t>1~10</t>
    <phoneticPr fontId="1" type="noConversion"/>
  </si>
  <si>
    <t>11~20</t>
    <phoneticPr fontId="1" type="noConversion"/>
  </si>
  <si>
    <t>51~60</t>
    <phoneticPr fontId="1" type="noConversion"/>
  </si>
  <si>
    <t>61~70</t>
    <phoneticPr fontId="1" type="noConversion"/>
  </si>
  <si>
    <t>71~80</t>
    <phoneticPr fontId="1" type="noConversion"/>
  </si>
  <si>
    <t>81~90</t>
    <phoneticPr fontId="1" type="noConversion"/>
  </si>
  <si>
    <t>91~99</t>
    <phoneticPr fontId="1" type="noConversion"/>
  </si>
  <si>
    <t>预期副本数</t>
    <phoneticPr fontId="1" type="noConversion"/>
  </si>
  <si>
    <t>普通玩家极限系数</t>
    <phoneticPr fontId="1" type="noConversion"/>
  </si>
  <si>
    <t>RMB玩家极限</t>
    <phoneticPr fontId="1" type="noConversion"/>
  </si>
  <si>
    <t>基于每天的活动分流</t>
    <phoneticPr fontId="1" type="noConversion"/>
  </si>
  <si>
    <t>玩法强度分流</t>
    <phoneticPr fontId="1" type="noConversion"/>
  </si>
  <si>
    <t>每日时间系数</t>
    <phoneticPr fontId="1" type="noConversion"/>
  </si>
  <si>
    <t>高强度系数</t>
    <phoneticPr fontId="1" type="noConversion"/>
  </si>
  <si>
    <t>中强度系数</t>
    <phoneticPr fontId="1" type="noConversion"/>
  </si>
  <si>
    <t>高强度时间</t>
    <phoneticPr fontId="1" type="noConversion"/>
  </si>
  <si>
    <t>中强度时间</t>
    <phoneticPr fontId="1" type="noConversion"/>
  </si>
  <si>
    <t>时间分流系数</t>
    <phoneticPr fontId="1" type="noConversion"/>
  </si>
  <si>
    <t>时间分流</t>
    <phoneticPr fontId="1" type="noConversion"/>
  </si>
  <si>
    <t>活动系数</t>
    <phoneticPr fontId="1" type="noConversion"/>
  </si>
  <si>
    <t>活动数量（等级段）</t>
    <phoneticPr fontId="1" type="noConversion"/>
  </si>
  <si>
    <t>活动对局修正系数</t>
    <phoneticPr fontId="1" type="noConversion"/>
  </si>
  <si>
    <t>主支线系数</t>
    <phoneticPr fontId="1" type="noConversion"/>
  </si>
  <si>
    <t>总权重</t>
    <phoneticPr fontId="1" type="noConversion"/>
  </si>
  <si>
    <t>活动比例</t>
    <phoneticPr fontId="1" type="noConversion"/>
  </si>
  <si>
    <t>主支线比例</t>
    <phoneticPr fontId="1" type="noConversion"/>
  </si>
  <si>
    <t>坑比例</t>
    <phoneticPr fontId="1" type="noConversion"/>
  </si>
  <si>
    <t>总时间</t>
    <phoneticPr fontId="1" type="noConversion"/>
  </si>
  <si>
    <t>坑对局系数</t>
    <phoneticPr fontId="1" type="noConversion"/>
  </si>
  <si>
    <t>非坑周期投放时间</t>
    <phoneticPr fontId="1" type="noConversion"/>
  </si>
  <si>
    <t>小时</t>
    <phoneticPr fontId="1" type="noConversion"/>
  </si>
  <si>
    <t>分钟</t>
    <phoneticPr fontId="1" type="noConversion"/>
  </si>
  <si>
    <t>对局增量</t>
    <phoneticPr fontId="1" type="noConversion"/>
  </si>
  <si>
    <t>中强度副本数</t>
    <phoneticPr fontId="1" type="noConversion"/>
  </si>
  <si>
    <t>期望副本数</t>
    <phoneticPr fontId="1" type="noConversion"/>
  </si>
  <si>
    <t>对应活动</t>
    <phoneticPr fontId="1" type="noConversion"/>
  </si>
  <si>
    <t>每日任务（普通本*10）</t>
    <phoneticPr fontId="1" type="noConversion"/>
  </si>
  <si>
    <t>31~40</t>
    <phoneticPr fontId="1" type="noConversion"/>
  </si>
  <si>
    <t>41~50</t>
    <phoneticPr fontId="1" type="noConversion"/>
  </si>
  <si>
    <t>通天塔-降临boss（1）</t>
    <phoneticPr fontId="1" type="noConversion"/>
  </si>
  <si>
    <t>坑周期投放时间</t>
    <phoneticPr fontId="1" type="noConversion"/>
  </si>
  <si>
    <t>期望副本数</t>
    <phoneticPr fontId="1" type="noConversion"/>
  </si>
  <si>
    <t>单次投放时间</t>
    <phoneticPr fontId="1" type="noConversion"/>
  </si>
  <si>
    <t>每天</t>
    <phoneticPr fontId="1" type="noConversion"/>
  </si>
  <si>
    <t>总体</t>
    <phoneticPr fontId="1" type="noConversion"/>
  </si>
  <si>
    <t>预计副本数</t>
    <phoneticPr fontId="1" type="noConversion"/>
  </si>
  <si>
    <t>困难日常（3），通天塔（5）</t>
    <phoneticPr fontId="1" type="noConversion"/>
  </si>
  <si>
    <t>高强度副本数</t>
    <phoneticPr fontId="1" type="noConversion"/>
  </si>
  <si>
    <t>稀有XX（待修改）</t>
    <phoneticPr fontId="1" type="noConversion"/>
  </si>
  <si>
    <t>竞技场（3），公会任务（5）</t>
    <phoneticPr fontId="1" type="noConversion"/>
  </si>
  <si>
    <t>月1000玩家极限系数</t>
    <phoneticPr fontId="1" type="noConversion"/>
  </si>
  <si>
    <t>月2000玩家极限系数</t>
    <phoneticPr fontId="1" type="noConversion"/>
  </si>
  <si>
    <t>非战斗时间需填补每天游戏时间2.5h以上的玩家时间</t>
    <phoneticPr fontId="1" type="noConversion"/>
  </si>
  <si>
    <t>2.疲劳回复</t>
    <phoneticPr fontId="1" type="noConversion"/>
  </si>
  <si>
    <t>3.装备，宠物，宝石强化</t>
    <phoneticPr fontId="1" type="noConversion"/>
  </si>
  <si>
    <t>1.家园种菜</t>
    <phoneticPr fontId="1" type="noConversion"/>
  </si>
  <si>
    <t>4.类coc收集</t>
    <phoneticPr fontId="1" type="noConversion"/>
  </si>
  <si>
    <t>5.挂机刷刷刷</t>
    <phoneticPr fontId="1" type="noConversion"/>
  </si>
  <si>
    <t>6.玩家抽怪</t>
    <phoneticPr fontId="1" type="noConversion"/>
  </si>
  <si>
    <t>7.商店购买道具</t>
    <phoneticPr fontId="1" type="noConversion"/>
  </si>
  <si>
    <t>仍需考虑</t>
    <phoneticPr fontId="1" type="noConversion"/>
  </si>
  <si>
    <t>需要考虑：</t>
    <phoneticPr fontId="1" type="noConversion"/>
  </si>
  <si>
    <t>rmb玩家与非rmb玩家在前7天效率与升级时间应木有过多的差异</t>
    <phoneticPr fontId="1" type="noConversion"/>
  </si>
  <si>
    <t>实现方法：</t>
    <phoneticPr fontId="1" type="noConversion"/>
  </si>
  <si>
    <t>1.前期rmb玩家提升效率手段少同时获得方式单一，无法通过rmb大量提升效率</t>
    <phoneticPr fontId="1" type="noConversion"/>
  </si>
  <si>
    <t>2.vip等加快效率方式不在前期开放（较坑）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</si>
</sst>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.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10" fontId="2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0" fontId="7" fillId="2" borderId="0" xfId="0" applyFont="1" applyFill="1">
      <alignment vertical="center"/>
    </xf>
    <xf numFmtId="10" fontId="2" fillId="2" borderId="0" xfId="0" applyNumberFormat="1" applyFont="1" applyFill="1">
      <alignment vertical="center"/>
    </xf>
    <xf numFmtId="177" fontId="2" fillId="2" borderId="0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2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3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副本时间模板!$D$58:$D$67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25</c:v>
                </c:pt>
                <c:pt idx="4">
                  <c:v>75</c:v>
                </c:pt>
                <c:pt idx="5">
                  <c:v>135</c:v>
                </c:pt>
                <c:pt idx="6">
                  <c:v>205</c:v>
                </c:pt>
                <c:pt idx="7">
                  <c:v>325</c:v>
                </c:pt>
                <c:pt idx="8">
                  <c:v>455</c:v>
                </c:pt>
                <c:pt idx="9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2858592"/>
        <c:axId val="1012858032"/>
      </c:lineChart>
      <c:catAx>
        <c:axId val="10128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858032"/>
        <c:crosses val="autoZero"/>
        <c:auto val="1"/>
        <c:lblAlgn val="ctr"/>
        <c:lblOffset val="100"/>
        <c:noMultiLvlLbl val="0"/>
      </c:catAx>
      <c:valAx>
        <c:axId val="10128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8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副本时间模板!$S$121:$S$126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3.6764705882352939</c:v>
                </c:pt>
                <c:pt idx="3">
                  <c:v>3.90625</c:v>
                </c:pt>
                <c:pt idx="4">
                  <c:v>4.2682926829268295</c:v>
                </c:pt>
                <c:pt idx="5">
                  <c:v>4.6296296296296298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69456"/>
        <c:axId val="596556976"/>
      </c:lineChart>
      <c:catAx>
        <c:axId val="772069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556976"/>
        <c:crosses val="autoZero"/>
        <c:auto val="1"/>
        <c:lblAlgn val="ctr"/>
        <c:lblOffset val="100"/>
        <c:noMultiLvlLbl val="0"/>
      </c:catAx>
      <c:valAx>
        <c:axId val="596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06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54</xdr:row>
      <xdr:rowOff>76200</xdr:rowOff>
    </xdr:from>
    <xdr:to>
      <xdr:col>19</xdr:col>
      <xdr:colOff>276225</xdr:colOff>
      <xdr:row>67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120</xdr:row>
      <xdr:rowOff>38100</xdr:rowOff>
    </xdr:from>
    <xdr:to>
      <xdr:col>25</xdr:col>
      <xdr:colOff>504825</xdr:colOff>
      <xdr:row>133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abSelected="1" topLeftCell="A109" workbookViewId="0">
      <selection activeCell="M32" sqref="M32"/>
    </sheetView>
  </sheetViews>
  <sheetFormatPr defaultRowHeight="16.5" x14ac:dyDescent="0.15"/>
  <cols>
    <col min="1" max="2" width="9" style="1"/>
    <col min="3" max="3" width="17.75" style="1" customWidth="1"/>
    <col min="4" max="4" width="9.625" style="1" bestFit="1" customWidth="1"/>
    <col min="5" max="5" width="9.875" style="1" bestFit="1" customWidth="1"/>
    <col min="6" max="7" width="10" style="1" bestFit="1" customWidth="1"/>
    <col min="8" max="8" width="9.75" style="1" bestFit="1" customWidth="1"/>
    <col min="9" max="10" width="9.625" style="1" bestFit="1" customWidth="1"/>
    <col min="11" max="16384" width="9" style="1"/>
  </cols>
  <sheetData>
    <row r="1" spans="1:5" x14ac:dyDescent="0.15">
      <c r="A1" s="2" t="s">
        <v>0</v>
      </c>
    </row>
    <row r="3" spans="1:5" x14ac:dyDescent="0.15">
      <c r="B3" s="1" t="s">
        <v>1</v>
      </c>
    </row>
    <row r="4" spans="1:5" x14ac:dyDescent="0.15">
      <c r="C4" s="1" t="s">
        <v>2</v>
      </c>
    </row>
    <row r="6" spans="1:5" x14ac:dyDescent="0.15">
      <c r="C6" s="2"/>
      <c r="D6" s="1" t="s">
        <v>3</v>
      </c>
      <c r="E6" s="1" t="s">
        <v>4</v>
      </c>
    </row>
    <row r="7" spans="1:5" x14ac:dyDescent="0.15">
      <c r="C7" s="2" t="s">
        <v>128</v>
      </c>
      <c r="D7" s="3">
        <v>150</v>
      </c>
      <c r="E7" s="6">
        <f>D7/60</f>
        <v>2.5</v>
      </c>
    </row>
    <row r="8" spans="1:5" x14ac:dyDescent="0.15">
      <c r="C8" s="2" t="s">
        <v>5</v>
      </c>
      <c r="D8" s="1" t="s">
        <v>9</v>
      </c>
      <c r="E8" s="7"/>
    </row>
    <row r="9" spans="1:5" x14ac:dyDescent="0.15">
      <c r="C9" s="2" t="s">
        <v>6</v>
      </c>
      <c r="D9" s="1" t="s">
        <v>7</v>
      </c>
      <c r="E9" s="7"/>
    </row>
    <row r="10" spans="1:5" x14ac:dyDescent="0.15">
      <c r="C10" s="2" t="s">
        <v>8</v>
      </c>
      <c r="D10" s="3">
        <v>0.15</v>
      </c>
    </row>
    <row r="11" spans="1:5" x14ac:dyDescent="0.15">
      <c r="C11" s="2"/>
      <c r="D11" s="3"/>
    </row>
    <row r="12" spans="1:5" x14ac:dyDescent="0.15">
      <c r="B12" s="1" t="s">
        <v>153</v>
      </c>
      <c r="C12" s="2"/>
      <c r="D12" s="3"/>
    </row>
    <row r="13" spans="1:5" x14ac:dyDescent="0.15">
      <c r="C13" s="1" t="s">
        <v>156</v>
      </c>
      <c r="D13" s="3"/>
    </row>
    <row r="14" spans="1:5" x14ac:dyDescent="0.15">
      <c r="C14" s="1" t="s">
        <v>154</v>
      </c>
      <c r="D14" s="3"/>
    </row>
    <row r="15" spans="1:5" x14ac:dyDescent="0.15">
      <c r="C15" s="1" t="s">
        <v>155</v>
      </c>
      <c r="D15" s="3"/>
    </row>
    <row r="16" spans="1:5" x14ac:dyDescent="0.15">
      <c r="C16" s="1" t="s">
        <v>157</v>
      </c>
      <c r="D16" s="3"/>
    </row>
    <row r="17" spans="1:6" x14ac:dyDescent="0.15">
      <c r="C17" s="1" t="s">
        <v>158</v>
      </c>
      <c r="D17" s="3"/>
    </row>
    <row r="18" spans="1:6" x14ac:dyDescent="0.15">
      <c r="C18" s="1" t="s">
        <v>159</v>
      </c>
      <c r="D18" s="3"/>
    </row>
    <row r="19" spans="1:6" x14ac:dyDescent="0.15">
      <c r="C19" s="1" t="s">
        <v>160</v>
      </c>
      <c r="D19" s="3"/>
    </row>
    <row r="20" spans="1:6" x14ac:dyDescent="0.15">
      <c r="C20" s="34" t="s">
        <v>161</v>
      </c>
      <c r="D20" s="3"/>
    </row>
    <row r="22" spans="1:6" x14ac:dyDescent="0.15">
      <c r="A22" s="2" t="s">
        <v>10</v>
      </c>
      <c r="C22" s="1" t="s">
        <v>74</v>
      </c>
    </row>
    <row r="23" spans="1:6" x14ac:dyDescent="0.15">
      <c r="B23" s="1" t="s">
        <v>13</v>
      </c>
      <c r="E23" s="1" t="s">
        <v>69</v>
      </c>
      <c r="F23" s="1" t="s">
        <v>70</v>
      </c>
    </row>
    <row r="24" spans="1:6" x14ac:dyDescent="0.15">
      <c r="C24" s="1" t="s">
        <v>16</v>
      </c>
      <c r="D24" s="4">
        <f>SUM(E24:F24)/2</f>
        <v>2.5</v>
      </c>
      <c r="E24" s="1">
        <v>2</v>
      </c>
      <c r="F24" s="1">
        <v>3</v>
      </c>
    </row>
    <row r="25" spans="1:6" x14ac:dyDescent="0.15">
      <c r="C25" s="1" t="s">
        <v>17</v>
      </c>
      <c r="D25" s="1">
        <v>1</v>
      </c>
    </row>
    <row r="26" spans="1:6" x14ac:dyDescent="0.15">
      <c r="C26" s="1" t="s">
        <v>76</v>
      </c>
      <c r="D26" s="3">
        <v>25</v>
      </c>
    </row>
    <row r="27" spans="1:6" x14ac:dyDescent="0.15">
      <c r="C27" s="1" t="s">
        <v>15</v>
      </c>
      <c r="D27" s="3">
        <v>90</v>
      </c>
    </row>
    <row r="28" spans="1:6" x14ac:dyDescent="0.15">
      <c r="C28" s="1" t="s">
        <v>72</v>
      </c>
      <c r="D28" s="3">
        <v>50</v>
      </c>
    </row>
    <row r="29" spans="1:6" x14ac:dyDescent="0.15">
      <c r="C29" s="1" t="s">
        <v>14</v>
      </c>
      <c r="D29" s="3">
        <v>90</v>
      </c>
    </row>
    <row r="30" spans="1:6" x14ac:dyDescent="0.15">
      <c r="C30" s="1" t="s">
        <v>71</v>
      </c>
      <c r="D30" s="6">
        <f>D26*D24+D27*D25</f>
        <v>152.5</v>
      </c>
      <c r="E30" s="30">
        <f>D30/60</f>
        <v>2.5416666666666665</v>
      </c>
    </row>
    <row r="31" spans="1:6" x14ac:dyDescent="0.15">
      <c r="C31" s="1" t="s">
        <v>73</v>
      </c>
      <c r="D31" s="6">
        <f>D28*D24+D29*D25</f>
        <v>215</v>
      </c>
      <c r="E31" s="30">
        <f>D31/60</f>
        <v>3.5833333333333335</v>
      </c>
    </row>
    <row r="33" spans="1:6" x14ac:dyDescent="0.15">
      <c r="B33" s="1" t="s">
        <v>11</v>
      </c>
    </row>
    <row r="34" spans="1:6" x14ac:dyDescent="0.15">
      <c r="C34" s="1" t="s">
        <v>16</v>
      </c>
      <c r="D34" s="5">
        <f>SUM(E34:F34)/2</f>
        <v>2.5</v>
      </c>
      <c r="E34" s="3">
        <v>2</v>
      </c>
      <c r="F34" s="3">
        <v>3</v>
      </c>
    </row>
    <row r="35" spans="1:6" x14ac:dyDescent="0.15">
      <c r="C35" s="1" t="s">
        <v>17</v>
      </c>
      <c r="D35" s="3">
        <v>1</v>
      </c>
    </row>
    <row r="36" spans="1:6" x14ac:dyDescent="0.15">
      <c r="C36" s="1" t="s">
        <v>18</v>
      </c>
      <c r="D36" s="3">
        <v>50</v>
      </c>
    </row>
    <row r="37" spans="1:6" x14ac:dyDescent="0.15">
      <c r="C37" s="1" t="s">
        <v>19</v>
      </c>
      <c r="D37" s="3">
        <v>50</v>
      </c>
    </row>
    <row r="38" spans="1:6" x14ac:dyDescent="0.15">
      <c r="C38" s="1" t="s">
        <v>75</v>
      </c>
      <c r="D38" s="6">
        <f>D36*D34+D37*D35</f>
        <v>175</v>
      </c>
      <c r="E38" s="6">
        <f>D38/60</f>
        <v>2.9166666666666665</v>
      </c>
    </row>
    <row r="40" spans="1:6" x14ac:dyDescent="0.15">
      <c r="B40" s="1" t="s">
        <v>80</v>
      </c>
      <c r="D40" s="3">
        <v>75</v>
      </c>
    </row>
    <row r="42" spans="1:6" x14ac:dyDescent="0.15">
      <c r="B42" s="1" t="s">
        <v>77</v>
      </c>
      <c r="D42" s="1">
        <v>0.5</v>
      </c>
    </row>
    <row r="43" spans="1:6" x14ac:dyDescent="0.15">
      <c r="B43" s="1" t="s">
        <v>78</v>
      </c>
      <c r="D43" s="6">
        <f>1-D42</f>
        <v>0.5</v>
      </c>
    </row>
    <row r="44" spans="1:6" x14ac:dyDescent="0.15">
      <c r="B44" s="1" t="s">
        <v>79</v>
      </c>
      <c r="C44" s="7"/>
      <c r="D44" s="6">
        <f>(D30+D31)/2</f>
        <v>183.75</v>
      </c>
      <c r="E44" s="6">
        <f>D44/60</f>
        <v>3.0625</v>
      </c>
    </row>
    <row r="46" spans="1:6" x14ac:dyDescent="0.15">
      <c r="A46" s="2" t="s">
        <v>83</v>
      </c>
      <c r="F46" s="2"/>
    </row>
    <row r="47" spans="1:6" x14ac:dyDescent="0.15">
      <c r="B47" s="1" t="s">
        <v>84</v>
      </c>
      <c r="F47" s="2"/>
    </row>
    <row r="48" spans="1:6" x14ac:dyDescent="0.15">
      <c r="B48" s="1" t="s">
        <v>85</v>
      </c>
      <c r="F48" s="2"/>
    </row>
    <row r="49" spans="2:10" x14ac:dyDescent="0.15">
      <c r="B49" s="1" t="s">
        <v>86</v>
      </c>
      <c r="F49" s="2"/>
    </row>
    <row r="50" spans="2:10" x14ac:dyDescent="0.15">
      <c r="B50" s="1" t="s">
        <v>87</v>
      </c>
      <c r="F50" s="2"/>
    </row>
    <row r="51" spans="2:10" x14ac:dyDescent="0.15">
      <c r="B51" s="1" t="s">
        <v>92</v>
      </c>
      <c r="F51" s="2"/>
    </row>
    <row r="52" spans="2:10" x14ac:dyDescent="0.15">
      <c r="B52" s="1" t="s">
        <v>88</v>
      </c>
      <c r="F52" s="2"/>
    </row>
    <row r="53" spans="2:10" x14ac:dyDescent="0.15">
      <c r="B53" s="1" t="s">
        <v>89</v>
      </c>
      <c r="F53" s="2"/>
    </row>
    <row r="54" spans="2:10" x14ac:dyDescent="0.15">
      <c r="B54" s="1" t="s">
        <v>90</v>
      </c>
      <c r="F54" s="2"/>
    </row>
    <row r="55" spans="2:10" x14ac:dyDescent="0.15">
      <c r="B55" s="1" t="s">
        <v>91</v>
      </c>
      <c r="F55" s="2"/>
    </row>
    <row r="57" spans="2:10" x14ac:dyDescent="0.15">
      <c r="B57" s="2" t="s">
        <v>93</v>
      </c>
      <c r="C57" s="8"/>
      <c r="D57" s="1" t="s">
        <v>94</v>
      </c>
      <c r="E57" s="1" t="s">
        <v>100</v>
      </c>
      <c r="F57" s="11" t="s">
        <v>3</v>
      </c>
      <c r="G57" s="1" t="s">
        <v>108</v>
      </c>
      <c r="H57" s="31"/>
      <c r="I57" s="31"/>
      <c r="J57" s="31"/>
    </row>
    <row r="58" spans="2:10" x14ac:dyDescent="0.15">
      <c r="B58" s="2"/>
      <c r="C58" s="2" t="s">
        <v>101</v>
      </c>
      <c r="D58" s="10">
        <v>1</v>
      </c>
      <c r="E58" s="28">
        <f>D58*$E$7</f>
        <v>2.5</v>
      </c>
      <c r="F58" s="28">
        <f>E58*60</f>
        <v>150</v>
      </c>
      <c r="G58" s="6">
        <f>ROUNDUP(F58/$E$44,0)</f>
        <v>49</v>
      </c>
      <c r="H58" s="31">
        <f>G58/(E176*D58)</f>
        <v>1.2831431159420292</v>
      </c>
      <c r="I58" s="31"/>
      <c r="J58" s="31"/>
    </row>
    <row r="59" spans="2:10" x14ac:dyDescent="0.15">
      <c r="B59" s="2"/>
      <c r="C59" s="2" t="s">
        <v>102</v>
      </c>
      <c r="D59" s="10">
        <v>2</v>
      </c>
      <c r="E59" s="28">
        <f t="shared" ref="E59:E67" si="0">D59*$E$7</f>
        <v>5</v>
      </c>
      <c r="F59" s="28">
        <f t="shared" ref="F59:F67" si="1">E59*60</f>
        <v>300</v>
      </c>
      <c r="G59" s="6">
        <f>ROUNDUP(F59/$E$44,0)</f>
        <v>98</v>
      </c>
      <c r="H59" s="31">
        <f>G59/(E177*D59)</f>
        <v>6.252604166666667</v>
      </c>
      <c r="I59" s="31"/>
      <c r="J59" s="31"/>
    </row>
    <row r="60" spans="2:10" x14ac:dyDescent="0.15">
      <c r="B60" s="2"/>
      <c r="C60" s="2" t="s">
        <v>96</v>
      </c>
      <c r="D60" s="3">
        <v>5</v>
      </c>
      <c r="E60" s="28">
        <f t="shared" si="0"/>
        <v>12.5</v>
      </c>
      <c r="F60" s="28">
        <f t="shared" si="1"/>
        <v>750</v>
      </c>
      <c r="G60" s="6">
        <f>ROUNDUP(F60/$E$44,0)</f>
        <v>245</v>
      </c>
      <c r="H60" s="31">
        <f>G60/(E178*D60)</f>
        <v>26.010833333333334</v>
      </c>
      <c r="I60" s="31"/>
      <c r="J60" s="31"/>
    </row>
    <row r="61" spans="2:10" x14ac:dyDescent="0.15">
      <c r="B61" s="2"/>
      <c r="C61" s="2" t="s">
        <v>97</v>
      </c>
      <c r="D61" s="10">
        <v>25</v>
      </c>
      <c r="E61" s="28">
        <f t="shared" si="0"/>
        <v>62.5</v>
      </c>
      <c r="F61" s="28">
        <f t="shared" si="1"/>
        <v>3750</v>
      </c>
      <c r="G61" s="6">
        <f>ROUNDUP(F61/$E$44,0)</f>
        <v>1225</v>
      </c>
      <c r="H61" s="31">
        <f>G61/(E179*D61)</f>
        <v>199.08291666666665</v>
      </c>
      <c r="I61" s="31"/>
      <c r="J61" s="31"/>
    </row>
    <row r="62" spans="2:10" x14ac:dyDescent="0.15">
      <c r="B62" s="2"/>
      <c r="C62" s="2" t="s">
        <v>98</v>
      </c>
      <c r="D62" s="10">
        <v>75</v>
      </c>
      <c r="E62" s="28">
        <f t="shared" si="0"/>
        <v>187.5</v>
      </c>
      <c r="F62" s="28">
        <f t="shared" si="1"/>
        <v>11250</v>
      </c>
      <c r="G62" s="6">
        <f>ROUNDUP(F62/$E$44,0)</f>
        <v>3674</v>
      </c>
      <c r="H62" s="31">
        <f>G62/(E180*D62)</f>
        <v>1371.1980333333333</v>
      </c>
      <c r="I62" s="31"/>
      <c r="J62" s="31"/>
    </row>
    <row r="63" spans="2:10" x14ac:dyDescent="0.15">
      <c r="B63" s="2"/>
      <c r="C63" s="2" t="s">
        <v>103</v>
      </c>
      <c r="D63" s="10">
        <v>135</v>
      </c>
      <c r="E63" s="28">
        <f t="shared" si="0"/>
        <v>337.5</v>
      </c>
      <c r="F63" s="28">
        <f t="shared" si="1"/>
        <v>20250</v>
      </c>
      <c r="G63" s="6">
        <f>ROUNDUP(F63/$E$44,0)</f>
        <v>6613</v>
      </c>
      <c r="H63" s="31"/>
      <c r="I63" s="31"/>
      <c r="J63" s="31">
        <f>(F68-F124)*D10/D124*30</f>
        <v>2362.5000000000005</v>
      </c>
    </row>
    <row r="64" spans="2:10" x14ac:dyDescent="0.15">
      <c r="B64" s="2"/>
      <c r="C64" s="2" t="s">
        <v>104</v>
      </c>
      <c r="D64" s="10">
        <v>205</v>
      </c>
      <c r="E64" s="28">
        <f t="shared" si="0"/>
        <v>512.5</v>
      </c>
      <c r="F64" s="28">
        <f t="shared" si="1"/>
        <v>30750</v>
      </c>
      <c r="G64" s="6">
        <f>ROUNDUP(F64/$E$44,0)</f>
        <v>10041</v>
      </c>
      <c r="H64" s="31"/>
      <c r="I64" s="31"/>
      <c r="J64" s="31">
        <f>(F82-F124)*D10</f>
        <v>18279.999999999996</v>
      </c>
    </row>
    <row r="65" spans="2:12" x14ac:dyDescent="0.15">
      <c r="B65" s="2"/>
      <c r="C65" s="2" t="s">
        <v>105</v>
      </c>
      <c r="D65" s="10">
        <v>325</v>
      </c>
      <c r="E65" s="28">
        <f t="shared" si="0"/>
        <v>812.5</v>
      </c>
      <c r="F65" s="28">
        <f t="shared" si="1"/>
        <v>48750</v>
      </c>
      <c r="G65" s="6">
        <f>ROUNDUP(F65/$E$44,0)</f>
        <v>15919</v>
      </c>
      <c r="H65" s="31"/>
      <c r="I65" s="31"/>
      <c r="J65" s="31"/>
    </row>
    <row r="66" spans="2:12" x14ac:dyDescent="0.15">
      <c r="B66" s="2"/>
      <c r="C66" s="2" t="s">
        <v>106</v>
      </c>
      <c r="D66" s="10">
        <v>455</v>
      </c>
      <c r="E66" s="28">
        <f t="shared" si="0"/>
        <v>1137.5</v>
      </c>
      <c r="F66" s="28">
        <f t="shared" si="1"/>
        <v>68250</v>
      </c>
      <c r="G66" s="6">
        <f>ROUNDUP(F66/$E$44,0)</f>
        <v>22286</v>
      </c>
      <c r="H66" s="31"/>
      <c r="I66" s="31"/>
      <c r="J66" s="31"/>
    </row>
    <row r="67" spans="2:12" x14ac:dyDescent="0.15">
      <c r="B67" s="2"/>
      <c r="C67" s="2" t="s">
        <v>107</v>
      </c>
      <c r="D67" s="10">
        <v>600</v>
      </c>
      <c r="E67" s="28">
        <f t="shared" si="0"/>
        <v>1500</v>
      </c>
      <c r="F67" s="28">
        <f t="shared" si="1"/>
        <v>90000</v>
      </c>
      <c r="G67" s="6">
        <f>ROUNDUP(F67/$E$44,0)</f>
        <v>29388</v>
      </c>
      <c r="H67" s="31"/>
      <c r="I67" s="31"/>
      <c r="J67" s="31"/>
    </row>
    <row r="68" spans="2:12" x14ac:dyDescent="0.15">
      <c r="B68" s="2"/>
      <c r="C68" s="9" t="s">
        <v>99</v>
      </c>
      <c r="D68" s="6">
        <f>SUM(D58:D67)</f>
        <v>1828</v>
      </c>
      <c r="E68" s="6">
        <f t="shared" ref="E68" si="2">D68*$E$7</f>
        <v>4570</v>
      </c>
      <c r="F68" s="6">
        <f t="shared" ref="F68" si="3">E68*60</f>
        <v>274200</v>
      </c>
      <c r="G68" s="10"/>
    </row>
    <row r="70" spans="2:12" x14ac:dyDescent="0.15">
      <c r="B70" s="2" t="s">
        <v>109</v>
      </c>
      <c r="C70" s="7">
        <f>2/3</f>
        <v>0.66666666666666663</v>
      </c>
    </row>
    <row r="71" spans="2:12" x14ac:dyDescent="0.15">
      <c r="B71" s="2" t="s">
        <v>93</v>
      </c>
      <c r="C71" s="8"/>
      <c r="D71" s="1" t="s">
        <v>94</v>
      </c>
      <c r="E71" s="1" t="s">
        <v>100</v>
      </c>
      <c r="F71" s="11" t="s">
        <v>3</v>
      </c>
      <c r="G71" s="1" t="s">
        <v>108</v>
      </c>
      <c r="H71" s="31"/>
      <c r="I71" s="31"/>
      <c r="J71" s="31"/>
    </row>
    <row r="72" spans="2:12" x14ac:dyDescent="0.15">
      <c r="B72" s="2"/>
      <c r="C72" s="2" t="s">
        <v>101</v>
      </c>
      <c r="D72" s="29">
        <f>D58*$C$70</f>
        <v>0.66666666666666663</v>
      </c>
      <c r="E72" s="28">
        <f>D72*$E$7</f>
        <v>1.6666666666666665</v>
      </c>
      <c r="F72" s="28">
        <f>E72*60</f>
        <v>99.999999999999986</v>
      </c>
      <c r="G72" s="6">
        <f>ROUNDUP(F72/$E$44,0)</f>
        <v>33</v>
      </c>
      <c r="H72" s="7"/>
      <c r="I72" s="7"/>
      <c r="J72" s="7"/>
    </row>
    <row r="73" spans="2:12" x14ac:dyDescent="0.15">
      <c r="B73" s="2"/>
      <c r="C73" s="2" t="s">
        <v>102</v>
      </c>
      <c r="D73" s="29">
        <f t="shared" ref="D73:D81" si="4">D59*$C$70</f>
        <v>1.3333333333333333</v>
      </c>
      <c r="E73" s="28">
        <f t="shared" ref="E73:E82" si="5">D73*$E$7</f>
        <v>3.333333333333333</v>
      </c>
      <c r="F73" s="28">
        <f t="shared" ref="F73:F82" si="6">E73*60</f>
        <v>199.99999999999997</v>
      </c>
      <c r="G73" s="6">
        <f>ROUNDUP(F73/$E$44,0)</f>
        <v>66</v>
      </c>
      <c r="H73" s="7"/>
      <c r="I73" s="7"/>
      <c r="J73" s="7"/>
    </row>
    <row r="74" spans="2:12" x14ac:dyDescent="0.15">
      <c r="B74" s="2"/>
      <c r="C74" s="2" t="s">
        <v>96</v>
      </c>
      <c r="D74" s="29">
        <f t="shared" si="4"/>
        <v>3.333333333333333</v>
      </c>
      <c r="E74" s="28">
        <f t="shared" si="5"/>
        <v>8.3333333333333321</v>
      </c>
      <c r="F74" s="28">
        <f t="shared" si="6"/>
        <v>499.99999999999994</v>
      </c>
      <c r="G74" s="6">
        <f>ROUNDUP(F74/$E$44,0)</f>
        <v>164</v>
      </c>
      <c r="H74" s="7"/>
      <c r="I74" s="7"/>
      <c r="J74" s="7"/>
    </row>
    <row r="75" spans="2:12" x14ac:dyDescent="0.15">
      <c r="B75" s="2"/>
      <c r="C75" s="2" t="s">
        <v>97</v>
      </c>
      <c r="D75" s="29">
        <f t="shared" si="4"/>
        <v>16.666666666666664</v>
      </c>
      <c r="E75" s="28">
        <f t="shared" si="5"/>
        <v>41.666666666666657</v>
      </c>
      <c r="F75" s="28">
        <f t="shared" si="6"/>
        <v>2499.9999999999995</v>
      </c>
      <c r="G75" s="6">
        <f>ROUNDUP(F75/$E$44,0)</f>
        <v>817</v>
      </c>
      <c r="H75" s="7"/>
      <c r="I75" s="7"/>
      <c r="J75" s="7"/>
    </row>
    <row r="76" spans="2:12" x14ac:dyDescent="0.15">
      <c r="B76" s="2"/>
      <c r="C76" s="2" t="s">
        <v>98</v>
      </c>
      <c r="D76" s="29">
        <f t="shared" si="4"/>
        <v>50</v>
      </c>
      <c r="E76" s="28">
        <f t="shared" si="5"/>
        <v>125</v>
      </c>
      <c r="F76" s="28">
        <f t="shared" si="6"/>
        <v>7500</v>
      </c>
      <c r="G76" s="6">
        <f>ROUNDUP(F76/$E$44,0)</f>
        <v>2449</v>
      </c>
      <c r="H76" s="7"/>
      <c r="I76" s="7"/>
      <c r="J76" s="7" t="s">
        <v>162</v>
      </c>
    </row>
    <row r="77" spans="2:12" x14ac:dyDescent="0.15">
      <c r="B77" s="2"/>
      <c r="C77" s="2" t="s">
        <v>103</v>
      </c>
      <c r="D77" s="29">
        <f t="shared" si="4"/>
        <v>90</v>
      </c>
      <c r="E77" s="28">
        <f t="shared" si="5"/>
        <v>225</v>
      </c>
      <c r="F77" s="28">
        <f t="shared" si="6"/>
        <v>13500</v>
      </c>
      <c r="G77" s="6">
        <f>ROUNDUP(F77/$E$44,0)</f>
        <v>4409</v>
      </c>
      <c r="H77" s="7"/>
      <c r="I77" s="7"/>
      <c r="J77" s="7"/>
      <c r="K77" s="1" t="s">
        <v>163</v>
      </c>
    </row>
    <row r="78" spans="2:12" x14ac:dyDescent="0.15">
      <c r="B78" s="2"/>
      <c r="C78" s="2" t="s">
        <v>104</v>
      </c>
      <c r="D78" s="29">
        <f t="shared" si="4"/>
        <v>136.66666666666666</v>
      </c>
      <c r="E78" s="28">
        <f t="shared" si="5"/>
        <v>341.66666666666663</v>
      </c>
      <c r="F78" s="28">
        <f t="shared" si="6"/>
        <v>20499.999999999996</v>
      </c>
      <c r="G78" s="6">
        <f>ROUNDUP(F78/$E$44,0)</f>
        <v>6694</v>
      </c>
      <c r="H78" s="7"/>
      <c r="I78" s="7"/>
      <c r="J78" s="7"/>
      <c r="K78" s="1" t="s">
        <v>164</v>
      </c>
    </row>
    <row r="79" spans="2:12" x14ac:dyDescent="0.15">
      <c r="B79" s="2"/>
      <c r="C79" s="2" t="s">
        <v>105</v>
      </c>
      <c r="D79" s="29">
        <f t="shared" si="4"/>
        <v>216.66666666666666</v>
      </c>
      <c r="E79" s="28">
        <f t="shared" si="5"/>
        <v>541.66666666666663</v>
      </c>
      <c r="F79" s="28">
        <f t="shared" si="6"/>
        <v>32499.999999999996</v>
      </c>
      <c r="G79" s="6">
        <f>ROUNDUP(F79/$E$44,0)</f>
        <v>10613</v>
      </c>
      <c r="H79" s="7"/>
      <c r="I79" s="7"/>
      <c r="J79" s="7"/>
      <c r="L79" s="1" t="s">
        <v>165</v>
      </c>
    </row>
    <row r="80" spans="2:12" x14ac:dyDescent="0.15">
      <c r="B80" s="2"/>
      <c r="C80" s="2" t="s">
        <v>106</v>
      </c>
      <c r="D80" s="29">
        <f t="shared" si="4"/>
        <v>303.33333333333331</v>
      </c>
      <c r="E80" s="28">
        <f t="shared" si="5"/>
        <v>758.33333333333326</v>
      </c>
      <c r="F80" s="28">
        <f t="shared" si="6"/>
        <v>45499.999999999993</v>
      </c>
      <c r="G80" s="6">
        <f>ROUNDUP(F80/$E$44,0)</f>
        <v>14858</v>
      </c>
      <c r="H80" s="7"/>
      <c r="I80" s="7"/>
      <c r="J80" s="7"/>
      <c r="L80" s="1" t="s">
        <v>166</v>
      </c>
    </row>
    <row r="81" spans="2:10" x14ac:dyDescent="0.15">
      <c r="B81" s="2"/>
      <c r="C81" s="2" t="s">
        <v>107</v>
      </c>
      <c r="D81" s="29">
        <f t="shared" si="4"/>
        <v>400</v>
      </c>
      <c r="E81" s="28">
        <f t="shared" si="5"/>
        <v>1000</v>
      </c>
      <c r="F81" s="28">
        <f t="shared" si="6"/>
        <v>60000</v>
      </c>
      <c r="G81" s="6">
        <f>ROUNDUP(F81/$E$44,0)</f>
        <v>19592</v>
      </c>
      <c r="H81" s="7"/>
      <c r="I81" s="7"/>
      <c r="J81" s="7"/>
    </row>
    <row r="82" spans="2:10" x14ac:dyDescent="0.15">
      <c r="B82" s="2"/>
      <c r="C82" s="9" t="s">
        <v>99</v>
      </c>
      <c r="D82" s="6">
        <f>SUM(D72:D81)</f>
        <v>1218.6666666666665</v>
      </c>
      <c r="E82" s="6">
        <f t="shared" si="5"/>
        <v>3046.6666666666661</v>
      </c>
      <c r="F82" s="6">
        <f t="shared" si="6"/>
        <v>182799.99999999997</v>
      </c>
      <c r="G82" s="10"/>
    </row>
    <row r="83" spans="2:10" s="7" customFormat="1" x14ac:dyDescent="0.15">
      <c r="B83" s="32"/>
      <c r="C83" s="33"/>
      <c r="G83" s="10"/>
    </row>
    <row r="84" spans="2:10" s="7" customFormat="1" x14ac:dyDescent="0.15">
      <c r="B84" s="2" t="s">
        <v>151</v>
      </c>
      <c r="C84" s="7">
        <f>D96/D68</f>
        <v>0.27765621201069768</v>
      </c>
      <c r="D84" s="1">
        <v>16000</v>
      </c>
      <c r="E84" s="1"/>
      <c r="F84" s="1"/>
      <c r="G84" s="1"/>
    </row>
    <row r="85" spans="2:10" s="7" customFormat="1" x14ac:dyDescent="0.15">
      <c r="B85" s="2" t="s">
        <v>93</v>
      </c>
      <c r="C85" s="8"/>
      <c r="D85" s="1" t="s">
        <v>94</v>
      </c>
      <c r="E85" s="1" t="s">
        <v>100</v>
      </c>
      <c r="F85" s="11" t="s">
        <v>3</v>
      </c>
      <c r="G85" s="1" t="s">
        <v>108</v>
      </c>
    </row>
    <row r="86" spans="2:10" s="7" customFormat="1" x14ac:dyDescent="0.15">
      <c r="B86" s="2"/>
      <c r="C86" s="2" t="s">
        <v>101</v>
      </c>
      <c r="D86" s="29">
        <f>D58*$C$84</f>
        <v>0.27765621201069768</v>
      </c>
      <c r="E86" s="28">
        <f>D86*$E$7</f>
        <v>0.69414053002674425</v>
      </c>
      <c r="F86" s="28">
        <f>E86*60</f>
        <v>41.648431801604659</v>
      </c>
      <c r="G86" s="6">
        <f>ROUNDUP(F86/$E$44,0)</f>
        <v>14</v>
      </c>
    </row>
    <row r="87" spans="2:10" s="7" customFormat="1" x14ac:dyDescent="0.15">
      <c r="B87" s="2"/>
      <c r="C87" s="2" t="s">
        <v>102</v>
      </c>
      <c r="D87" s="29">
        <f>D59*$C$84</f>
        <v>0.55531242402139536</v>
      </c>
      <c r="E87" s="28">
        <f t="shared" ref="E87:E95" si="7">D87*$E$7</f>
        <v>1.3882810600534885</v>
      </c>
      <c r="F87" s="28">
        <f t="shared" ref="F87:F96" si="8">E87*60</f>
        <v>83.296863603209317</v>
      </c>
      <c r="G87" s="6">
        <f>ROUNDUP(F87/$E$44,0)</f>
        <v>28</v>
      </c>
    </row>
    <row r="88" spans="2:10" s="7" customFormat="1" x14ac:dyDescent="0.15">
      <c r="B88" s="2"/>
      <c r="C88" s="2" t="s">
        <v>96</v>
      </c>
      <c r="D88" s="29">
        <f>D60*$C$84</f>
        <v>1.3882810600534885</v>
      </c>
      <c r="E88" s="28">
        <f t="shared" si="7"/>
        <v>3.4707026501337213</v>
      </c>
      <c r="F88" s="28">
        <f t="shared" si="8"/>
        <v>208.24215900802326</v>
      </c>
      <c r="G88" s="6">
        <f>ROUNDUP(F88/$E$44,0)</f>
        <v>68</v>
      </c>
    </row>
    <row r="89" spans="2:10" s="7" customFormat="1" x14ac:dyDescent="0.15">
      <c r="B89" s="2"/>
      <c r="C89" s="2" t="s">
        <v>97</v>
      </c>
      <c r="D89" s="29">
        <f>D61*$C$84</f>
        <v>6.9414053002674416</v>
      </c>
      <c r="E89" s="28">
        <f t="shared" si="7"/>
        <v>17.353513250668605</v>
      </c>
      <c r="F89" s="28">
        <f t="shared" si="8"/>
        <v>1041.2107950401164</v>
      </c>
      <c r="G89" s="6">
        <f>ROUNDUP(F89/$E$44,0)</f>
        <v>340</v>
      </c>
      <c r="J89" s="7">
        <f>D84/1000/12</f>
        <v>1.3333333333333333</v>
      </c>
    </row>
    <row r="90" spans="2:10" s="7" customFormat="1" x14ac:dyDescent="0.15">
      <c r="B90" s="2"/>
      <c r="C90" s="2" t="s">
        <v>98</v>
      </c>
      <c r="D90" s="29">
        <f>D62*$C$84</f>
        <v>20.824215900802326</v>
      </c>
      <c r="E90" s="28">
        <f t="shared" si="7"/>
        <v>52.060539752005816</v>
      </c>
      <c r="F90" s="28">
        <f t="shared" si="8"/>
        <v>3123.6323851203488</v>
      </c>
      <c r="G90" s="6">
        <f>ROUNDUP(F90/$E$44,0)</f>
        <v>1020</v>
      </c>
      <c r="J90" s="7">
        <f>D96/365</f>
        <v>1.390563165905631</v>
      </c>
    </row>
    <row r="91" spans="2:10" s="7" customFormat="1" x14ac:dyDescent="0.15">
      <c r="B91" s="2"/>
      <c r="C91" s="2" t="s">
        <v>103</v>
      </c>
      <c r="D91" s="29">
        <f>D63*$C$84</f>
        <v>37.483588621444184</v>
      </c>
      <c r="E91" s="28">
        <f t="shared" si="7"/>
        <v>93.708971553610468</v>
      </c>
      <c r="F91" s="28">
        <f t="shared" si="8"/>
        <v>5622.5382932166285</v>
      </c>
      <c r="G91" s="6">
        <f>ROUNDUP(F91/$E$44,0)</f>
        <v>1836</v>
      </c>
    </row>
    <row r="92" spans="2:10" s="7" customFormat="1" x14ac:dyDescent="0.15">
      <c r="B92" s="2"/>
      <c r="C92" s="2" t="s">
        <v>104</v>
      </c>
      <c r="D92" s="29">
        <f>D64*$C$84</f>
        <v>56.919523462193027</v>
      </c>
      <c r="E92" s="28">
        <f t="shared" si="7"/>
        <v>142.29880865548256</v>
      </c>
      <c r="F92" s="28">
        <f t="shared" si="8"/>
        <v>8537.9285193289543</v>
      </c>
      <c r="G92" s="6">
        <f>ROUNDUP(F92/$E$44,0)</f>
        <v>2788</v>
      </c>
    </row>
    <row r="93" spans="2:10" s="7" customFormat="1" x14ac:dyDescent="0.15">
      <c r="B93" s="2"/>
      <c r="C93" s="2" t="s">
        <v>105</v>
      </c>
      <c r="D93" s="29">
        <f>D65*$C$84</f>
        <v>90.238268903476751</v>
      </c>
      <c r="E93" s="28">
        <f t="shared" si="7"/>
        <v>225.59567225869188</v>
      </c>
      <c r="F93" s="28">
        <f t="shared" si="8"/>
        <v>13535.740335521512</v>
      </c>
      <c r="G93" s="6">
        <f>ROUNDUP(F93/$E$44,0)</f>
        <v>4420</v>
      </c>
    </row>
    <row r="94" spans="2:10" s="7" customFormat="1" x14ac:dyDescent="0.15">
      <c r="B94" s="2"/>
      <c r="C94" s="2" t="s">
        <v>106</v>
      </c>
      <c r="D94" s="29">
        <f>D66*$C$84</f>
        <v>126.33357646486745</v>
      </c>
      <c r="E94" s="28">
        <f t="shared" si="7"/>
        <v>315.83394116216863</v>
      </c>
      <c r="F94" s="28">
        <f t="shared" si="8"/>
        <v>18950.036469730119</v>
      </c>
      <c r="G94" s="6">
        <f>ROUNDUP(F94/$E$44,0)</f>
        <v>6188</v>
      </c>
    </row>
    <row r="95" spans="2:10" s="7" customFormat="1" x14ac:dyDescent="0.15">
      <c r="B95" s="2"/>
      <c r="C95" s="2" t="s">
        <v>107</v>
      </c>
      <c r="D95" s="29">
        <f>D67*$C$84</f>
        <v>166.59372720641861</v>
      </c>
      <c r="E95" s="28">
        <f t="shared" si="7"/>
        <v>416.48431801604653</v>
      </c>
      <c r="F95" s="28">
        <f t="shared" si="8"/>
        <v>24989.05908096279</v>
      </c>
      <c r="G95" s="6">
        <f>ROUNDUP(F95/$E$44,0)</f>
        <v>8160</v>
      </c>
    </row>
    <row r="96" spans="2:10" s="7" customFormat="1" x14ac:dyDescent="0.15">
      <c r="B96" s="2"/>
      <c r="C96" s="9" t="s">
        <v>99</v>
      </c>
      <c r="D96" s="6">
        <f>E96/E7</f>
        <v>507.55555555555532</v>
      </c>
      <c r="E96" s="6">
        <f>F96/60</f>
        <v>1268.8888888888882</v>
      </c>
      <c r="F96" s="6">
        <f>F82-D84/D10</f>
        <v>76133.333333333299</v>
      </c>
      <c r="G96" s="10"/>
    </row>
    <row r="97" spans="2:11" s="7" customFormat="1" x14ac:dyDescent="0.15">
      <c r="B97" s="32"/>
      <c r="C97" s="33"/>
      <c r="G97" s="10"/>
    </row>
    <row r="98" spans="2:11" s="7" customFormat="1" x14ac:dyDescent="0.15">
      <c r="B98" s="2" t="s">
        <v>152</v>
      </c>
      <c r="C98" s="7">
        <f>D110/D68</f>
        <v>0.18040359834670541</v>
      </c>
      <c r="D98" s="1">
        <v>20000</v>
      </c>
      <c r="E98" s="1"/>
      <c r="F98" s="1"/>
      <c r="G98" s="1"/>
    </row>
    <row r="99" spans="2:11" s="7" customFormat="1" x14ac:dyDescent="0.15">
      <c r="B99" s="2" t="s">
        <v>93</v>
      </c>
      <c r="C99" s="8"/>
      <c r="D99" s="1" t="s">
        <v>94</v>
      </c>
      <c r="E99" s="1" t="s">
        <v>100</v>
      </c>
      <c r="F99" s="11" t="s">
        <v>3</v>
      </c>
      <c r="G99" s="1" t="s">
        <v>108</v>
      </c>
    </row>
    <row r="100" spans="2:11" s="7" customFormat="1" x14ac:dyDescent="0.15">
      <c r="B100" s="2"/>
      <c r="C100" s="2" t="s">
        <v>101</v>
      </c>
      <c r="D100" s="29">
        <f>D58*$C$98</f>
        <v>0.18040359834670541</v>
      </c>
      <c r="E100" s="28">
        <f>D100*$E$7</f>
        <v>0.45100899586676352</v>
      </c>
      <c r="F100" s="28">
        <f>E100*60</f>
        <v>27.060539752005813</v>
      </c>
      <c r="G100" s="6">
        <f>ROUNDUP(F100/$E$44,0)</f>
        <v>9</v>
      </c>
    </row>
    <row r="101" spans="2:11" s="7" customFormat="1" x14ac:dyDescent="0.15">
      <c r="B101" s="2"/>
      <c r="C101" s="2" t="s">
        <v>102</v>
      </c>
      <c r="D101" s="29">
        <f t="shared" ref="D101:D109" si="9">D59*$C$98</f>
        <v>0.36080719669341083</v>
      </c>
      <c r="E101" s="28">
        <f t="shared" ref="E101:E109" si="10">D101*$E$7</f>
        <v>0.90201799173352704</v>
      </c>
      <c r="F101" s="28">
        <f t="shared" ref="F101:F109" si="11">E101*60</f>
        <v>54.121079504011625</v>
      </c>
      <c r="G101" s="6">
        <f>ROUNDUP(F101/$E$44,0)</f>
        <v>18</v>
      </c>
    </row>
    <row r="102" spans="2:11" s="7" customFormat="1" x14ac:dyDescent="0.15">
      <c r="B102" s="2"/>
      <c r="C102" s="2" t="s">
        <v>96</v>
      </c>
      <c r="D102" s="29">
        <f t="shared" si="9"/>
        <v>0.90201799173352704</v>
      </c>
      <c r="E102" s="28">
        <f t="shared" si="10"/>
        <v>2.2550449793338174</v>
      </c>
      <c r="F102" s="28">
        <f t="shared" si="11"/>
        <v>135.30269876002905</v>
      </c>
      <c r="G102" s="6">
        <f>ROUNDUP(F102/$E$44,0)</f>
        <v>45</v>
      </c>
    </row>
    <row r="103" spans="2:11" s="7" customFormat="1" x14ac:dyDescent="0.15">
      <c r="B103" s="2"/>
      <c r="C103" s="2" t="s">
        <v>97</v>
      </c>
      <c r="D103" s="29">
        <f t="shared" si="9"/>
        <v>4.5100899586676357</v>
      </c>
      <c r="E103" s="28">
        <f t="shared" si="10"/>
        <v>11.275224896669089</v>
      </c>
      <c r="F103" s="28">
        <f t="shared" si="11"/>
        <v>676.51349380014528</v>
      </c>
      <c r="G103" s="6">
        <f>ROUNDUP(F103/$E$44,0)</f>
        <v>221</v>
      </c>
      <c r="J103" s="7">
        <f>D98/2000/12</f>
        <v>0.83333333333333337</v>
      </c>
    </row>
    <row r="104" spans="2:11" s="7" customFormat="1" x14ac:dyDescent="0.15">
      <c r="B104" s="2"/>
      <c r="C104" s="2" t="s">
        <v>98</v>
      </c>
      <c r="D104" s="29">
        <f t="shared" si="9"/>
        <v>13.530269876002906</v>
      </c>
      <c r="E104" s="28">
        <f t="shared" si="10"/>
        <v>33.825674690007268</v>
      </c>
      <c r="F104" s="28">
        <f t="shared" si="11"/>
        <v>2029.5404814004362</v>
      </c>
      <c r="G104" s="6">
        <f>ROUNDUP(F104/$E$44,0)</f>
        <v>663</v>
      </c>
      <c r="J104" s="7">
        <f>D110/365</f>
        <v>0.90350076103500676</v>
      </c>
    </row>
    <row r="105" spans="2:11" s="7" customFormat="1" x14ac:dyDescent="0.15">
      <c r="B105" s="2"/>
      <c r="C105" s="2" t="s">
        <v>103</v>
      </c>
      <c r="D105" s="29">
        <f t="shared" si="9"/>
        <v>24.35448577680523</v>
      </c>
      <c r="E105" s="28">
        <f t="shared" si="10"/>
        <v>60.886214442013078</v>
      </c>
      <c r="F105" s="28">
        <f t="shared" si="11"/>
        <v>3653.1728665207847</v>
      </c>
      <c r="G105" s="6">
        <f>ROUNDUP(F105/$E$44,0)</f>
        <v>1193</v>
      </c>
    </row>
    <row r="106" spans="2:11" s="7" customFormat="1" x14ac:dyDescent="0.15">
      <c r="B106" s="2"/>
      <c r="C106" s="2" t="s">
        <v>104</v>
      </c>
      <c r="D106" s="29">
        <f t="shared" si="9"/>
        <v>36.982737661074609</v>
      </c>
      <c r="E106" s="28">
        <f t="shared" si="10"/>
        <v>92.456844152686529</v>
      </c>
      <c r="F106" s="28">
        <f t="shared" si="11"/>
        <v>5547.4106491611919</v>
      </c>
      <c r="G106" s="6">
        <f>ROUNDUP(F106/$E$44,0)</f>
        <v>1812</v>
      </c>
    </row>
    <row r="107" spans="2:11" s="7" customFormat="1" x14ac:dyDescent="0.15">
      <c r="B107" s="2"/>
      <c r="C107" s="2" t="s">
        <v>105</v>
      </c>
      <c r="D107" s="29">
        <f t="shared" si="9"/>
        <v>58.63116946267926</v>
      </c>
      <c r="E107" s="28">
        <f t="shared" si="10"/>
        <v>146.57792365669815</v>
      </c>
      <c r="F107" s="28">
        <f t="shared" si="11"/>
        <v>8794.6754194018886</v>
      </c>
      <c r="G107" s="6">
        <f>ROUNDUP(F107/$E$44,0)</f>
        <v>2872</v>
      </c>
    </row>
    <row r="108" spans="2:11" s="7" customFormat="1" x14ac:dyDescent="0.15">
      <c r="B108" s="2"/>
      <c r="C108" s="2" t="s">
        <v>106</v>
      </c>
      <c r="D108" s="29">
        <f t="shared" si="9"/>
        <v>82.083637247750957</v>
      </c>
      <c r="E108" s="28">
        <f t="shared" si="10"/>
        <v>205.2090931193774</v>
      </c>
      <c r="F108" s="28">
        <f t="shared" si="11"/>
        <v>12312.545587162644</v>
      </c>
      <c r="G108" s="6">
        <f>ROUNDUP(F108/$E$44,0)</f>
        <v>4021</v>
      </c>
    </row>
    <row r="109" spans="2:11" s="7" customFormat="1" x14ac:dyDescent="0.15">
      <c r="B109" s="2"/>
      <c r="C109" s="2" t="s">
        <v>107</v>
      </c>
      <c r="D109" s="29">
        <f t="shared" si="9"/>
        <v>108.24215900802325</v>
      </c>
      <c r="E109" s="28">
        <f t="shared" si="10"/>
        <v>270.60539752005815</v>
      </c>
      <c r="F109" s="28">
        <f t="shared" si="11"/>
        <v>16236.32385120349</v>
      </c>
      <c r="G109" s="6">
        <f>ROUNDUP(F109/$E$44,0)</f>
        <v>5302</v>
      </c>
    </row>
    <row r="110" spans="2:11" x14ac:dyDescent="0.15">
      <c r="B110" s="2"/>
      <c r="C110" s="9" t="s">
        <v>99</v>
      </c>
      <c r="D110" s="6">
        <f>E110/E7</f>
        <v>329.77777777777749</v>
      </c>
      <c r="E110" s="6">
        <f>F110/60</f>
        <v>824.44444444444377</v>
      </c>
      <c r="F110" s="6">
        <f>F82-D98/D10</f>
        <v>49466.666666666628</v>
      </c>
      <c r="G110" s="10"/>
      <c r="H110" s="7"/>
      <c r="I110" s="7"/>
      <c r="J110" s="7"/>
      <c r="K110" s="7"/>
    </row>
    <row r="112" spans="2:11" x14ac:dyDescent="0.15">
      <c r="B112" s="2" t="s">
        <v>110</v>
      </c>
      <c r="C112" s="1">
        <f>(2/3)*(1/3)</f>
        <v>0.22222222222222221</v>
      </c>
      <c r="F112" s="7"/>
    </row>
    <row r="113" spans="2:19" x14ac:dyDescent="0.15">
      <c r="B113" s="2" t="s">
        <v>93</v>
      </c>
      <c r="C113" s="8"/>
      <c r="D113" s="1" t="s">
        <v>94</v>
      </c>
      <c r="E113" s="1" t="s">
        <v>100</v>
      </c>
      <c r="F113" s="11" t="s">
        <v>3</v>
      </c>
      <c r="G113" s="1" t="s">
        <v>108</v>
      </c>
      <c r="H113" s="31"/>
      <c r="I113" s="31"/>
      <c r="J113" s="31"/>
    </row>
    <row r="114" spans="2:19" x14ac:dyDescent="0.15">
      <c r="B114" s="2"/>
      <c r="C114" s="2" t="s">
        <v>101</v>
      </c>
      <c r="D114" s="29">
        <f>D58*$C$112</f>
        <v>0.22222222222222221</v>
      </c>
      <c r="E114" s="28">
        <f>D114*$E$7</f>
        <v>0.55555555555555558</v>
      </c>
      <c r="F114" s="28">
        <f>E114*60</f>
        <v>33.333333333333336</v>
      </c>
      <c r="G114" s="6">
        <f>ROUNDUP(F114/$E$44,0)</f>
        <v>11</v>
      </c>
      <c r="H114" s="7"/>
      <c r="I114" s="7"/>
      <c r="J114" s="7"/>
    </row>
    <row r="115" spans="2:19" x14ac:dyDescent="0.15">
      <c r="B115" s="2"/>
      <c r="C115" s="2" t="s">
        <v>102</v>
      </c>
      <c r="D115" s="29">
        <f>D59*$C$112</f>
        <v>0.44444444444444442</v>
      </c>
      <c r="E115" s="28">
        <f t="shared" ref="E115:E124" si="12">D115*$E$7</f>
        <v>1.1111111111111112</v>
      </c>
      <c r="F115" s="28">
        <f t="shared" ref="F115:F124" si="13">E115*60</f>
        <v>66.666666666666671</v>
      </c>
      <c r="G115" s="6">
        <f>ROUNDUP(F115/$E$44,0)</f>
        <v>22</v>
      </c>
      <c r="H115" s="7"/>
      <c r="I115" s="7"/>
      <c r="J115" s="7"/>
    </row>
    <row r="116" spans="2:19" x14ac:dyDescent="0.15">
      <c r="B116" s="2"/>
      <c r="C116" s="2" t="s">
        <v>96</v>
      </c>
      <c r="D116" s="29">
        <f>D60*$C$112</f>
        <v>1.1111111111111112</v>
      </c>
      <c r="E116" s="28">
        <f t="shared" si="12"/>
        <v>2.7777777777777777</v>
      </c>
      <c r="F116" s="28">
        <f t="shared" si="13"/>
        <v>166.66666666666666</v>
      </c>
      <c r="G116" s="6">
        <f>ROUNDUP(F116/$E$44,0)</f>
        <v>55</v>
      </c>
      <c r="H116" s="7"/>
      <c r="I116" s="7"/>
      <c r="J116" s="7"/>
    </row>
    <row r="117" spans="2:19" x14ac:dyDescent="0.15">
      <c r="B117" s="2"/>
      <c r="C117" s="2" t="s">
        <v>97</v>
      </c>
      <c r="D117" s="29">
        <f>D61*$C$112</f>
        <v>5.5555555555555554</v>
      </c>
      <c r="E117" s="28">
        <f t="shared" si="12"/>
        <v>13.888888888888889</v>
      </c>
      <c r="F117" s="28">
        <f t="shared" si="13"/>
        <v>833.33333333333337</v>
      </c>
      <c r="G117" s="6">
        <f>ROUNDUP(F117/$E$44,0)</f>
        <v>273</v>
      </c>
      <c r="H117" s="7"/>
      <c r="I117" s="7"/>
      <c r="J117" s="7"/>
    </row>
    <row r="118" spans="2:19" x14ac:dyDescent="0.15">
      <c r="B118" s="2"/>
      <c r="C118" s="2" t="s">
        <v>98</v>
      </c>
      <c r="D118" s="29">
        <f>D62*$C$112</f>
        <v>16.666666666666664</v>
      </c>
      <c r="E118" s="28">
        <f t="shared" si="12"/>
        <v>41.666666666666657</v>
      </c>
      <c r="F118" s="28">
        <f t="shared" si="13"/>
        <v>2499.9999999999995</v>
      </c>
      <c r="G118" s="6">
        <f>ROUNDUP(F118/$E$44,0)</f>
        <v>817</v>
      </c>
      <c r="H118" s="7"/>
      <c r="I118" s="7"/>
      <c r="J118" s="7"/>
    </row>
    <row r="119" spans="2:19" x14ac:dyDescent="0.15">
      <c r="B119" s="2"/>
      <c r="C119" s="2" t="s">
        <v>103</v>
      </c>
      <c r="D119" s="29">
        <f>D63*$C$112</f>
        <v>30</v>
      </c>
      <c r="E119" s="28">
        <f t="shared" si="12"/>
        <v>75</v>
      </c>
      <c r="F119" s="28">
        <f t="shared" si="13"/>
        <v>4500</v>
      </c>
      <c r="G119" s="6">
        <f>ROUNDUP(F119/$E$44,0)</f>
        <v>1470</v>
      </c>
      <c r="H119" s="7"/>
      <c r="I119" s="7"/>
      <c r="J119" s="7"/>
    </row>
    <row r="120" spans="2:19" x14ac:dyDescent="0.15">
      <c r="B120" s="2"/>
      <c r="C120" s="2" t="s">
        <v>104</v>
      </c>
      <c r="D120" s="29">
        <f>D64*$C$112</f>
        <v>45.55555555555555</v>
      </c>
      <c r="E120" s="28">
        <f t="shared" si="12"/>
        <v>113.88888888888887</v>
      </c>
      <c r="F120" s="28">
        <f t="shared" si="13"/>
        <v>6833.3333333333321</v>
      </c>
      <c r="G120" s="6">
        <f>ROUNDUP(F120/$E$44,0)</f>
        <v>2232</v>
      </c>
      <c r="H120" s="7"/>
      <c r="I120" s="7"/>
      <c r="J120" s="7"/>
    </row>
    <row r="121" spans="2:19" x14ac:dyDescent="0.15">
      <c r="B121" s="2"/>
      <c r="C121" s="2" t="s">
        <v>105</v>
      </c>
      <c r="D121" s="29">
        <f>D65*$C$112</f>
        <v>72.222222222222214</v>
      </c>
      <c r="E121" s="28">
        <f t="shared" si="12"/>
        <v>180.55555555555554</v>
      </c>
      <c r="F121" s="28">
        <f t="shared" si="13"/>
        <v>10833.333333333332</v>
      </c>
      <c r="G121" s="6">
        <f>ROUNDUP(F121/$E$44,0)</f>
        <v>3538</v>
      </c>
      <c r="H121" s="7"/>
      <c r="I121" s="7"/>
      <c r="J121" s="7"/>
      <c r="Q121" s="1">
        <v>72</v>
      </c>
      <c r="R121" s="1">
        <v>18</v>
      </c>
      <c r="S121" s="1">
        <f>Q121/R121</f>
        <v>4</v>
      </c>
    </row>
    <row r="122" spans="2:19" x14ac:dyDescent="0.15">
      <c r="B122" s="2"/>
      <c r="C122" s="2" t="s">
        <v>106</v>
      </c>
      <c r="D122" s="29">
        <f>D66*$C$112</f>
        <v>101.1111111111111</v>
      </c>
      <c r="E122" s="28">
        <f t="shared" si="12"/>
        <v>252.77777777777774</v>
      </c>
      <c r="F122" s="28">
        <f t="shared" si="13"/>
        <v>15166.666666666664</v>
      </c>
      <c r="G122" s="6">
        <f>ROUNDUP(F122/$E$44,0)</f>
        <v>4953</v>
      </c>
      <c r="H122" s="7"/>
      <c r="I122" s="7"/>
      <c r="J122" s="7"/>
      <c r="Q122" s="1">
        <v>120</v>
      </c>
      <c r="R122" s="1">
        <v>30</v>
      </c>
      <c r="S122" s="1">
        <f t="shared" ref="S122:S126" si="14">Q122/R122</f>
        <v>4</v>
      </c>
    </row>
    <row r="123" spans="2:19" x14ac:dyDescent="0.15">
      <c r="B123" s="2"/>
      <c r="C123" s="2" t="s">
        <v>107</v>
      </c>
      <c r="D123" s="29">
        <f>D67*$C$112</f>
        <v>133.33333333333331</v>
      </c>
      <c r="E123" s="28">
        <f t="shared" si="12"/>
        <v>333.33333333333326</v>
      </c>
      <c r="F123" s="28">
        <f t="shared" si="13"/>
        <v>19999.999999999996</v>
      </c>
      <c r="G123" s="6">
        <f>ROUNDUP(F123/$E$44,0)</f>
        <v>6531</v>
      </c>
      <c r="H123" s="7"/>
      <c r="I123" s="7"/>
      <c r="J123" s="7"/>
      <c r="Q123" s="1">
        <v>250</v>
      </c>
      <c r="R123" s="1">
        <v>68</v>
      </c>
      <c r="S123" s="1">
        <f t="shared" si="14"/>
        <v>3.6764705882352939</v>
      </c>
    </row>
    <row r="124" spans="2:19" x14ac:dyDescent="0.15">
      <c r="B124" s="2"/>
      <c r="C124" s="9" t="s">
        <v>99</v>
      </c>
      <c r="D124" s="6">
        <f>SUM(D114:D123)</f>
        <v>406.22222222222217</v>
      </c>
      <c r="E124" s="6">
        <f t="shared" si="12"/>
        <v>1015.5555555555554</v>
      </c>
      <c r="F124" s="6">
        <f>E124*60</f>
        <v>60933.333333333328</v>
      </c>
      <c r="G124" s="10"/>
      <c r="Q124" s="1">
        <v>500</v>
      </c>
      <c r="R124" s="1">
        <v>128</v>
      </c>
      <c r="S124" s="1">
        <f t="shared" si="14"/>
        <v>3.90625</v>
      </c>
    </row>
    <row r="125" spans="2:19" x14ac:dyDescent="0.15">
      <c r="Q125" s="1">
        <v>1400</v>
      </c>
      <c r="R125" s="1">
        <v>328</v>
      </c>
      <c r="S125" s="1">
        <f t="shared" si="14"/>
        <v>4.2682926829268295</v>
      </c>
    </row>
    <row r="126" spans="2:19" x14ac:dyDescent="0.15">
      <c r="B126" s="2" t="s">
        <v>111</v>
      </c>
      <c r="Q126" s="1">
        <v>3000</v>
      </c>
      <c r="R126" s="1">
        <v>648</v>
      </c>
      <c r="S126" s="1">
        <f t="shared" si="14"/>
        <v>4.6296296296296298</v>
      </c>
    </row>
    <row r="127" spans="2:19" x14ac:dyDescent="0.15">
      <c r="C127" s="2" t="s">
        <v>112</v>
      </c>
    </row>
    <row r="128" spans="2:19" x14ac:dyDescent="0.15">
      <c r="C128" s="2"/>
      <c r="D128" s="1" t="s">
        <v>113</v>
      </c>
      <c r="E128" s="11" t="s">
        <v>114</v>
      </c>
      <c r="F128" s="11" t="s">
        <v>115</v>
      </c>
      <c r="G128" s="11" t="s">
        <v>116</v>
      </c>
      <c r="H128" s="11" t="s">
        <v>117</v>
      </c>
      <c r="I128" s="11" t="s">
        <v>148</v>
      </c>
      <c r="J128" s="11" t="s">
        <v>134</v>
      </c>
    </row>
    <row r="129" spans="2:11" x14ac:dyDescent="0.15">
      <c r="C129" s="2" t="s">
        <v>101</v>
      </c>
      <c r="D129" s="3">
        <v>1</v>
      </c>
      <c r="E129" s="3">
        <v>0</v>
      </c>
      <c r="F129" s="6">
        <f>1-E129</f>
        <v>1</v>
      </c>
      <c r="G129" s="6">
        <f>$D$7*E129*D129</f>
        <v>0</v>
      </c>
      <c r="H129" s="6">
        <f>$D$7*F129*D129</f>
        <v>150</v>
      </c>
      <c r="I129" s="6">
        <f>ROUNDDOWN(G129/$E$31,0)</f>
        <v>0</v>
      </c>
      <c r="J129" s="6">
        <f>ROUNDUP(H129/$E$30,0)</f>
        <v>60</v>
      </c>
    </row>
    <row r="130" spans="2:11" x14ac:dyDescent="0.15">
      <c r="C130" s="2" t="s">
        <v>102</v>
      </c>
      <c r="D130" s="3">
        <v>1</v>
      </c>
      <c r="E130" s="3">
        <v>0.1</v>
      </c>
      <c r="F130" s="6">
        <f t="shared" ref="F130:F131" si="15">1-E130</f>
        <v>0.9</v>
      </c>
      <c r="G130" s="6">
        <f t="shared" ref="G130:G131" si="16">$D$7*E130*D130</f>
        <v>15</v>
      </c>
      <c r="H130" s="6">
        <f t="shared" ref="H130:H131" si="17">$D$7*F130*D130</f>
        <v>135</v>
      </c>
      <c r="I130" s="6">
        <f>ROUNDDOWN(G130/$E$31,0)</f>
        <v>4</v>
      </c>
      <c r="J130" s="6">
        <f>ROUNDUP(H130/$E$30,0)</f>
        <v>54</v>
      </c>
    </row>
    <row r="131" spans="2:11" x14ac:dyDescent="0.15">
      <c r="C131" s="2" t="s">
        <v>96</v>
      </c>
      <c r="D131" s="3">
        <v>1</v>
      </c>
      <c r="E131" s="3">
        <v>0.4</v>
      </c>
      <c r="F131" s="6">
        <f t="shared" si="15"/>
        <v>0.6</v>
      </c>
      <c r="G131" s="6">
        <f t="shared" si="16"/>
        <v>60</v>
      </c>
      <c r="H131" s="6">
        <f t="shared" si="17"/>
        <v>90</v>
      </c>
      <c r="I131" s="6">
        <f>ROUNDDOWN(G131/$E$31,0)</f>
        <v>16</v>
      </c>
      <c r="J131" s="6">
        <f>ROUNDUP(H131/$E$30,0)</f>
        <v>36</v>
      </c>
    </row>
    <row r="132" spans="2:11" x14ac:dyDescent="0.15">
      <c r="C132" s="2" t="s">
        <v>97</v>
      </c>
      <c r="D132" s="3">
        <v>1</v>
      </c>
      <c r="E132" s="3">
        <v>0.5</v>
      </c>
      <c r="F132" s="6">
        <f t="shared" ref="F132:F133" si="18">1-E132</f>
        <v>0.5</v>
      </c>
      <c r="G132" s="6">
        <f t="shared" ref="G132:G133" si="19">$D$7*E132*D132</f>
        <v>75</v>
      </c>
      <c r="H132" s="6">
        <f t="shared" ref="H132:H133" si="20">$D$7*F132*D132</f>
        <v>75</v>
      </c>
      <c r="I132" s="6">
        <f t="shared" ref="I132:I133" si="21">ROUNDDOWN(G132/$E$31,0)</f>
        <v>20</v>
      </c>
      <c r="J132" s="6">
        <f t="shared" ref="J132:J133" si="22">ROUNDUP(H132/$E$30,0)</f>
        <v>30</v>
      </c>
    </row>
    <row r="133" spans="2:11" x14ac:dyDescent="0.15">
      <c r="C133" s="2" t="s">
        <v>98</v>
      </c>
      <c r="D133" s="3">
        <v>1</v>
      </c>
      <c r="E133" s="3">
        <v>0.5</v>
      </c>
      <c r="F133" s="6">
        <f t="shared" si="18"/>
        <v>0.5</v>
      </c>
      <c r="G133" s="6">
        <f t="shared" si="19"/>
        <v>75</v>
      </c>
      <c r="H133" s="6">
        <f t="shared" si="20"/>
        <v>75</v>
      </c>
      <c r="I133" s="6">
        <f t="shared" si="21"/>
        <v>20</v>
      </c>
      <c r="J133" s="6">
        <f t="shared" si="22"/>
        <v>30</v>
      </c>
    </row>
    <row r="134" spans="2:11" x14ac:dyDescent="0.15">
      <c r="C134" s="2" t="s">
        <v>103</v>
      </c>
      <c r="D134" s="3">
        <v>1</v>
      </c>
      <c r="E134" s="3"/>
    </row>
    <row r="135" spans="2:11" x14ac:dyDescent="0.15">
      <c r="C135" s="2" t="s">
        <v>104</v>
      </c>
      <c r="D135" s="3">
        <v>1</v>
      </c>
      <c r="E135" s="3"/>
    </row>
    <row r="136" spans="2:11" x14ac:dyDescent="0.15">
      <c r="C136" s="2" t="s">
        <v>105</v>
      </c>
      <c r="D136" s="3">
        <v>1</v>
      </c>
      <c r="E136" s="3"/>
    </row>
    <row r="137" spans="2:11" x14ac:dyDescent="0.15">
      <c r="C137" s="2" t="s">
        <v>106</v>
      </c>
      <c r="D137" s="3">
        <v>1</v>
      </c>
      <c r="E137" s="3"/>
    </row>
    <row r="138" spans="2:11" x14ac:dyDescent="0.15">
      <c r="C138" s="2" t="s">
        <v>107</v>
      </c>
      <c r="D138" s="3">
        <v>1</v>
      </c>
      <c r="E138" s="3"/>
    </row>
    <row r="140" spans="2:11" x14ac:dyDescent="0.15">
      <c r="D140" s="12" t="s">
        <v>118</v>
      </c>
      <c r="E140" s="12"/>
      <c r="F140" s="12"/>
      <c r="G140" s="12"/>
      <c r="I140" s="12" t="s">
        <v>119</v>
      </c>
      <c r="J140" s="12"/>
      <c r="K140" s="12"/>
    </row>
    <row r="141" spans="2:11" x14ac:dyDescent="0.15">
      <c r="C141" s="11" t="s">
        <v>120</v>
      </c>
      <c r="D141" s="11" t="s">
        <v>121</v>
      </c>
      <c r="E141" s="11" t="s">
        <v>122</v>
      </c>
      <c r="F141" s="11" t="s">
        <v>123</v>
      </c>
      <c r="G141" s="11" t="s">
        <v>129</v>
      </c>
      <c r="H141" s="13" t="s">
        <v>124</v>
      </c>
      <c r="I141" s="11" t="s">
        <v>125</v>
      </c>
      <c r="J141" s="11" t="s">
        <v>126</v>
      </c>
      <c r="K141" s="11" t="s">
        <v>127</v>
      </c>
    </row>
    <row r="142" spans="2:11" x14ac:dyDescent="0.15">
      <c r="B142" s="2" t="s">
        <v>101</v>
      </c>
      <c r="C142" s="6">
        <f>D142*E142</f>
        <v>5.5</v>
      </c>
      <c r="D142" s="3">
        <v>1</v>
      </c>
      <c r="E142" s="3">
        <v>5.5</v>
      </c>
      <c r="F142" s="16">
        <v>23</v>
      </c>
      <c r="G142" s="3">
        <v>1</v>
      </c>
      <c r="H142" s="17">
        <f>F142+D142*E142+G142</f>
        <v>29.5</v>
      </c>
      <c r="I142" s="18">
        <f>D142*E142/H142</f>
        <v>0.1864406779661017</v>
      </c>
      <c r="J142" s="18">
        <f>F142/H142</f>
        <v>0.77966101694915257</v>
      </c>
      <c r="K142" s="18">
        <f>G142/H142</f>
        <v>3.3898305084745763E-2</v>
      </c>
    </row>
    <row r="143" spans="2:11" x14ac:dyDescent="0.15">
      <c r="B143" s="2" t="s">
        <v>102</v>
      </c>
      <c r="C143" s="6">
        <f t="shared" ref="C143:C146" si="23">D143*E143</f>
        <v>13.5</v>
      </c>
      <c r="D143" s="3">
        <v>3</v>
      </c>
      <c r="E143" s="3">
        <v>4.5</v>
      </c>
      <c r="F143" s="3">
        <v>6</v>
      </c>
      <c r="G143" s="3">
        <v>18</v>
      </c>
      <c r="H143" s="17">
        <f>F143+D143*E143+G143</f>
        <v>37.5</v>
      </c>
      <c r="I143" s="18">
        <f>D143*E143/H143</f>
        <v>0.36</v>
      </c>
      <c r="J143" s="18">
        <f>F143/H143</f>
        <v>0.16</v>
      </c>
      <c r="K143" s="18">
        <f>G143/H143</f>
        <v>0.48</v>
      </c>
    </row>
    <row r="144" spans="2:11" x14ac:dyDescent="0.15">
      <c r="B144" s="2" t="s">
        <v>96</v>
      </c>
      <c r="C144" s="6">
        <f t="shared" si="23"/>
        <v>40</v>
      </c>
      <c r="D144" s="3">
        <v>5</v>
      </c>
      <c r="E144" s="3">
        <v>8</v>
      </c>
      <c r="F144" s="3">
        <v>3</v>
      </c>
      <c r="G144" s="3">
        <v>35</v>
      </c>
      <c r="H144" s="17">
        <f>F144+D144*E144+G144</f>
        <v>78</v>
      </c>
      <c r="I144" s="18">
        <f>D144*E144/H144</f>
        <v>0.51282051282051277</v>
      </c>
      <c r="J144" s="18">
        <f>F144/H144</f>
        <v>3.8461538461538464E-2</v>
      </c>
      <c r="K144" s="18">
        <f>G144/H144</f>
        <v>0.44871794871794873</v>
      </c>
    </row>
    <row r="145" spans="2:11" x14ac:dyDescent="0.15">
      <c r="B145" s="2" t="s">
        <v>138</v>
      </c>
      <c r="C145" s="6">
        <f t="shared" si="23"/>
        <v>54</v>
      </c>
      <c r="D145" s="3">
        <v>6</v>
      </c>
      <c r="E145" s="3">
        <v>9</v>
      </c>
      <c r="F145" s="3">
        <v>0.5</v>
      </c>
      <c r="G145" s="3">
        <v>45</v>
      </c>
      <c r="H145" s="17">
        <f>F145+D145*E145+G145</f>
        <v>99.5</v>
      </c>
      <c r="I145" s="18">
        <f>D145*E145/H145</f>
        <v>0.542713567839196</v>
      </c>
      <c r="J145" s="18">
        <f>F145/H145</f>
        <v>5.0251256281407036E-3</v>
      </c>
      <c r="K145" s="18">
        <f>G145/H145</f>
        <v>0.45226130653266333</v>
      </c>
    </row>
    <row r="146" spans="2:11" x14ac:dyDescent="0.15">
      <c r="B146" s="2" t="s">
        <v>139</v>
      </c>
      <c r="C146" s="6">
        <f t="shared" si="23"/>
        <v>77</v>
      </c>
      <c r="D146" s="3">
        <v>7</v>
      </c>
      <c r="E146" s="3">
        <v>11</v>
      </c>
      <c r="F146" s="3">
        <v>0.1</v>
      </c>
      <c r="G146" s="3">
        <v>60</v>
      </c>
      <c r="H146" s="17">
        <f>F146+D146*E146+G146</f>
        <v>137.1</v>
      </c>
      <c r="I146" s="18">
        <f>D146*E146/H146</f>
        <v>0.56163384390955506</v>
      </c>
      <c r="J146" s="18">
        <f>F146/H146</f>
        <v>7.2939460247994177E-4</v>
      </c>
      <c r="K146" s="18">
        <f>G146/H146</f>
        <v>0.43763676148796499</v>
      </c>
    </row>
    <row r="147" spans="2:11" x14ac:dyDescent="0.15">
      <c r="B147" s="2"/>
      <c r="C147" s="6"/>
      <c r="D147" s="3"/>
      <c r="E147" s="3"/>
      <c r="F147" s="3"/>
      <c r="G147" s="3"/>
      <c r="H147" s="17"/>
      <c r="I147" s="18"/>
      <c r="J147" s="18"/>
      <c r="K147" s="18"/>
    </row>
    <row r="148" spans="2:11" x14ac:dyDescent="0.15">
      <c r="B148" s="2"/>
      <c r="C148" s="6"/>
      <c r="D148" s="3"/>
      <c r="E148" s="3"/>
      <c r="F148" s="3"/>
      <c r="G148" s="3"/>
      <c r="H148" s="17"/>
      <c r="I148" s="18"/>
      <c r="J148" s="18"/>
      <c r="K148" s="18"/>
    </row>
    <row r="149" spans="2:11" x14ac:dyDescent="0.15">
      <c r="B149" s="2"/>
      <c r="C149" s="6"/>
      <c r="D149" s="3"/>
      <c r="E149" s="3"/>
      <c r="F149" s="3"/>
      <c r="G149" s="3"/>
      <c r="H149" s="17"/>
      <c r="I149" s="18"/>
      <c r="J149" s="18"/>
      <c r="K149" s="18"/>
    </row>
    <row r="150" spans="2:11" x14ac:dyDescent="0.15">
      <c r="B150" s="2"/>
      <c r="C150" s="6"/>
      <c r="D150" s="3"/>
      <c r="E150" s="3"/>
      <c r="F150" s="3"/>
      <c r="G150" s="3"/>
      <c r="H150" s="17"/>
      <c r="I150" s="18"/>
      <c r="J150" s="18"/>
      <c r="K150" s="18"/>
    </row>
    <row r="151" spans="2:11" x14ac:dyDescent="0.15">
      <c r="C151" s="7"/>
      <c r="D151" s="7"/>
      <c r="E151" s="7"/>
      <c r="F151" s="7"/>
      <c r="G151" s="7"/>
      <c r="H151" s="14"/>
      <c r="I151" s="15"/>
      <c r="J151" s="15"/>
      <c r="K151" s="15"/>
    </row>
    <row r="152" spans="2:11" x14ac:dyDescent="0.15">
      <c r="B152" s="2" t="s">
        <v>130</v>
      </c>
      <c r="C152" s="8" t="s">
        <v>131</v>
      </c>
      <c r="D152" s="1" t="s">
        <v>132</v>
      </c>
      <c r="E152" s="1" t="s">
        <v>135</v>
      </c>
      <c r="F152" s="11" t="s">
        <v>133</v>
      </c>
      <c r="G152" s="11" t="s">
        <v>136</v>
      </c>
      <c r="I152" s="15"/>
      <c r="J152" s="15"/>
      <c r="K152" s="15"/>
    </row>
    <row r="153" spans="2:11" x14ac:dyDescent="0.15">
      <c r="B153" s="2" t="s">
        <v>101</v>
      </c>
      <c r="C153" s="19">
        <f>($E$7*E129+$E$7*F129)*D129*D142*E142/H142</f>
        <v>0.46610169491525422</v>
      </c>
      <c r="D153" s="19">
        <f>C153*60</f>
        <v>27.966101694915253</v>
      </c>
      <c r="E153" s="20">
        <f>ROUNDUP(D153/$E$44,0)</f>
        <v>10</v>
      </c>
      <c r="F153" s="21">
        <f>E153</f>
        <v>10</v>
      </c>
      <c r="G153" s="23" t="s">
        <v>137</v>
      </c>
    </row>
    <row r="154" spans="2:11" x14ac:dyDescent="0.15">
      <c r="B154" s="2" t="s">
        <v>102</v>
      </c>
      <c r="C154" s="19">
        <f>($E$7*E130+$E$7*F130)*D130*D143*E143/H143</f>
        <v>0.9</v>
      </c>
      <c r="D154" s="19">
        <f t="shared" ref="D154:D157" si="24">C154*60</f>
        <v>54</v>
      </c>
      <c r="E154" s="20">
        <f t="shared" ref="E154:E157" si="25">ROUNDUP(D154/$E$44,0)</f>
        <v>18</v>
      </c>
      <c r="F154" s="20">
        <f>E154-E153</f>
        <v>8</v>
      </c>
      <c r="G154" s="23" t="s">
        <v>147</v>
      </c>
    </row>
    <row r="155" spans="2:11" x14ac:dyDescent="0.15">
      <c r="B155" s="2" t="s">
        <v>96</v>
      </c>
      <c r="C155" s="19">
        <f>($E$7*E131+$E$7*F131)*D131*D144*E144/H144</f>
        <v>1.2820512820512822</v>
      </c>
      <c r="D155" s="19">
        <f t="shared" si="24"/>
        <v>76.923076923076934</v>
      </c>
      <c r="E155" s="20">
        <f t="shared" si="25"/>
        <v>26</v>
      </c>
      <c r="F155" s="20">
        <f>E155-E154</f>
        <v>8</v>
      </c>
      <c r="G155" s="23" t="s">
        <v>150</v>
      </c>
    </row>
    <row r="156" spans="2:11" x14ac:dyDescent="0.15">
      <c r="B156" s="2" t="s">
        <v>138</v>
      </c>
      <c r="C156" s="19">
        <f>($E$7*E132+$E$7*F132)*D132*D145*E145/H145</f>
        <v>1.3567839195979901</v>
      </c>
      <c r="D156" s="19">
        <f>C156*60</f>
        <v>81.4070351758794</v>
      </c>
      <c r="E156" s="20">
        <f>ROUNDUP(D156/$E$44,0)</f>
        <v>27</v>
      </c>
      <c r="F156" s="20">
        <f>E156-E155</f>
        <v>1</v>
      </c>
      <c r="G156" s="1" t="s">
        <v>149</v>
      </c>
    </row>
    <row r="157" spans="2:11" x14ac:dyDescent="0.15">
      <c r="B157" s="2" t="s">
        <v>139</v>
      </c>
      <c r="C157" s="19">
        <f>($E$7*E133+$E$7*F133)*D133*D146*E146/H146</f>
        <v>1.4040846097738877</v>
      </c>
      <c r="D157" s="19">
        <f t="shared" si="24"/>
        <v>84.245076586433257</v>
      </c>
      <c r="E157" s="20">
        <f t="shared" si="25"/>
        <v>28</v>
      </c>
      <c r="F157" s="20">
        <f>E157-E156</f>
        <v>1</v>
      </c>
      <c r="G157" s="1" t="s">
        <v>140</v>
      </c>
    </row>
    <row r="158" spans="2:11" x14ac:dyDescent="0.15">
      <c r="B158" s="2"/>
      <c r="C158" s="19"/>
      <c r="D158" s="19"/>
      <c r="E158" s="20"/>
      <c r="F158" s="20"/>
    </row>
    <row r="159" spans="2:11" x14ac:dyDescent="0.15">
      <c r="B159" s="2"/>
      <c r="C159" s="19"/>
      <c r="D159" s="19"/>
      <c r="E159" s="20"/>
      <c r="F159" s="20"/>
    </row>
    <row r="160" spans="2:11" x14ac:dyDescent="0.15">
      <c r="B160" s="2"/>
      <c r="C160" s="19"/>
      <c r="D160" s="19"/>
      <c r="E160" s="20"/>
      <c r="F160" s="20"/>
    </row>
    <row r="161" spans="2:11" x14ac:dyDescent="0.15">
      <c r="B161" s="2"/>
      <c r="C161" s="19"/>
      <c r="D161" s="19"/>
      <c r="E161" s="20"/>
      <c r="F161" s="20"/>
    </row>
    <row r="163" spans="2:11" x14ac:dyDescent="0.15">
      <c r="B163" s="2" t="s">
        <v>141</v>
      </c>
      <c r="C163" s="8" t="s">
        <v>95</v>
      </c>
      <c r="D163" s="1" t="s">
        <v>3</v>
      </c>
      <c r="E163" s="1" t="s">
        <v>142</v>
      </c>
      <c r="G163" s="11"/>
    </row>
    <row r="164" spans="2:11" x14ac:dyDescent="0.15">
      <c r="B164" s="2" t="s">
        <v>101</v>
      </c>
      <c r="C164" s="19">
        <f>($E$7*E129+$E$7*F129)*D129*G142/H142</f>
        <v>8.4745762711864403E-2</v>
      </c>
      <c r="D164" s="19">
        <f>C164*60</f>
        <v>5.0847457627118642</v>
      </c>
      <c r="E164" s="20">
        <f>ROUNDUP(D164/$E$44,0)</f>
        <v>2</v>
      </c>
      <c r="F164" s="22"/>
      <c r="G164" s="22"/>
    </row>
    <row r="165" spans="2:11" x14ac:dyDescent="0.15">
      <c r="B165" s="2" t="s">
        <v>102</v>
      </c>
      <c r="C165" s="19">
        <f t="shared" ref="C165:C168" si="26">($E$7*E130+$E$7*F130)*D130*G143/H143</f>
        <v>1.2</v>
      </c>
      <c r="D165" s="19">
        <f t="shared" ref="D165:D168" si="27">C165*60</f>
        <v>72</v>
      </c>
      <c r="E165" s="20">
        <f t="shared" ref="E165:E168" si="28">ROUNDUP(D165/$E$44,0)</f>
        <v>24</v>
      </c>
      <c r="F165" s="22"/>
      <c r="G165" s="22"/>
    </row>
    <row r="166" spans="2:11" x14ac:dyDescent="0.15">
      <c r="B166" s="2" t="s">
        <v>96</v>
      </c>
      <c r="C166" s="19">
        <f t="shared" si="26"/>
        <v>1.1217948717948718</v>
      </c>
      <c r="D166" s="19">
        <f t="shared" si="27"/>
        <v>67.307692307692307</v>
      </c>
      <c r="E166" s="20">
        <f t="shared" si="28"/>
        <v>22</v>
      </c>
      <c r="F166" s="22"/>
      <c r="G166" s="22"/>
    </row>
    <row r="167" spans="2:11" x14ac:dyDescent="0.15">
      <c r="B167" s="2" t="s">
        <v>138</v>
      </c>
      <c r="C167" s="19">
        <f t="shared" si="26"/>
        <v>1.1306532663316582</v>
      </c>
      <c r="D167" s="19">
        <f t="shared" si="27"/>
        <v>67.839195979899486</v>
      </c>
      <c r="E167" s="20">
        <f t="shared" si="28"/>
        <v>23</v>
      </c>
      <c r="F167" s="22"/>
      <c r="G167" s="22"/>
    </row>
    <row r="168" spans="2:11" x14ac:dyDescent="0.15">
      <c r="B168" s="2" t="s">
        <v>139</v>
      </c>
      <c r="C168" s="19">
        <f t="shared" si="26"/>
        <v>1.0940919037199126</v>
      </c>
      <c r="D168" s="19">
        <f t="shared" si="27"/>
        <v>65.645514223194752</v>
      </c>
      <c r="E168" s="20">
        <f t="shared" si="28"/>
        <v>22</v>
      </c>
      <c r="F168" s="22"/>
      <c r="G168" s="22"/>
    </row>
    <row r="169" spans="2:11" x14ac:dyDescent="0.15">
      <c r="B169" s="2"/>
      <c r="C169" s="6"/>
      <c r="D169" s="24"/>
      <c r="E169" s="24"/>
      <c r="F169" s="3"/>
      <c r="G169" s="3"/>
      <c r="H169" s="14"/>
      <c r="I169" s="15"/>
      <c r="J169" s="15"/>
      <c r="K169" s="15"/>
    </row>
    <row r="170" spans="2:11" x14ac:dyDescent="0.15">
      <c r="B170" s="2"/>
      <c r="C170" s="6"/>
      <c r="D170" s="24"/>
      <c r="E170" s="24"/>
      <c r="F170" s="3"/>
      <c r="G170" s="3"/>
      <c r="H170" s="14"/>
      <c r="I170" s="15"/>
      <c r="J170" s="15"/>
      <c r="K170" s="15"/>
    </row>
    <row r="171" spans="2:11" x14ac:dyDescent="0.15">
      <c r="B171" s="2"/>
      <c r="C171" s="6"/>
      <c r="D171" s="24"/>
      <c r="E171" s="24"/>
      <c r="F171" s="3"/>
      <c r="G171" s="3"/>
      <c r="H171" s="14"/>
      <c r="I171" s="15"/>
      <c r="J171" s="15"/>
      <c r="K171" s="15"/>
    </row>
    <row r="172" spans="2:11" x14ac:dyDescent="0.15">
      <c r="B172" s="2"/>
      <c r="C172" s="6"/>
      <c r="D172" s="24"/>
      <c r="E172" s="24"/>
      <c r="F172" s="3"/>
      <c r="G172" s="3"/>
      <c r="H172" s="14"/>
    </row>
    <row r="174" spans="2:11" x14ac:dyDescent="0.15">
      <c r="C174" s="25" t="s">
        <v>144</v>
      </c>
      <c r="D174" s="25"/>
      <c r="E174" s="25"/>
      <c r="G174" s="26" t="s">
        <v>145</v>
      </c>
      <c r="H174" s="26"/>
      <c r="I174" s="26"/>
      <c r="J174" s="27"/>
    </row>
    <row r="175" spans="2:11" x14ac:dyDescent="0.15">
      <c r="B175" s="2" t="s">
        <v>143</v>
      </c>
      <c r="C175" s="8" t="s">
        <v>131</v>
      </c>
      <c r="D175" s="1" t="s">
        <v>132</v>
      </c>
      <c r="E175" s="1" t="s">
        <v>142</v>
      </c>
      <c r="G175" s="8" t="s">
        <v>131</v>
      </c>
      <c r="H175" s="1" t="s">
        <v>132</v>
      </c>
      <c r="I175" s="1" t="s">
        <v>146</v>
      </c>
    </row>
    <row r="176" spans="2:11" x14ac:dyDescent="0.15">
      <c r="B176" s="2" t="s">
        <v>101</v>
      </c>
      <c r="C176" s="19">
        <f>($E$7*E129+$E$7*F129)*D129*F142/H142</f>
        <v>1.9491525423728813</v>
      </c>
      <c r="D176" s="19">
        <f>C176*60</f>
        <v>116.94915254237287</v>
      </c>
      <c r="E176" s="19">
        <f>D176/$E$44</f>
        <v>38.187478381182977</v>
      </c>
      <c r="G176" s="28">
        <f>($E$7*E129+$E$7*F129)*D129*D58*F142/H142</f>
        <v>1.9491525423728813</v>
      </c>
      <c r="H176" s="28">
        <f>G176*60</f>
        <v>116.94915254237287</v>
      </c>
      <c r="I176" s="28">
        <f>H176/$E$44</f>
        <v>38.187478381182977</v>
      </c>
    </row>
    <row r="177" spans="2:9" x14ac:dyDescent="0.15">
      <c r="B177" s="2" t="s">
        <v>102</v>
      </c>
      <c r="C177" s="19">
        <f t="shared" ref="C177:C180" si="29">($E$7*E130+$E$7*F130)*D130*F143/H143</f>
        <v>0.4</v>
      </c>
      <c r="D177" s="19">
        <f t="shared" ref="D177:D180" si="30">C177*60</f>
        <v>24</v>
      </c>
      <c r="E177" s="19">
        <f t="shared" ref="E177:E180" si="31">D177/$E$44</f>
        <v>7.8367346938775508</v>
      </c>
      <c r="G177" s="28">
        <f>($E$7*E130+$E$7*F130)*D130*D59*F143/H143</f>
        <v>0.8</v>
      </c>
      <c r="H177" s="28">
        <f t="shared" ref="H177:H180" si="32">G177*60</f>
        <v>48</v>
      </c>
      <c r="I177" s="28">
        <f t="shared" ref="I177:I180" si="33">H177/$E$44</f>
        <v>15.673469387755102</v>
      </c>
    </row>
    <row r="178" spans="2:9" x14ac:dyDescent="0.15">
      <c r="B178" s="2" t="s">
        <v>96</v>
      </c>
      <c r="C178" s="19">
        <f t="shared" si="29"/>
        <v>9.6153846153846159E-2</v>
      </c>
      <c r="D178" s="19">
        <f t="shared" si="30"/>
        <v>5.7692307692307692</v>
      </c>
      <c r="E178" s="19">
        <f t="shared" si="31"/>
        <v>1.8838304552590266</v>
      </c>
      <c r="G178" s="28">
        <f>($E$7*E131+$E$7*F131)*D131*D60*F144/H144</f>
        <v>0.48076923076923078</v>
      </c>
      <c r="H178" s="28">
        <f t="shared" si="32"/>
        <v>28.846153846153847</v>
      </c>
      <c r="I178" s="28">
        <f t="shared" si="33"/>
        <v>9.419152276295133</v>
      </c>
    </row>
    <row r="179" spans="2:9" x14ac:dyDescent="0.15">
      <c r="B179" s="2" t="s">
        <v>138</v>
      </c>
      <c r="C179" s="19">
        <f t="shared" si="29"/>
        <v>1.2562814070351759E-2</v>
      </c>
      <c r="D179" s="19">
        <f t="shared" si="30"/>
        <v>0.75376884422110557</v>
      </c>
      <c r="E179" s="19">
        <f t="shared" si="31"/>
        <v>0.24612860219464672</v>
      </c>
      <c r="G179" s="28">
        <f>($E$7*E132+$E$7*F132)*D132*D61*F145/H145</f>
        <v>0.314070351758794</v>
      </c>
      <c r="H179" s="28">
        <f t="shared" si="32"/>
        <v>18.844221105527641</v>
      </c>
      <c r="I179" s="28">
        <f t="shared" si="33"/>
        <v>6.1532150548661688</v>
      </c>
    </row>
    <row r="180" spans="2:9" x14ac:dyDescent="0.15">
      <c r="B180" s="2" t="s">
        <v>139</v>
      </c>
      <c r="C180" s="19">
        <f t="shared" si="29"/>
        <v>1.8234865061998542E-3</v>
      </c>
      <c r="D180" s="19">
        <f t="shared" si="30"/>
        <v>0.10940919037199125</v>
      </c>
      <c r="E180" s="19">
        <f t="shared" si="31"/>
        <v>3.5725449917384897E-2</v>
      </c>
      <c r="F180" s="11"/>
      <c r="G180" s="28">
        <f>($E$7*E133+$E$7*F133)*D133*D62*F146/H146</f>
        <v>0.13676148796498908</v>
      </c>
      <c r="H180" s="28">
        <f t="shared" si="32"/>
        <v>8.205689277899344</v>
      </c>
      <c r="I180" s="28">
        <f t="shared" si="33"/>
        <v>2.6794087438038674</v>
      </c>
    </row>
  </sheetData>
  <mergeCells count="4">
    <mergeCell ref="D140:G140"/>
    <mergeCell ref="I140:K140"/>
    <mergeCell ref="C174:E174"/>
    <mergeCell ref="G174:I174"/>
  </mergeCells>
  <phoneticPr fontId="1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E27" sqref="E26:F27"/>
    </sheetView>
  </sheetViews>
  <sheetFormatPr defaultRowHeight="13.5" x14ac:dyDescent="0.15"/>
  <sheetData>
    <row r="1" spans="1:9" ht="16.5" x14ac:dyDescent="0.15">
      <c r="A1" s="1" t="s">
        <v>59</v>
      </c>
      <c r="B1" s="1"/>
      <c r="C1" s="1"/>
      <c r="D1" s="1"/>
      <c r="E1" s="1"/>
      <c r="F1" s="1"/>
      <c r="G1" s="1" t="s">
        <v>60</v>
      </c>
      <c r="H1" s="1"/>
      <c r="I1" s="1"/>
    </row>
    <row r="2" spans="1:9" ht="16.5" x14ac:dyDescent="0.15">
      <c r="A2" s="1" t="s">
        <v>23</v>
      </c>
      <c r="B2" s="1"/>
      <c r="C2" s="1"/>
      <c r="D2" s="1"/>
      <c r="E2" s="1"/>
      <c r="F2" s="1"/>
      <c r="G2" s="1"/>
      <c r="H2" s="1" t="s">
        <v>62</v>
      </c>
      <c r="I2" s="1" t="s">
        <v>61</v>
      </c>
    </row>
    <row r="3" spans="1:9" ht="16.5" x14ac:dyDescent="0.15">
      <c r="A3" s="1"/>
      <c r="B3" s="1" t="s">
        <v>20</v>
      </c>
      <c r="C3" s="1"/>
      <c r="D3" s="1" t="s">
        <v>28</v>
      </c>
      <c r="E3" s="1"/>
      <c r="F3" s="1" t="s">
        <v>28</v>
      </c>
      <c r="G3" s="1"/>
      <c r="H3" s="1" t="s">
        <v>63</v>
      </c>
      <c r="I3" s="1" t="s">
        <v>66</v>
      </c>
    </row>
    <row r="4" spans="1:9" ht="16.5" x14ac:dyDescent="0.15">
      <c r="A4" s="1"/>
      <c r="B4" s="1" t="s">
        <v>21</v>
      </c>
      <c r="C4" s="1"/>
      <c r="D4" s="1" t="s">
        <v>30</v>
      </c>
      <c r="E4" s="1"/>
      <c r="F4" s="1" t="s">
        <v>24</v>
      </c>
      <c r="G4" s="1" t="s">
        <v>64</v>
      </c>
      <c r="H4" s="1"/>
      <c r="I4" s="1"/>
    </row>
    <row r="5" spans="1:9" ht="16.5" x14ac:dyDescent="0.15">
      <c r="A5" s="1"/>
      <c r="B5" s="1" t="s">
        <v>22</v>
      </c>
      <c r="C5" s="1"/>
      <c r="D5" s="1" t="s">
        <v>29</v>
      </c>
      <c r="E5" s="1"/>
      <c r="F5" s="1" t="s">
        <v>31</v>
      </c>
      <c r="G5" s="1"/>
      <c r="H5" s="1" t="s">
        <v>62</v>
      </c>
      <c r="I5" s="1" t="s">
        <v>65</v>
      </c>
    </row>
    <row r="6" spans="1:9" ht="16.5" x14ac:dyDescent="0.15">
      <c r="A6" s="1" t="s">
        <v>26</v>
      </c>
      <c r="B6" s="1"/>
      <c r="C6" s="1"/>
      <c r="D6" s="1"/>
      <c r="E6" s="1"/>
      <c r="F6" s="1"/>
      <c r="G6" s="1"/>
      <c r="H6" s="1" t="s">
        <v>63</v>
      </c>
      <c r="I6" s="1" t="s">
        <v>67</v>
      </c>
    </row>
    <row r="7" spans="1:9" ht="16.5" x14ac:dyDescent="0.15">
      <c r="A7" s="1"/>
      <c r="B7" s="1" t="s">
        <v>25</v>
      </c>
      <c r="C7" s="1"/>
      <c r="D7" s="1" t="s">
        <v>20</v>
      </c>
      <c r="E7" s="1"/>
      <c r="F7" s="1" t="s">
        <v>34</v>
      </c>
      <c r="G7" s="1" t="s">
        <v>68</v>
      </c>
      <c r="H7" s="1"/>
      <c r="I7" s="1"/>
    </row>
    <row r="8" spans="1:9" ht="16.5" x14ac:dyDescent="0.15">
      <c r="A8" s="1"/>
      <c r="B8" s="1" t="s">
        <v>12</v>
      </c>
      <c r="C8" s="1"/>
      <c r="D8" s="1" t="s">
        <v>32</v>
      </c>
      <c r="E8" s="1"/>
      <c r="F8" s="1" t="s">
        <v>32</v>
      </c>
      <c r="G8" s="1"/>
      <c r="H8" s="1" t="s">
        <v>62</v>
      </c>
      <c r="I8" s="1" t="s">
        <v>81</v>
      </c>
    </row>
    <row r="9" spans="1:9" ht="16.5" x14ac:dyDescent="0.15">
      <c r="A9" s="1"/>
      <c r="B9" s="1" t="s">
        <v>27</v>
      </c>
      <c r="C9" s="1"/>
      <c r="D9" s="1" t="s">
        <v>33</v>
      </c>
      <c r="E9" s="1"/>
      <c r="F9" s="1" t="s">
        <v>32</v>
      </c>
      <c r="G9" s="1"/>
      <c r="H9" s="1" t="s">
        <v>63</v>
      </c>
      <c r="I9" s="1" t="s">
        <v>28</v>
      </c>
    </row>
    <row r="10" spans="1:9" ht="16.5" x14ac:dyDescent="0.15">
      <c r="A10" s="1" t="s">
        <v>35</v>
      </c>
      <c r="B10" s="1"/>
      <c r="C10" s="1"/>
      <c r="D10" s="1"/>
      <c r="E10" s="1"/>
      <c r="F10" s="1"/>
      <c r="G10" s="1"/>
      <c r="H10" s="1"/>
      <c r="I10" s="1"/>
    </row>
    <row r="11" spans="1:9" ht="16.5" x14ac:dyDescent="0.15">
      <c r="A11" s="1" t="s">
        <v>23</v>
      </c>
      <c r="B11" s="1"/>
      <c r="C11" s="1"/>
      <c r="D11" s="1"/>
      <c r="E11" s="1"/>
      <c r="F11" s="1"/>
      <c r="G11" s="1" t="s">
        <v>52</v>
      </c>
      <c r="H11" s="1"/>
      <c r="I11" s="1"/>
    </row>
    <row r="12" spans="1:9" ht="16.5" x14ac:dyDescent="0.15">
      <c r="A12" s="1"/>
      <c r="B12" s="1" t="s">
        <v>34</v>
      </c>
      <c r="C12" s="1"/>
      <c r="D12" s="1" t="s">
        <v>37</v>
      </c>
      <c r="E12" s="1"/>
      <c r="F12" s="1"/>
      <c r="G12" s="1"/>
      <c r="H12" s="1" t="s">
        <v>82</v>
      </c>
      <c r="I12" s="1"/>
    </row>
    <row r="13" spans="1:9" ht="16.5" x14ac:dyDescent="0.15">
      <c r="A13" s="1"/>
      <c r="B13" s="1" t="s">
        <v>36</v>
      </c>
      <c r="C13" s="1"/>
      <c r="D13" s="1" t="s">
        <v>36</v>
      </c>
      <c r="E13" s="1"/>
      <c r="F13" s="1"/>
      <c r="G13" s="1"/>
      <c r="H13" s="1"/>
      <c r="I13" s="1"/>
    </row>
    <row r="14" spans="1:9" ht="16.5" x14ac:dyDescent="0.15">
      <c r="A14" s="1"/>
      <c r="B14" s="1" t="s">
        <v>29</v>
      </c>
      <c r="C14" s="1"/>
      <c r="D14" s="1" t="s">
        <v>29</v>
      </c>
      <c r="E14" s="1"/>
      <c r="F14" s="1"/>
      <c r="G14" s="1"/>
      <c r="H14" s="1"/>
      <c r="I14" s="1"/>
    </row>
    <row r="15" spans="1:9" ht="16.5" x14ac:dyDescent="0.15">
      <c r="A15" s="1" t="s">
        <v>26</v>
      </c>
      <c r="B15" s="1"/>
      <c r="C15" s="1"/>
      <c r="D15" s="1"/>
      <c r="E15" s="1"/>
      <c r="F15" s="1"/>
      <c r="G15" s="1"/>
      <c r="H15" s="1"/>
      <c r="I15" s="1"/>
    </row>
    <row r="16" spans="1:9" ht="16.5" x14ac:dyDescent="0.15">
      <c r="A16" s="1"/>
      <c r="B16" s="1" t="s">
        <v>25</v>
      </c>
      <c r="C16" s="1"/>
      <c r="D16" s="1" t="s">
        <v>38</v>
      </c>
      <c r="E16" s="1"/>
      <c r="F16" s="1" t="s">
        <v>40</v>
      </c>
      <c r="G16" s="1"/>
      <c r="H16" s="1"/>
      <c r="I16" s="1"/>
    </row>
    <row r="17" spans="1:9" ht="16.5" x14ac:dyDescent="0.15">
      <c r="A17" s="1"/>
      <c r="B17" s="1" t="s">
        <v>30</v>
      </c>
      <c r="C17" s="1"/>
      <c r="D17" s="1"/>
      <c r="E17" s="1"/>
      <c r="F17" s="1" t="s">
        <v>37</v>
      </c>
      <c r="G17" s="1"/>
      <c r="H17" s="1"/>
      <c r="I17" s="1"/>
    </row>
    <row r="18" spans="1:9" ht="16.5" x14ac:dyDescent="0.15">
      <c r="A18" s="1"/>
      <c r="B18" s="1" t="s">
        <v>12</v>
      </c>
      <c r="C18" s="1"/>
      <c r="D18" s="1" t="s">
        <v>39</v>
      </c>
      <c r="E18" s="1"/>
      <c r="F18" s="1" t="s">
        <v>41</v>
      </c>
      <c r="G18" s="1"/>
      <c r="H18" s="1"/>
      <c r="I18" s="1"/>
    </row>
    <row r="19" spans="1:9" ht="16.5" x14ac:dyDescent="0.15">
      <c r="A19" s="1" t="s">
        <v>45</v>
      </c>
      <c r="B19" s="1"/>
      <c r="C19" s="1"/>
      <c r="D19" s="1"/>
      <c r="E19" s="1"/>
      <c r="F19" s="1"/>
      <c r="G19" s="1"/>
      <c r="H19" s="1"/>
      <c r="I19" s="1"/>
    </row>
    <row r="20" spans="1:9" ht="16.5" x14ac:dyDescent="0.15">
      <c r="A20" s="1" t="s">
        <v>44</v>
      </c>
      <c r="B20" s="1"/>
      <c r="C20" s="1"/>
      <c r="D20" s="1"/>
      <c r="E20" s="1"/>
      <c r="F20" s="1"/>
      <c r="G20" s="1"/>
      <c r="H20" s="1"/>
      <c r="I20" s="1"/>
    </row>
    <row r="21" spans="1:9" ht="16.5" x14ac:dyDescent="0.15">
      <c r="A21" s="1"/>
      <c r="B21" s="1" t="s">
        <v>42</v>
      </c>
      <c r="C21" s="1"/>
      <c r="D21" s="1" t="s">
        <v>46</v>
      </c>
      <c r="E21" s="1"/>
      <c r="F21" s="1"/>
      <c r="G21" s="1"/>
      <c r="H21" s="1"/>
      <c r="I21" s="1"/>
    </row>
    <row r="22" spans="1:9" ht="16.5" x14ac:dyDescent="0.15">
      <c r="A22" s="1"/>
      <c r="B22" s="1" t="s">
        <v>43</v>
      </c>
      <c r="C22" s="1"/>
      <c r="D22" s="1" t="s">
        <v>43</v>
      </c>
      <c r="E22" s="1"/>
      <c r="F22" s="1"/>
      <c r="G22" s="1"/>
      <c r="H22" s="1"/>
      <c r="I22" s="1"/>
    </row>
    <row r="23" spans="1:9" ht="16.5" x14ac:dyDescent="0.15">
      <c r="A23" s="1"/>
      <c r="B23" s="1" t="s">
        <v>12</v>
      </c>
      <c r="C23" s="1"/>
      <c r="D23" s="1" t="s">
        <v>47</v>
      </c>
      <c r="E23" s="1"/>
      <c r="F23" s="1"/>
      <c r="G23" s="1"/>
      <c r="H23" s="1"/>
      <c r="I23" s="1"/>
    </row>
    <row r="24" spans="1:9" ht="16.5" x14ac:dyDescent="0.15">
      <c r="A24" s="1" t="s">
        <v>26</v>
      </c>
      <c r="B24" s="1"/>
      <c r="C24" s="1"/>
      <c r="D24" s="1"/>
      <c r="E24" s="1"/>
      <c r="F24" s="1"/>
      <c r="G24" s="1"/>
      <c r="H24" s="1"/>
      <c r="I24" s="1"/>
    </row>
    <row r="25" spans="1:9" ht="16.5" x14ac:dyDescent="0.15">
      <c r="A25" s="1"/>
      <c r="B25" s="1" t="s">
        <v>49</v>
      </c>
      <c r="C25" s="1"/>
      <c r="D25" s="1" t="s">
        <v>43</v>
      </c>
      <c r="E25" s="1"/>
      <c r="F25" s="1"/>
      <c r="G25" s="1"/>
      <c r="H25" s="1"/>
      <c r="I25" s="1"/>
    </row>
    <row r="26" spans="1:9" ht="16.5" x14ac:dyDescent="0.15">
      <c r="A26" s="1"/>
      <c r="B26" s="1" t="s">
        <v>48</v>
      </c>
      <c r="C26" s="1"/>
      <c r="D26" s="1" t="s">
        <v>50</v>
      </c>
      <c r="E26" s="1"/>
      <c r="F26" s="1"/>
      <c r="G26" s="1"/>
      <c r="H26" s="1"/>
      <c r="I26" s="1"/>
    </row>
    <row r="27" spans="1:9" ht="16.5" x14ac:dyDescent="0.15">
      <c r="A27" s="1"/>
      <c r="B27" s="1" t="s">
        <v>48</v>
      </c>
      <c r="C27" s="1"/>
      <c r="D27" s="1" t="s">
        <v>51</v>
      </c>
      <c r="E27" s="1"/>
      <c r="F27" s="1"/>
      <c r="G27" s="1"/>
      <c r="H27" s="1"/>
      <c r="I27" s="1"/>
    </row>
    <row r="28" spans="1:9" ht="16.5" x14ac:dyDescent="0.15">
      <c r="A28" s="1" t="s">
        <v>54</v>
      </c>
      <c r="B28" s="1"/>
      <c r="C28" s="1"/>
      <c r="D28" s="1"/>
      <c r="E28" s="1"/>
      <c r="F28" s="1"/>
      <c r="G28" s="1"/>
      <c r="H28" s="1"/>
      <c r="I28" s="1"/>
    </row>
    <row r="29" spans="1:9" ht="16.5" x14ac:dyDescent="0.15">
      <c r="A29" s="1" t="s">
        <v>57</v>
      </c>
      <c r="B29" s="1"/>
      <c r="C29" s="1"/>
      <c r="D29" s="1"/>
      <c r="E29" s="1"/>
      <c r="F29" s="1"/>
      <c r="G29" s="1"/>
      <c r="H29" s="1"/>
      <c r="I29" s="1"/>
    </row>
    <row r="30" spans="1:9" ht="16.5" x14ac:dyDescent="0.15">
      <c r="A30" s="1"/>
      <c r="B30" s="1" t="s">
        <v>25</v>
      </c>
      <c r="C30" s="1"/>
      <c r="D30" s="1"/>
      <c r="E30" s="1"/>
      <c r="F30" s="1"/>
      <c r="G30" s="1"/>
      <c r="H30" s="1"/>
      <c r="I30" s="1"/>
    </row>
    <row r="31" spans="1:9" ht="16.5" x14ac:dyDescent="0.15">
      <c r="A31" s="1"/>
      <c r="B31" s="1" t="s">
        <v>55</v>
      </c>
      <c r="C31" s="1"/>
      <c r="D31" s="1"/>
      <c r="E31" s="1"/>
      <c r="F31" s="1"/>
      <c r="G31" s="1"/>
      <c r="H31" s="1"/>
      <c r="I31" s="1"/>
    </row>
    <row r="32" spans="1:9" ht="16.5" x14ac:dyDescent="0.15">
      <c r="A32" s="1"/>
      <c r="B32" s="1" t="s">
        <v>37</v>
      </c>
      <c r="C32" s="1"/>
      <c r="D32" s="1"/>
      <c r="E32" s="1"/>
      <c r="F32" s="1"/>
      <c r="G32" s="1"/>
      <c r="H32" s="1"/>
      <c r="I32" s="1"/>
    </row>
    <row r="33" spans="1:9" ht="16.5" x14ac:dyDescent="0.15">
      <c r="A33" s="1" t="s">
        <v>58</v>
      </c>
      <c r="B33" s="1"/>
      <c r="C33" s="1"/>
      <c r="D33" s="1"/>
      <c r="E33" s="1"/>
      <c r="F33" s="1"/>
      <c r="G33" s="1"/>
      <c r="H33" s="1"/>
      <c r="I33" s="1"/>
    </row>
    <row r="34" spans="1:9" ht="16.5" x14ac:dyDescent="0.15">
      <c r="A34" s="1"/>
      <c r="B34" s="1" t="s">
        <v>25</v>
      </c>
      <c r="C34" s="1"/>
      <c r="D34" s="1"/>
      <c r="E34" s="1"/>
      <c r="F34" s="1"/>
      <c r="G34" s="1"/>
      <c r="H34" s="1"/>
      <c r="I34" s="1"/>
    </row>
    <row r="35" spans="1:9" ht="16.5" x14ac:dyDescent="0.15">
      <c r="A35" s="1"/>
      <c r="B35" s="1" t="s">
        <v>56</v>
      </c>
      <c r="C35" s="1"/>
      <c r="D35" s="1"/>
      <c r="E35" s="1"/>
      <c r="F35" s="1"/>
      <c r="G35" s="1"/>
      <c r="H35" s="1"/>
      <c r="I35" s="1"/>
    </row>
    <row r="36" spans="1:9" ht="16.5" x14ac:dyDescent="0.15">
      <c r="A36" s="1"/>
      <c r="B36" s="1" t="s">
        <v>27</v>
      </c>
      <c r="C36" s="1"/>
      <c r="D36" s="1"/>
      <c r="E36" s="1"/>
      <c r="F36" s="1"/>
      <c r="G36" s="1"/>
      <c r="H36" s="1"/>
      <c r="I36" s="1"/>
    </row>
    <row r="37" spans="1:9" ht="16.5" x14ac:dyDescent="0.15">
      <c r="A37" s="1"/>
      <c r="B37" s="1"/>
      <c r="C37" s="1"/>
      <c r="D37" s="1"/>
      <c r="E37" s="1"/>
      <c r="F37" s="1"/>
      <c r="G37" s="1"/>
      <c r="H37" s="1"/>
      <c r="I37" s="1"/>
    </row>
    <row r="38" spans="1:9" ht="16.5" x14ac:dyDescent="0.15">
      <c r="A38" s="1" t="s">
        <v>52</v>
      </c>
      <c r="B38" s="1"/>
      <c r="C38" s="1"/>
      <c r="D38" s="1"/>
      <c r="E38" s="1"/>
      <c r="F38" s="1"/>
      <c r="G38" s="1"/>
      <c r="H38" s="1"/>
      <c r="I38" s="1"/>
    </row>
    <row r="39" spans="1:9" ht="16.5" x14ac:dyDescent="0.15">
      <c r="A39" s="1"/>
      <c r="B39" s="1" t="s">
        <v>53</v>
      </c>
      <c r="C39" s="1"/>
      <c r="D39" s="1"/>
      <c r="E39" s="1"/>
      <c r="F39" s="1"/>
      <c r="G39" s="1"/>
      <c r="H39" s="1"/>
      <c r="I39" s="1"/>
    </row>
    <row r="40" spans="1:9" ht="16.5" x14ac:dyDescent="0.15">
      <c r="A40" s="1"/>
      <c r="B40" s="1"/>
      <c r="C40" s="1"/>
      <c r="D40" s="1"/>
      <c r="E40" s="1"/>
      <c r="F40" s="1"/>
      <c r="G40" s="1"/>
      <c r="H40" s="1"/>
      <c r="I4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副本时间模板</vt:lpstr>
      <vt:lpstr>参考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2015-07-23T07:34:00Z</dcterms:created>
  <dcterms:modified xsi:type="dcterms:W3CDTF">2015-07-29T01:20:03Z</dcterms:modified>
</cp:coreProperties>
</file>