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360" yWindow="90" windowWidth="28035" windowHeight="12330" activeTab="2"/>
  </bookViews>
  <sheets>
    <sheet name="职业定位属性配比" sheetId="1" r:id="rId1"/>
    <sheet name="AI" sheetId="2" r:id="rId2"/>
    <sheet name="技能基础价值" sheetId="3" r:id="rId3"/>
  </sheets>
  <calcPr calcId="152511"/>
</workbook>
</file>

<file path=xl/calcChain.xml><?xml version="1.0" encoding="utf-8"?>
<calcChain xmlns="http://schemas.openxmlformats.org/spreadsheetml/2006/main">
  <c r="D128" i="3" l="1"/>
  <c r="E142" i="3" l="1"/>
  <c r="D134" i="3"/>
  <c r="D133" i="3"/>
  <c r="D132" i="3"/>
  <c r="I58" i="1"/>
  <c r="I60" i="1"/>
  <c r="D135" i="3" l="1"/>
  <c r="D138" i="3" s="1"/>
  <c r="D115" i="3"/>
  <c r="D116" i="3" s="1"/>
  <c r="D110" i="3" l="1"/>
  <c r="D109" i="3"/>
  <c r="D62" i="3" l="1"/>
  <c r="D105" i="3" l="1"/>
  <c r="D104" i="3"/>
  <c r="D103" i="3"/>
  <c r="I103" i="3" l="1"/>
  <c r="K103" i="3"/>
  <c r="G103" i="3"/>
  <c r="D108" i="3" l="1"/>
  <c r="D111" i="3" s="1"/>
  <c r="D112" i="3" s="1"/>
  <c r="V58" i="1"/>
  <c r="I59" i="1" l="1"/>
  <c r="J59" i="1"/>
  <c r="K59" i="1"/>
  <c r="F100" i="1" l="1"/>
  <c r="C58" i="1"/>
  <c r="C59" i="1"/>
  <c r="H48" i="1"/>
  <c r="H49" i="1" s="1"/>
  <c r="J68" i="1"/>
  <c r="K11" i="1" l="1"/>
  <c r="G13" i="1"/>
  <c r="E13" i="1"/>
  <c r="I11" i="1"/>
  <c r="J11" i="1"/>
  <c r="W10" i="1"/>
  <c r="W11" i="1"/>
  <c r="I10" i="1"/>
  <c r="R11" i="1"/>
  <c r="P10" i="1"/>
  <c r="Q10" i="1"/>
  <c r="P11" i="1"/>
  <c r="W9" i="1"/>
  <c r="I9" i="1"/>
  <c r="AK11" i="1"/>
  <c r="Q11" i="1"/>
  <c r="R10" i="1"/>
  <c r="X11" i="1"/>
  <c r="Y11" i="1"/>
  <c r="P9" i="1"/>
  <c r="F13" i="1"/>
  <c r="J10" i="1"/>
  <c r="J9" i="1"/>
  <c r="X10" i="1"/>
  <c r="X9" i="1"/>
  <c r="Q9" i="1"/>
  <c r="AD11" i="1"/>
  <c r="AE11" i="1"/>
  <c r="AF11" i="1"/>
  <c r="AD10" i="1"/>
  <c r="AD9" i="1"/>
  <c r="I31" i="1"/>
  <c r="AM11" i="1"/>
  <c r="AL11" i="1"/>
  <c r="AR11" i="1"/>
  <c r="AS11" i="1"/>
  <c r="AT11" i="1"/>
  <c r="Y10" i="1"/>
  <c r="Y9" i="1"/>
  <c r="D28" i="3"/>
  <c r="D29" i="3"/>
  <c r="D120" i="3" s="1"/>
  <c r="D27" i="3"/>
  <c r="C3" i="1"/>
  <c r="C28" i="3"/>
  <c r="G40" i="3"/>
  <c r="H40" i="3" s="1"/>
  <c r="G41" i="3"/>
  <c r="G42" i="3"/>
  <c r="C29" i="3"/>
  <c r="C27" i="3"/>
  <c r="G45" i="3"/>
  <c r="G44" i="3"/>
  <c r="G43" i="3"/>
  <c r="D74" i="1"/>
  <c r="E74" i="1"/>
  <c r="G74" i="1"/>
  <c r="I74" i="1"/>
  <c r="J9" i="3"/>
  <c r="I9" i="3"/>
  <c r="H9" i="3"/>
  <c r="G9" i="3"/>
  <c r="F9" i="3"/>
  <c r="E9" i="3"/>
  <c r="D9" i="3"/>
  <c r="C4" i="1"/>
  <c r="D4" i="3"/>
  <c r="H68" i="1"/>
  <c r="D68" i="1"/>
  <c r="E68" i="1"/>
  <c r="G68" i="1"/>
  <c r="D10" i="1"/>
  <c r="D9" i="1"/>
  <c r="H9" i="1"/>
  <c r="AH55" i="1"/>
  <c r="AH53" i="1"/>
  <c r="AH51" i="1"/>
  <c r="E60" i="1"/>
  <c r="D60" i="1"/>
  <c r="C60" i="1"/>
  <c r="H10" i="1"/>
  <c r="H11" i="1"/>
  <c r="D59" i="1"/>
  <c r="E59" i="1"/>
  <c r="D58" i="1"/>
  <c r="D62" i="1" s="1"/>
  <c r="E58" i="1"/>
  <c r="J78" i="1"/>
  <c r="J80" i="1" s="1"/>
  <c r="I78" i="1"/>
  <c r="I80" i="1" s="1"/>
  <c r="H78" i="1"/>
  <c r="H80" i="1" s="1"/>
  <c r="G78" i="1"/>
  <c r="F78" i="1"/>
  <c r="F80" i="1" s="1"/>
  <c r="E78" i="1"/>
  <c r="E80" i="1" s="1"/>
  <c r="D78" i="1"/>
  <c r="D80" i="1" s="1"/>
  <c r="J74" i="1"/>
  <c r="H74" i="1"/>
  <c r="F74" i="1"/>
  <c r="F68" i="1"/>
  <c r="E61" i="1"/>
  <c r="D11" i="1"/>
  <c r="AM10" i="1"/>
  <c r="AM12" i="1" s="1"/>
  <c r="AL10" i="1"/>
  <c r="AK10" i="1"/>
  <c r="AM9" i="1"/>
  <c r="AL9" i="1"/>
  <c r="AK9" i="1"/>
  <c r="AF10" i="1"/>
  <c r="AE10" i="1"/>
  <c r="AF9" i="1"/>
  <c r="AE9" i="1"/>
  <c r="AE13" i="1" s="1"/>
  <c r="R9" i="1"/>
  <c r="C12" i="1"/>
  <c r="AY10" i="1"/>
  <c r="AY11" i="1"/>
  <c r="AY9" i="1"/>
  <c r="AX10" i="1"/>
  <c r="AX11" i="1"/>
  <c r="AX9" i="1"/>
  <c r="AW10" i="1"/>
  <c r="AW11" i="1"/>
  <c r="AW9" i="1"/>
  <c r="AT10" i="1"/>
  <c r="AT9" i="1"/>
  <c r="AR10" i="1"/>
  <c r="AR9" i="1"/>
  <c r="AS10" i="1"/>
  <c r="AS9" i="1"/>
  <c r="K10" i="1"/>
  <c r="K9" i="1"/>
  <c r="F12" i="1"/>
  <c r="G12" i="1"/>
  <c r="E12" i="1"/>
  <c r="C13" i="1"/>
  <c r="E16" i="3" l="1"/>
  <c r="D16" i="3"/>
  <c r="H42" i="3"/>
  <c r="I42" i="3" s="1"/>
  <c r="H41" i="3"/>
  <c r="I41" i="3" s="1"/>
  <c r="H43" i="3"/>
  <c r="I43" i="3" s="1"/>
  <c r="H44" i="3"/>
  <c r="I44" i="3" s="1"/>
  <c r="H45" i="3"/>
  <c r="I45" i="3" s="1"/>
  <c r="D98" i="3"/>
  <c r="E35" i="3"/>
  <c r="E34" i="3"/>
  <c r="D97" i="3"/>
  <c r="E66" i="3"/>
  <c r="D119" i="3"/>
  <c r="D123" i="3" s="1"/>
  <c r="J10" i="3"/>
  <c r="E65" i="3"/>
  <c r="D118" i="3"/>
  <c r="G10" i="3"/>
  <c r="F20" i="3" s="1"/>
  <c r="D96" i="3"/>
  <c r="E33" i="3"/>
  <c r="I13" i="1"/>
  <c r="E62" i="1"/>
  <c r="K13" i="1"/>
  <c r="AR13" i="1"/>
  <c r="AX13" i="1"/>
  <c r="AW12" i="1"/>
  <c r="C62" i="1"/>
  <c r="G15" i="1"/>
  <c r="AX12" i="1"/>
  <c r="C61" i="1"/>
  <c r="J12" i="1"/>
  <c r="AT13" i="1"/>
  <c r="AT12" i="1"/>
  <c r="W12" i="1"/>
  <c r="W18" i="1" s="1"/>
  <c r="J13" i="1"/>
  <c r="P12" i="1"/>
  <c r="P21" i="1" s="1"/>
  <c r="AS12" i="1"/>
  <c r="AW13" i="1"/>
  <c r="AY12" i="1"/>
  <c r="Y12" i="1"/>
  <c r="W13" i="1"/>
  <c r="Y17" i="1"/>
  <c r="AY13" i="1"/>
  <c r="D61" i="1"/>
  <c r="H70" i="1"/>
  <c r="I75" i="1"/>
  <c r="U58" i="1" s="1"/>
  <c r="G14" i="1"/>
  <c r="I12" i="1"/>
  <c r="I20" i="1" s="1"/>
  <c r="Q12" i="1"/>
  <c r="Q18" i="1" s="1"/>
  <c r="X12" i="1"/>
  <c r="Z18" i="1" s="1"/>
  <c r="K12" i="1"/>
  <c r="M18" i="1" s="1"/>
  <c r="AF12" i="1"/>
  <c r="AA18" i="1"/>
  <c r="AD12" i="1"/>
  <c r="AE20" i="1" s="1"/>
  <c r="Q13" i="1"/>
  <c r="R12" i="1"/>
  <c r="X13" i="1"/>
  <c r="J75" i="1"/>
  <c r="I69" i="1"/>
  <c r="G75" i="1"/>
  <c r="D75" i="1"/>
  <c r="H69" i="1"/>
  <c r="I81" i="1"/>
  <c r="J81" i="1"/>
  <c r="E75" i="1"/>
  <c r="AA17" i="1"/>
  <c r="J20" i="1"/>
  <c r="AD13" i="1"/>
  <c r="AF14" i="1" s="1"/>
  <c r="R13" i="1"/>
  <c r="AM13" i="1"/>
  <c r="AE12" i="1"/>
  <c r="AK13" i="1"/>
  <c r="S15" i="1"/>
  <c r="D3" i="3"/>
  <c r="C5" i="1"/>
  <c r="M17" i="1"/>
  <c r="J79" i="1"/>
  <c r="J70" i="1"/>
  <c r="F98" i="1" s="1"/>
  <c r="F99" i="1" s="1"/>
  <c r="D10" i="3"/>
  <c r="Y13" i="1"/>
  <c r="AF13" i="1"/>
  <c r="AR12" i="1"/>
  <c r="F16" i="3"/>
  <c r="D69" i="1"/>
  <c r="I10" i="3"/>
  <c r="AS13" i="1"/>
  <c r="P13" i="1"/>
  <c r="AL12" i="1"/>
  <c r="AL13" i="1"/>
  <c r="J19" i="1"/>
  <c r="L18" i="1"/>
  <c r="L19" i="1"/>
  <c r="J21" i="1"/>
  <c r="J23" i="1"/>
  <c r="J17" i="1"/>
  <c r="J22" i="1"/>
  <c r="L17" i="1"/>
  <c r="AK12" i="1"/>
  <c r="D79" i="1"/>
  <c r="E79" i="1"/>
  <c r="G80" i="1"/>
  <c r="G81" i="1" s="1"/>
  <c r="I79" i="1"/>
  <c r="E87" i="1" s="1"/>
  <c r="G79" i="1"/>
  <c r="H20" i="3"/>
  <c r="D70" i="1"/>
  <c r="E69" i="1"/>
  <c r="E70" i="1"/>
  <c r="E10" i="3"/>
  <c r="E67" i="3"/>
  <c r="X17" i="1"/>
  <c r="J18" i="1"/>
  <c r="G20" i="3" l="1"/>
  <c r="E20" i="3"/>
  <c r="AD18" i="1"/>
  <c r="AI18" i="1" s="1"/>
  <c r="AD20" i="1"/>
  <c r="AI20" i="1" s="1"/>
  <c r="L15" i="1"/>
  <c r="AW22" i="1"/>
  <c r="P20" i="1"/>
  <c r="K19" i="1"/>
  <c r="R21" i="1"/>
  <c r="I17" i="1"/>
  <c r="D92" i="1" s="1"/>
  <c r="P17" i="1"/>
  <c r="R20" i="1"/>
  <c r="R17" i="1"/>
  <c r="P18" i="1"/>
  <c r="R19" i="1"/>
  <c r="P19" i="1"/>
  <c r="Y20" i="1"/>
  <c r="K18" i="1"/>
  <c r="C40" i="1"/>
  <c r="W21" i="1"/>
  <c r="Y19" i="1"/>
  <c r="AF21" i="1"/>
  <c r="AU13" i="1"/>
  <c r="Y21" i="1"/>
  <c r="W17" i="1"/>
  <c r="AB17" i="1" s="1"/>
  <c r="R18" i="1"/>
  <c r="AM14" i="1"/>
  <c r="AD19" i="1"/>
  <c r="AF19" i="1"/>
  <c r="AE21" i="1"/>
  <c r="AI21" i="1" s="1"/>
  <c r="X20" i="1"/>
  <c r="AF17" i="1"/>
  <c r="AD21" i="1"/>
  <c r="AF18" i="1"/>
  <c r="Y18" i="1"/>
  <c r="W20" i="1"/>
  <c r="L13" i="1"/>
  <c r="K15" i="1" s="1"/>
  <c r="Z17" i="1"/>
  <c r="D81" i="1"/>
  <c r="X18" i="1"/>
  <c r="AN13" i="1"/>
  <c r="E49" i="3"/>
  <c r="E48" i="3"/>
  <c r="W19" i="1"/>
  <c r="J58" i="1"/>
  <c r="Q17" i="1"/>
  <c r="Q20" i="1"/>
  <c r="K17" i="1"/>
  <c r="I21" i="1"/>
  <c r="I22" i="1"/>
  <c r="I18" i="1"/>
  <c r="I23" i="1"/>
  <c r="K22" i="1"/>
  <c r="K21" i="1"/>
  <c r="Q21" i="1"/>
  <c r="AE18" i="1"/>
  <c r="AF20" i="1"/>
  <c r="S13" i="1"/>
  <c r="R15" i="1" s="1"/>
  <c r="M19" i="1"/>
  <c r="AE17" i="1"/>
  <c r="D87" i="1"/>
  <c r="D85" i="1" s="1"/>
  <c r="K23" i="1"/>
  <c r="I71" i="1"/>
  <c r="T58" i="1" s="1"/>
  <c r="C87" i="1" s="1"/>
  <c r="X21" i="1"/>
  <c r="AB21" i="1" s="1"/>
  <c r="X19" i="1"/>
  <c r="Q19" i="1"/>
  <c r="AD17" i="1"/>
  <c r="AE19" i="1"/>
  <c r="Z13" i="1"/>
  <c r="E47" i="3"/>
  <c r="I19" i="1"/>
  <c r="K20" i="1"/>
  <c r="N20" i="1" s="1"/>
  <c r="G16" i="3"/>
  <c r="E23" i="3" s="1"/>
  <c r="K58" i="1"/>
  <c r="K60" i="1" s="1"/>
  <c r="AG13" i="1"/>
  <c r="E85" i="1"/>
  <c r="E84" i="1"/>
  <c r="AL20" i="1"/>
  <c r="AK20" i="1"/>
  <c r="AK17" i="1"/>
  <c r="AM20" i="1"/>
  <c r="AK18" i="1"/>
  <c r="AK21" i="1"/>
  <c r="AM18" i="1"/>
  <c r="AM21" i="1"/>
  <c r="AL17" i="1"/>
  <c r="AL21" i="1"/>
  <c r="AL18" i="1"/>
  <c r="AM17" i="1"/>
  <c r="E81" i="1"/>
  <c r="Z15" i="1"/>
  <c r="D5" i="3"/>
  <c r="D5" i="1"/>
  <c r="J60" i="1"/>
  <c r="U57" i="1"/>
  <c r="D86" i="1" s="1"/>
  <c r="D15" i="3"/>
  <c r="E15" i="3"/>
  <c r="F15" i="3"/>
  <c r="AE14" i="1"/>
  <c r="AB18" i="1" l="1"/>
  <c r="AB19" i="1"/>
  <c r="AI19" i="1"/>
  <c r="U21" i="1"/>
  <c r="K14" i="1"/>
  <c r="D84" i="1"/>
  <c r="N19" i="1"/>
  <c r="G29" i="1" s="1"/>
  <c r="U20" i="1"/>
  <c r="D93" i="1"/>
  <c r="N17" i="1"/>
  <c r="N18" i="1"/>
  <c r="AB20" i="1"/>
  <c r="K29" i="1" s="1"/>
  <c r="U19" i="1"/>
  <c r="I28" i="1" s="1"/>
  <c r="U17" i="1"/>
  <c r="U18" i="1"/>
  <c r="D88" i="1"/>
  <c r="R14" i="1"/>
  <c r="N22" i="1"/>
  <c r="H71" i="1"/>
  <c r="N23" i="1"/>
  <c r="AI17" i="1"/>
  <c r="G30" i="1" s="1"/>
  <c r="N21" i="1"/>
  <c r="I27" i="1"/>
  <c r="E71" i="1"/>
  <c r="D71" i="1"/>
  <c r="C84" i="1"/>
  <c r="C85" i="1"/>
  <c r="H30" i="1"/>
  <c r="V57" i="1"/>
  <c r="E86" i="1" s="1"/>
  <c r="E88" i="1" s="1"/>
  <c r="G15" i="3"/>
  <c r="E22" i="3" s="1"/>
  <c r="AP21" i="1"/>
  <c r="U59" i="1"/>
  <c r="AP18" i="1"/>
  <c r="AP17" i="1"/>
  <c r="AP20" i="1"/>
  <c r="E71" i="3" l="1"/>
  <c r="E91" i="3" s="1"/>
  <c r="M26" i="1"/>
  <c r="N26" i="1" s="1"/>
  <c r="O26" i="1" s="1"/>
  <c r="Y26" i="1"/>
  <c r="Z26" i="1" s="1"/>
  <c r="AA26" i="1" s="1"/>
  <c r="J29" i="1"/>
  <c r="G28" i="1"/>
  <c r="H29" i="1"/>
  <c r="H27" i="1"/>
  <c r="S26" i="1"/>
  <c r="T26" i="1" s="1"/>
  <c r="U26" i="1" s="1"/>
  <c r="T57" i="1"/>
  <c r="V59" i="1"/>
  <c r="E72" i="3" s="1"/>
  <c r="J31" i="1"/>
  <c r="K30" i="1"/>
  <c r="G31" i="1"/>
  <c r="K27" i="1"/>
  <c r="J27" i="1"/>
  <c r="H31" i="1"/>
  <c r="K28" i="1"/>
  <c r="J28" i="1"/>
  <c r="E92" i="3" l="1"/>
  <c r="G86" i="3"/>
  <c r="F86" i="3"/>
  <c r="G81" i="3"/>
  <c r="F81" i="3"/>
  <c r="T59" i="1"/>
  <c r="C86" i="1"/>
  <c r="E70" i="3" l="1"/>
  <c r="E90" i="3" s="1"/>
  <c r="C88" i="1"/>
  <c r="G76" i="3" l="1"/>
  <c r="F76" i="3"/>
</calcChain>
</file>

<file path=xl/comments1.xml><?xml version="1.0" encoding="utf-8"?>
<comments xmlns="http://schemas.openxmlformats.org/spreadsheetml/2006/main">
  <authors>
    <author>mtong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辛炜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增益效果去除，平衡技能在考虑是对</t>
        </r>
        <r>
          <rPr>
            <sz val="9"/>
            <color indexed="81"/>
            <rFont val="Tahoma"/>
            <family val="2"/>
          </rPr>
          <t>A</t>
        </r>
        <r>
          <rPr>
            <sz val="9"/>
            <color indexed="81"/>
            <rFont val="宋体"/>
            <family val="3"/>
            <charset val="134"/>
          </rPr>
          <t>的效果，还是对</t>
        </r>
        <r>
          <rPr>
            <sz val="9"/>
            <color indexed="81"/>
            <rFont val="Tahoma"/>
            <family val="2"/>
          </rPr>
          <t>H,</t>
        </r>
        <r>
          <rPr>
            <sz val="9"/>
            <color indexed="81"/>
            <rFont val="宋体"/>
            <family val="3"/>
            <charset val="134"/>
          </rPr>
          <t>做属性削减即可（这样，技能时突出了倾向性，会对战斗时间有一定影响，战力平衡则不会变化）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<sst xmlns="http://schemas.openxmlformats.org/spreadsheetml/2006/main" count="463" uniqueCount="264">
  <si>
    <t>血</t>
    <phoneticPr fontId="1" type="noConversion"/>
  </si>
  <si>
    <t>攻</t>
    <phoneticPr fontId="1" type="noConversion"/>
  </si>
  <si>
    <t>防御</t>
    <phoneticPr fontId="1" type="noConversion"/>
  </si>
  <si>
    <t>T</t>
    <phoneticPr fontId="1" type="noConversion"/>
  </si>
  <si>
    <t>D</t>
    <phoneticPr fontId="1" type="noConversion"/>
  </si>
  <si>
    <t>S</t>
    <phoneticPr fontId="1" type="noConversion"/>
  </si>
  <si>
    <t>生命</t>
    <phoneticPr fontId="1" type="noConversion"/>
  </si>
  <si>
    <t>S攻</t>
    <phoneticPr fontId="1" type="noConversion"/>
  </si>
  <si>
    <t>S防</t>
    <phoneticPr fontId="1" type="noConversion"/>
  </si>
  <si>
    <t>攻增</t>
    <phoneticPr fontId="1" type="noConversion"/>
  </si>
  <si>
    <t>防增</t>
    <phoneticPr fontId="1" type="noConversion"/>
  </si>
  <si>
    <t>需要重要目标血量刨除刺杀型技能伤害（不受嘲讽影响的）</t>
    <phoneticPr fontId="1" type="noConversion"/>
  </si>
  <si>
    <t>先倒T，在倒D，最后S</t>
    <phoneticPr fontId="1" type="noConversion"/>
  </si>
  <si>
    <t>3人</t>
    <phoneticPr fontId="1" type="noConversion"/>
  </si>
  <si>
    <t>5人</t>
    <phoneticPr fontId="1" type="noConversion"/>
  </si>
  <si>
    <t>T，D，T，D，S</t>
    <phoneticPr fontId="1" type="noConversion"/>
  </si>
  <si>
    <t>攻增VS攻增</t>
    <phoneticPr fontId="1" type="noConversion"/>
  </si>
  <si>
    <t>战力</t>
    <phoneticPr fontId="1" type="noConversion"/>
  </si>
  <si>
    <t>纯防</t>
    <phoneticPr fontId="1" type="noConversion"/>
  </si>
  <si>
    <t>伤害吸引</t>
    <phoneticPr fontId="1" type="noConversion"/>
  </si>
  <si>
    <t>防增VS攻增</t>
    <phoneticPr fontId="1" type="noConversion"/>
  </si>
  <si>
    <t>纯DVS攻增</t>
    <phoneticPr fontId="1" type="noConversion"/>
  </si>
  <si>
    <t>攻增VS防增</t>
    <phoneticPr fontId="1" type="noConversion"/>
  </si>
  <si>
    <t>S加成</t>
    <phoneticPr fontId="1" type="noConversion"/>
  </si>
  <si>
    <t>DSS VS DSS</t>
    <phoneticPr fontId="1" type="noConversion"/>
  </si>
  <si>
    <t>DSSVS攻增</t>
    <phoneticPr fontId="1" type="noConversion"/>
  </si>
  <si>
    <t>纯攻</t>
    <phoneticPr fontId="1" type="noConversion"/>
  </si>
  <si>
    <t>DSS</t>
    <phoneticPr fontId="1" type="noConversion"/>
  </si>
  <si>
    <t>纯D VS DSS</t>
    <phoneticPr fontId="1" type="noConversion"/>
  </si>
  <si>
    <t>纯防VS DSS</t>
    <phoneticPr fontId="1" type="noConversion"/>
  </si>
  <si>
    <t>纯防VS防增</t>
    <phoneticPr fontId="1" type="noConversion"/>
  </si>
  <si>
    <t>纯DVS防增</t>
    <phoneticPr fontId="1" type="noConversion"/>
  </si>
  <si>
    <t>纯防VS攻增</t>
    <phoneticPr fontId="1" type="noConversion"/>
  </si>
  <si>
    <t>攻增VS纯攻</t>
    <phoneticPr fontId="1" type="noConversion"/>
  </si>
  <si>
    <t>防增VS纯攻</t>
    <phoneticPr fontId="1" type="noConversion"/>
  </si>
  <si>
    <t>纯D VS 纯攻</t>
    <phoneticPr fontId="1" type="noConversion"/>
  </si>
  <si>
    <t>纯防VS 纯攻</t>
    <phoneticPr fontId="1" type="noConversion"/>
  </si>
  <si>
    <t>攻增VS纯防</t>
    <phoneticPr fontId="1" type="noConversion"/>
  </si>
  <si>
    <t>防增VS纯防</t>
    <phoneticPr fontId="1" type="noConversion"/>
  </si>
  <si>
    <t>纯D VS 纯防</t>
    <phoneticPr fontId="1" type="noConversion"/>
  </si>
  <si>
    <t>纯防VS 纯防</t>
    <phoneticPr fontId="1" type="noConversion"/>
  </si>
  <si>
    <t>均基础</t>
    <phoneticPr fontId="1" type="noConversion"/>
  </si>
  <si>
    <t>均团</t>
    <phoneticPr fontId="1" type="noConversion"/>
  </si>
  <si>
    <t>需要整体血量刨除aoe</t>
    <phoneticPr fontId="1" type="noConversion"/>
  </si>
  <si>
    <t>DDS</t>
    <phoneticPr fontId="1" type="noConversion"/>
  </si>
  <si>
    <t>T</t>
    <phoneticPr fontId="1" type="noConversion"/>
  </si>
  <si>
    <t>D</t>
    <phoneticPr fontId="1" type="noConversion"/>
  </si>
  <si>
    <t>S</t>
    <phoneticPr fontId="1" type="noConversion"/>
  </si>
  <si>
    <t>DSSVS防增</t>
    <phoneticPr fontId="1" type="noConversion"/>
  </si>
  <si>
    <t>DDSVS防增</t>
    <phoneticPr fontId="1" type="noConversion"/>
  </si>
  <si>
    <t>DSS VS 纯攻</t>
    <phoneticPr fontId="1" type="noConversion"/>
  </si>
  <si>
    <t>DDSVS纯攻</t>
    <phoneticPr fontId="1" type="noConversion"/>
  </si>
  <si>
    <t>DSS VS 纯防</t>
    <phoneticPr fontId="1" type="noConversion"/>
  </si>
  <si>
    <t>DDSVS 纯防</t>
    <phoneticPr fontId="1" type="noConversion"/>
  </si>
  <si>
    <t>DDSVS攻增</t>
    <phoneticPr fontId="1" type="noConversion"/>
  </si>
  <si>
    <t>(纯攻击与纯防御存在明显缺陷，故之后不作考虑)</t>
    <phoneticPr fontId="1" type="noConversion"/>
  </si>
  <si>
    <t>SUM</t>
    <phoneticPr fontId="1" type="noConversion"/>
  </si>
  <si>
    <t>S</t>
    <phoneticPr fontId="1" type="noConversion"/>
  </si>
  <si>
    <t>攻增</t>
    <phoneticPr fontId="1" type="noConversion"/>
  </si>
  <si>
    <t>防增</t>
    <phoneticPr fontId="1" type="noConversion"/>
  </si>
  <si>
    <t>DSS</t>
    <phoneticPr fontId="1" type="noConversion"/>
  </si>
  <si>
    <t>/</t>
    <phoneticPr fontId="1" type="noConversion"/>
  </si>
  <si>
    <t>DDSVSDDS</t>
    <phoneticPr fontId="1" type="noConversion"/>
  </si>
  <si>
    <t>攻增VSDDS</t>
    <phoneticPr fontId="1" type="noConversion"/>
  </si>
  <si>
    <t>防增VSDDS</t>
    <phoneticPr fontId="1" type="noConversion"/>
  </si>
  <si>
    <t>DSS VS DDS</t>
    <phoneticPr fontId="1" type="noConversion"/>
  </si>
  <si>
    <t>1表示为赢</t>
    <phoneticPr fontId="1" type="noConversion"/>
  </si>
  <si>
    <t>0表示为输</t>
    <phoneticPr fontId="1" type="noConversion"/>
  </si>
  <si>
    <t>T吸收伤害的途径</t>
    <phoneticPr fontId="1" type="noConversion"/>
  </si>
  <si>
    <t>1.大招</t>
    <phoneticPr fontId="1" type="noConversion"/>
  </si>
  <si>
    <t>2.被动</t>
    <phoneticPr fontId="1" type="noConversion"/>
  </si>
  <si>
    <t>由上表可以看出目前TDS，S为防御型辅助的阵容为最强，但是这些需要建立在T能够吸收80%伤害的基础上（非AOE的伤害与非刺杀型伤害），由于目前AI自动选择为血量最少的作为目标（小怪自动集火DPS）</t>
    <phoneticPr fontId="1" type="noConversion"/>
  </si>
  <si>
    <t>由于目前AI自动选择为血量最少的作为目标（小怪自动集火DPS），定义为80%为玩家手动集火DPS时，T替DPS分担伤害后，T与DPS同时死</t>
    <phoneticPr fontId="1" type="noConversion"/>
  </si>
  <si>
    <t>物理攻击权重</t>
  </si>
  <si>
    <t>法术攻击权重</t>
  </si>
  <si>
    <t>治疗法术权重，与法术攻击权重互斥</t>
  </si>
  <si>
    <t>增益效果攻击权重</t>
  </si>
  <si>
    <t>减益效果权重，和gainWeight互斥</t>
  </si>
  <si>
    <t>防御效果权重</t>
  </si>
  <si>
    <t>有自身嘲讽buff防御的权重，与防御互斥</t>
  </si>
  <si>
    <t>对应AI系数</t>
    <phoneticPr fontId="1" type="noConversion"/>
  </si>
  <si>
    <t>AI序号</t>
    <phoneticPr fontId="1" type="noConversion"/>
  </si>
  <si>
    <t>单位：行动</t>
    <phoneticPr fontId="1" type="noConversion"/>
  </si>
  <si>
    <t>占比</t>
    <phoneticPr fontId="1" type="noConversion"/>
  </si>
  <si>
    <t>T</t>
    <phoneticPr fontId="1" type="noConversion"/>
  </si>
  <si>
    <t>以上定义的TDS属性分配为总战力分配：包括了属性、技能、AI对总战力的影响，其中技能对于战力的提升定义为固定比例，则AI会决定怪物的属性强弱（属性需要凸显出不同职业的倾向，则需要与AI平衡定）</t>
    <phoneticPr fontId="1" type="noConversion"/>
  </si>
  <si>
    <t>属性与AI占比</t>
    <phoneticPr fontId="1" type="noConversion"/>
  </si>
  <si>
    <t>D</t>
    <phoneticPr fontId="1" type="noConversion"/>
  </si>
  <si>
    <t>S</t>
    <phoneticPr fontId="1" type="noConversion"/>
  </si>
  <si>
    <t>D</t>
    <phoneticPr fontId="1" type="noConversion"/>
  </si>
  <si>
    <t>属性规划</t>
    <phoneticPr fontId="1" type="noConversion"/>
  </si>
  <si>
    <t>最终占比</t>
    <phoneticPr fontId="1" type="noConversion"/>
  </si>
  <si>
    <t>生命</t>
    <phoneticPr fontId="1" type="noConversion"/>
  </si>
  <si>
    <t>均值</t>
    <phoneticPr fontId="1" type="noConversion"/>
  </si>
  <si>
    <t>防御技能</t>
    <phoneticPr fontId="1" type="noConversion"/>
  </si>
  <si>
    <t>攻击技能</t>
    <phoneticPr fontId="1" type="noConversion"/>
  </si>
  <si>
    <t>强</t>
    <phoneticPr fontId="1" type="noConversion"/>
  </si>
  <si>
    <t>中</t>
    <phoneticPr fontId="1" type="noConversion"/>
  </si>
  <si>
    <t>弱</t>
    <phoneticPr fontId="1" type="noConversion"/>
  </si>
  <si>
    <t>物理</t>
    <phoneticPr fontId="1" type="noConversion"/>
  </si>
  <si>
    <t>法术</t>
    <phoneticPr fontId="1" type="noConversion"/>
  </si>
  <si>
    <t>防御技能价值</t>
    <phoneticPr fontId="1" type="noConversion"/>
  </si>
  <si>
    <t>战力</t>
    <phoneticPr fontId="1" type="noConversion"/>
  </si>
  <si>
    <t>减伤</t>
    <phoneticPr fontId="1" type="noConversion"/>
  </si>
  <si>
    <t>DDS（DDD）</t>
    <phoneticPr fontId="1" type="noConversion"/>
  </si>
  <si>
    <t>双S</t>
    <phoneticPr fontId="1" type="noConversion"/>
  </si>
  <si>
    <t>团队增益</t>
    <phoneticPr fontId="1" type="noConversion"/>
  </si>
  <si>
    <t>S先死丧失战力</t>
    <phoneticPr fontId="1" type="noConversion"/>
  </si>
  <si>
    <t>增益效果去除，平衡技能在考虑是对A的效果，还是对H,做属性削减即可（这样，技能时突出了倾向性，会对战斗时间有一定影响，战力平衡则不会变化）</t>
    <phoneticPr fontId="1" type="noConversion"/>
  </si>
  <si>
    <t>DPS大招类型</t>
    <phoneticPr fontId="1" type="noConversion"/>
  </si>
  <si>
    <t>提升A</t>
    <phoneticPr fontId="1" type="noConversion"/>
  </si>
  <si>
    <t>提升H</t>
    <phoneticPr fontId="1" type="noConversion"/>
  </si>
  <si>
    <t>T大招类型</t>
    <phoneticPr fontId="1" type="noConversion"/>
  </si>
  <si>
    <t>S大招类型</t>
    <phoneticPr fontId="1" type="noConversion"/>
  </si>
  <si>
    <t>大招综合提升</t>
    <phoneticPr fontId="1" type="noConversion"/>
  </si>
  <si>
    <t>被动综合提升</t>
    <phoneticPr fontId="1" type="noConversion"/>
  </si>
  <si>
    <t>技能总值</t>
    <phoneticPr fontId="1" type="noConversion"/>
  </si>
  <si>
    <t>x+y=1.1</t>
    <phoneticPr fontId="1" type="noConversion"/>
  </si>
  <si>
    <t>x=4y</t>
    <phoneticPr fontId="1" type="noConversion"/>
  </si>
  <si>
    <t>技能系数</t>
    <phoneticPr fontId="1" type="noConversion"/>
  </si>
  <si>
    <t>（需要用减益效果的权重替代增益效果）</t>
    <phoneticPr fontId="1" type="noConversion"/>
  </si>
  <si>
    <t>普通技能技能系数</t>
    <phoneticPr fontId="1" type="noConversion"/>
  </si>
  <si>
    <t>物理</t>
  </si>
  <si>
    <t>物理</t>
    <phoneticPr fontId="1" type="noConversion"/>
  </si>
  <si>
    <t>法术</t>
    <phoneticPr fontId="1" type="noConversion"/>
  </si>
  <si>
    <t>buff提升幅度</t>
    <phoneticPr fontId="1" type="noConversion"/>
  </si>
  <si>
    <t>S的覆盖率</t>
    <phoneticPr fontId="1" type="noConversion"/>
  </si>
  <si>
    <t>Buff覆盖率（团队）</t>
    <phoneticPr fontId="1" type="noConversion"/>
  </si>
  <si>
    <t>持续时间</t>
    <phoneticPr fontId="1" type="noConversion"/>
  </si>
  <si>
    <t>buff覆盖率</t>
    <phoneticPr fontId="1" type="noConversion"/>
  </si>
  <si>
    <t>T</t>
    <phoneticPr fontId="1" type="noConversion"/>
  </si>
  <si>
    <t>提升比例差异</t>
    <phoneticPr fontId="1" type="noConversion"/>
  </si>
  <si>
    <t>单体提升期望</t>
    <phoneticPr fontId="1" type="noConversion"/>
  </si>
  <si>
    <t>防增（只会提升防御力）</t>
    <phoneticPr fontId="1" type="noConversion"/>
  </si>
  <si>
    <t>使用次数</t>
    <phoneticPr fontId="1" type="noConversion"/>
  </si>
  <si>
    <t>使用概率</t>
    <phoneticPr fontId="1" type="noConversion"/>
  </si>
  <si>
    <t>持续时间内，使用buff技能次数与概率</t>
    <phoneticPr fontId="1" type="noConversion"/>
  </si>
  <si>
    <t>攻增</t>
    <phoneticPr fontId="1" type="noConversion"/>
  </si>
  <si>
    <t>buff价值</t>
    <phoneticPr fontId="1" type="noConversion"/>
  </si>
  <si>
    <t>普通技能占比</t>
    <phoneticPr fontId="1" type="noConversion"/>
  </si>
  <si>
    <t>(Buff对技能覆盖暂未考虑)</t>
    <phoneticPr fontId="1" type="noConversion"/>
  </si>
  <si>
    <t>物理技能</t>
    <phoneticPr fontId="1" type="noConversion"/>
  </si>
  <si>
    <t>单伤</t>
  </si>
  <si>
    <t>三连击</t>
    <phoneticPr fontId="1" type="noConversion"/>
  </si>
  <si>
    <t>打断价值</t>
    <phoneticPr fontId="1" type="noConversion"/>
  </si>
  <si>
    <t>物理攻击次数</t>
    <phoneticPr fontId="1" type="noConversion"/>
  </si>
  <si>
    <t>打断概率</t>
    <phoneticPr fontId="1" type="noConversion"/>
  </si>
  <si>
    <t>价值</t>
    <phoneticPr fontId="1" type="noConversion"/>
  </si>
  <si>
    <t>总价值</t>
    <phoneticPr fontId="1" type="noConversion"/>
  </si>
  <si>
    <t>打断概率</t>
    <phoneticPr fontId="1" type="noConversion"/>
  </si>
  <si>
    <t>法术技能</t>
    <phoneticPr fontId="1" type="noConversion"/>
  </si>
  <si>
    <t>根据属性克制状态分布：</t>
  </si>
  <si>
    <t>状态1</t>
  </si>
  <si>
    <t>状态2</t>
  </si>
  <si>
    <t>状态3</t>
  </si>
  <si>
    <t>效率期望</t>
  </si>
  <si>
    <t>稀有度系数</t>
  </si>
  <si>
    <t>投放参考值</t>
  </si>
  <si>
    <t>属性</t>
  </si>
  <si>
    <t>概率</t>
  </si>
  <si>
    <t>效率</t>
  </si>
  <si>
    <t>中间计算过程</t>
  </si>
  <si>
    <t>黑</t>
  </si>
  <si>
    <t>白</t>
  </si>
  <si>
    <t>红</t>
  </si>
  <si>
    <t>绿</t>
  </si>
  <si>
    <t>蓝</t>
  </si>
  <si>
    <t>平均效率</t>
    <phoneticPr fontId="1" type="noConversion"/>
  </si>
  <si>
    <t>系数低了是因为打断有价值</t>
    <phoneticPr fontId="1" type="noConversion"/>
  </si>
  <si>
    <t>TDD</t>
    <phoneticPr fontId="1" type="noConversion"/>
  </si>
  <si>
    <t>SUM</t>
    <phoneticPr fontId="1" type="noConversion"/>
  </si>
  <si>
    <t>纯D VS TDD</t>
  </si>
  <si>
    <t>纯防VS TDD</t>
  </si>
  <si>
    <t>DSS VS TDD</t>
    <phoneticPr fontId="1" type="noConversion"/>
  </si>
  <si>
    <t>TDDVS攻增</t>
    <phoneticPr fontId="1" type="noConversion"/>
  </si>
  <si>
    <t>防增VS防增</t>
    <phoneticPr fontId="1" type="noConversion"/>
  </si>
  <si>
    <t>TDDVS防增</t>
    <phoneticPr fontId="1" type="noConversion"/>
  </si>
  <si>
    <t>TDD VS TDD</t>
    <phoneticPr fontId="1" type="noConversion"/>
  </si>
  <si>
    <t>攻增VS TDD</t>
    <phoneticPr fontId="1" type="noConversion"/>
  </si>
  <si>
    <t>防增VS TDD</t>
    <phoneticPr fontId="1" type="noConversion"/>
  </si>
  <si>
    <t>DDS VS TDD</t>
    <phoneticPr fontId="1" type="noConversion"/>
  </si>
  <si>
    <t>TDD</t>
    <phoneticPr fontId="1" type="noConversion"/>
  </si>
  <si>
    <t>TDD VS DSS</t>
    <phoneticPr fontId="1" type="noConversion"/>
  </si>
  <si>
    <t>DDS VS DSS</t>
    <phoneticPr fontId="1" type="noConversion"/>
  </si>
  <si>
    <t>防增VS DSS</t>
    <phoneticPr fontId="1" type="noConversion"/>
  </si>
  <si>
    <t>攻增VS DSS</t>
    <phoneticPr fontId="1" type="noConversion"/>
  </si>
  <si>
    <t>DSS</t>
    <phoneticPr fontId="1" type="noConversion"/>
  </si>
  <si>
    <t>DDS</t>
    <phoneticPr fontId="1" type="noConversion"/>
  </si>
  <si>
    <t>/</t>
    <phoneticPr fontId="1" type="noConversion"/>
  </si>
  <si>
    <t>T死还需回合数</t>
    <phoneticPr fontId="1" type="noConversion"/>
  </si>
  <si>
    <t>D,S</t>
    <phoneticPr fontId="1" type="noConversion"/>
  </si>
  <si>
    <t>T</t>
    <phoneticPr fontId="1" type="noConversion"/>
  </si>
  <si>
    <t>T预期达到的87%嘲讽概率</t>
    <phoneticPr fontId="1" type="noConversion"/>
  </si>
  <si>
    <t>总回合数</t>
    <phoneticPr fontId="1" type="noConversion"/>
  </si>
  <si>
    <t>群嘲回合数</t>
    <phoneticPr fontId="1" type="noConversion"/>
  </si>
  <si>
    <t>被动</t>
    <phoneticPr fontId="1" type="noConversion"/>
  </si>
  <si>
    <t>大招</t>
    <phoneticPr fontId="1" type="noConversion"/>
  </si>
  <si>
    <t>攻击次数</t>
    <phoneticPr fontId="1" type="noConversion"/>
  </si>
  <si>
    <t>嘲讽概率</t>
    <phoneticPr fontId="1" type="noConversion"/>
  </si>
  <si>
    <t>嘲讽回合数</t>
    <phoneticPr fontId="1" type="noConversion"/>
  </si>
  <si>
    <t>普通技能</t>
    <phoneticPr fontId="1" type="noConversion"/>
  </si>
  <si>
    <t>防御技能能量</t>
    <phoneticPr fontId="1" type="noConversion"/>
  </si>
  <si>
    <t>能量增长</t>
    <phoneticPr fontId="1" type="noConversion"/>
  </si>
  <si>
    <t>前置技能：群体嘲讽</t>
    <phoneticPr fontId="1" type="noConversion"/>
  </si>
  <si>
    <t>回合</t>
    <phoneticPr fontId="1" type="noConversion"/>
  </si>
  <si>
    <t>能量积累</t>
    <phoneticPr fontId="1" type="noConversion"/>
  </si>
  <si>
    <t>仍需积攒1回合能量</t>
    <phoneticPr fontId="1" type="noConversion"/>
  </si>
  <si>
    <t>方式二：前置能量+大招</t>
    <phoneticPr fontId="1" type="noConversion"/>
  </si>
  <si>
    <t>前置技能：80能量</t>
    <phoneticPr fontId="1" type="noConversion"/>
  </si>
  <si>
    <t>方式三：攻击防御附带嘲讽+大招</t>
    <phoneticPr fontId="1" type="noConversion"/>
  </si>
  <si>
    <t>方式一：前置被动+大招</t>
    <phoneticPr fontId="1" type="noConversion"/>
  </si>
  <si>
    <t>受伤比比例</t>
    <phoneticPr fontId="1" type="noConversion"/>
  </si>
  <si>
    <t>D大招价值</t>
    <phoneticPr fontId="1" type="noConversion"/>
  </si>
  <si>
    <t>S大招价值</t>
    <phoneticPr fontId="1" type="noConversion"/>
  </si>
  <si>
    <t>T大招价值</t>
    <phoneticPr fontId="1" type="noConversion"/>
  </si>
  <si>
    <t>T</t>
    <phoneticPr fontId="1" type="noConversion"/>
  </si>
  <si>
    <t>H</t>
    <phoneticPr fontId="1" type="noConversion"/>
  </si>
  <si>
    <t>A</t>
    <phoneticPr fontId="1" type="noConversion"/>
  </si>
  <si>
    <t>H权重</t>
    <phoneticPr fontId="1" type="noConversion"/>
  </si>
  <si>
    <t>A权重</t>
    <phoneticPr fontId="1" type="noConversion"/>
  </si>
  <si>
    <t>D</t>
    <phoneticPr fontId="1" type="noConversion"/>
  </si>
  <si>
    <t>S</t>
    <phoneticPr fontId="1" type="noConversion"/>
  </si>
  <si>
    <t>被动</t>
    <phoneticPr fontId="1" type="noConversion"/>
  </si>
  <si>
    <t>T被动价值</t>
    <phoneticPr fontId="1" type="noConversion"/>
  </si>
  <si>
    <t>D被动价值</t>
    <phoneticPr fontId="1" type="noConversion"/>
  </si>
  <si>
    <t>S被动价值</t>
    <phoneticPr fontId="1" type="noConversion"/>
  </si>
  <si>
    <t>Dot覆盖率</t>
    <phoneticPr fontId="1" type="noConversion"/>
  </si>
  <si>
    <t>单次dot伤害</t>
    <phoneticPr fontId="1" type="noConversion"/>
  </si>
  <si>
    <t>持续行动</t>
    <phoneticPr fontId="1" type="noConversion"/>
  </si>
  <si>
    <t>溢出伤害</t>
    <phoneticPr fontId="1" type="noConversion"/>
  </si>
  <si>
    <t>致死回合数</t>
    <phoneticPr fontId="1" type="noConversion"/>
  </si>
  <si>
    <t>D</t>
    <phoneticPr fontId="1" type="noConversion"/>
  </si>
  <si>
    <t>S</t>
    <phoneticPr fontId="1" type="noConversion"/>
  </si>
  <si>
    <t>不会溢出回合</t>
    <phoneticPr fontId="1" type="noConversion"/>
  </si>
  <si>
    <t>溢出回合数</t>
    <phoneticPr fontId="1" type="noConversion"/>
  </si>
  <si>
    <t>概率</t>
    <phoneticPr fontId="1" type="noConversion"/>
  </si>
  <si>
    <t>溢出回合数</t>
    <phoneticPr fontId="1" type="noConversion"/>
  </si>
  <si>
    <t>均值</t>
    <phoneticPr fontId="1" type="noConversion"/>
  </si>
  <si>
    <t>dot溢出提升倍数</t>
    <phoneticPr fontId="1" type="noConversion"/>
  </si>
  <si>
    <t>调整系数</t>
    <phoneticPr fontId="1" type="noConversion"/>
  </si>
  <si>
    <t>属性相克带来的系数加成（法术技能优势）</t>
    <phoneticPr fontId="1" type="noConversion"/>
  </si>
  <si>
    <t>（打断带来的削减）</t>
    <phoneticPr fontId="1" type="noConversion"/>
  </si>
  <si>
    <t>剩余的价值靠buff、加血或驱散等对团队覆盖的提升补充</t>
    <phoneticPr fontId="1" type="noConversion"/>
  </si>
  <si>
    <t>（通过S对团队H/A加成，补齐S自身的匮乏）</t>
    <phoneticPr fontId="1" type="noConversion"/>
  </si>
  <si>
    <t>治疗</t>
    <phoneticPr fontId="1" type="noConversion"/>
  </si>
  <si>
    <t>T承担伤害比例</t>
    <phoneticPr fontId="1" type="noConversion"/>
  </si>
  <si>
    <t>治疗技能价值提升比例</t>
    <phoneticPr fontId="1" type="noConversion"/>
  </si>
  <si>
    <t>治疗系数</t>
    <phoneticPr fontId="1" type="noConversion"/>
  </si>
  <si>
    <t>Hot</t>
    <phoneticPr fontId="1" type="noConversion"/>
  </si>
  <si>
    <t>持续回合数</t>
    <phoneticPr fontId="1" type="noConversion"/>
  </si>
  <si>
    <t>控制</t>
    <phoneticPr fontId="1" type="noConversion"/>
  </si>
  <si>
    <t>减免护盾</t>
    <phoneticPr fontId="1" type="noConversion"/>
  </si>
  <si>
    <t>生命护盾</t>
    <phoneticPr fontId="1" type="noConversion"/>
  </si>
  <si>
    <t>T</t>
    <phoneticPr fontId="1" type="noConversion"/>
  </si>
  <si>
    <t>D</t>
    <phoneticPr fontId="1" type="noConversion"/>
  </si>
  <si>
    <t>S</t>
    <phoneticPr fontId="1" type="noConversion"/>
  </si>
  <si>
    <t>持续回合</t>
    <phoneticPr fontId="1" type="noConversion"/>
  </si>
  <si>
    <t>均值</t>
    <phoneticPr fontId="1" type="noConversion"/>
  </si>
  <si>
    <t>设计思路：眩晕避免了敌方单个目标伤害,提升了团队的H</t>
    <phoneticPr fontId="1" type="noConversion"/>
  </si>
  <si>
    <t>团队H增益战力</t>
    <phoneticPr fontId="1" type="noConversion"/>
  </si>
  <si>
    <t>减免系数</t>
    <phoneticPr fontId="1" type="noConversion"/>
  </si>
  <si>
    <t>价值</t>
    <phoneticPr fontId="1" type="noConversion"/>
  </si>
  <si>
    <t>A属性占比</t>
    <phoneticPr fontId="1" type="noConversion"/>
  </si>
  <si>
    <t>提升的H属性技能系数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</si>
</sst>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.000000000000000%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8" tint="0.3999755851924192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9" fontId="2" fillId="2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2" fillId="0" borderId="2" xfId="0" applyFont="1" applyFill="1" applyBorder="1">
      <alignment vertical="center"/>
    </xf>
    <xf numFmtId="0" fontId="2" fillId="0" borderId="1" xfId="0" applyFont="1" applyFill="1" applyBorder="1">
      <alignment vertical="center"/>
    </xf>
    <xf numFmtId="10" fontId="2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0" applyFont="1">
      <alignment vertical="center"/>
    </xf>
    <xf numFmtId="9" fontId="5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0" fontId="6" fillId="2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9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1" applyFont="1" applyFill="1">
      <alignment vertical="center"/>
    </xf>
    <xf numFmtId="0" fontId="2" fillId="3" borderId="0" xfId="0" applyFont="1" applyFill="1">
      <alignment vertical="center"/>
    </xf>
    <xf numFmtId="0" fontId="13" fillId="0" borderId="0" xfId="1" applyFont="1" applyFill="1">
      <alignment vertical="center"/>
    </xf>
    <xf numFmtId="0" fontId="14" fillId="0" borderId="0" xfId="0" applyFont="1">
      <alignment vertical="center"/>
    </xf>
    <xf numFmtId="0" fontId="15" fillId="0" borderId="1" xfId="0" applyFont="1" applyFill="1" applyBorder="1">
      <alignment vertical="center"/>
    </xf>
    <xf numFmtId="0" fontId="2" fillId="4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0" fontId="12" fillId="2" borderId="0" xfId="1" applyFont="1" applyFill="1">
      <alignment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14" fillId="0" borderId="0" xfId="0" applyFont="1" applyFill="1">
      <alignment vertical="center"/>
    </xf>
    <xf numFmtId="178" fontId="2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638175</xdr:colOff>
      <xdr:row>24</xdr:row>
      <xdr:rowOff>190500</xdr:rowOff>
    </xdr:from>
    <xdr:ext cx="466794" cy="334451"/>
    <xdr:sp macro="" textlink="">
      <xdr:nvSpPr>
        <xdr:cNvPr id="2" name="文本框 1"/>
        <xdr:cNvSpPr txBox="1"/>
      </xdr:nvSpPr>
      <xdr:spPr>
        <a:xfrm>
          <a:off x="4752975" y="4800600"/>
          <a:ext cx="46679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攻方</a:t>
          </a:r>
        </a:p>
      </xdr:txBody>
    </xdr:sp>
    <xdr:clientData/>
  </xdr:oneCellAnchor>
  <xdr:oneCellAnchor>
    <xdr:from>
      <xdr:col>5</xdr:col>
      <xdr:colOff>304800</xdr:colOff>
      <xdr:row>24</xdr:row>
      <xdr:rowOff>133350</xdr:rowOff>
    </xdr:from>
    <xdr:ext cx="466794" cy="334451"/>
    <xdr:sp macro="" textlink="">
      <xdr:nvSpPr>
        <xdr:cNvPr id="3" name="文本框 2"/>
        <xdr:cNvSpPr txBox="1"/>
      </xdr:nvSpPr>
      <xdr:spPr>
        <a:xfrm>
          <a:off x="3733800" y="4743450"/>
          <a:ext cx="46679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守方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08"/>
  <sheetViews>
    <sheetView topLeftCell="A52" zoomScale="85" zoomScaleNormal="85" workbookViewId="0">
      <selection activeCell="H48" sqref="H48"/>
    </sheetView>
  </sheetViews>
  <sheetFormatPr defaultRowHeight="16.5" x14ac:dyDescent="0.15"/>
  <cols>
    <col min="1" max="2" width="9" style="1"/>
    <col min="3" max="3" width="9.5" style="1" bestFit="1" customWidth="1"/>
    <col min="4" max="4" width="9.75" style="1" bestFit="1" customWidth="1"/>
    <col min="5" max="6" width="24.375" style="1" bestFit="1" customWidth="1"/>
    <col min="7" max="7" width="9" style="1"/>
    <col min="8" max="8" width="11.625" style="1" customWidth="1"/>
    <col min="9" max="9" width="24.375" style="1" bestFit="1" customWidth="1"/>
    <col min="10" max="14" width="9" style="1"/>
    <col min="15" max="15" width="11.75" style="1" bestFit="1" customWidth="1"/>
    <col min="16" max="18" width="9" style="1"/>
    <col min="19" max="19" width="9.875" style="1" bestFit="1" customWidth="1"/>
    <col min="20" max="21" width="9" style="1"/>
    <col min="22" max="22" width="15" style="1" bestFit="1" customWidth="1"/>
    <col min="23" max="28" width="9" style="1"/>
    <col min="29" max="29" width="12.625" style="1" bestFit="1" customWidth="1"/>
    <col min="30" max="42" width="9" style="1"/>
    <col min="43" max="43" width="11.75" style="1" bestFit="1" customWidth="1"/>
    <col min="44" max="47" width="9" style="1"/>
    <col min="48" max="48" width="12.875" style="1" bestFit="1" customWidth="1"/>
    <col min="49" max="16384" width="9" style="1"/>
  </cols>
  <sheetData>
    <row r="2" spans="2:51" x14ac:dyDescent="0.15">
      <c r="B2" s="1" t="s">
        <v>23</v>
      </c>
      <c r="D2" s="1" t="s">
        <v>106</v>
      </c>
    </row>
    <row r="3" spans="2:51" x14ac:dyDescent="0.15">
      <c r="B3" s="3" t="s">
        <v>9</v>
      </c>
      <c r="C3" s="4">
        <f>1+D3</f>
        <v>1.8</v>
      </c>
      <c r="D3" s="19">
        <v>0.8</v>
      </c>
    </row>
    <row r="4" spans="2:51" x14ac:dyDescent="0.15">
      <c r="B4" s="3" t="s">
        <v>10</v>
      </c>
      <c r="C4" s="4">
        <f>1+D4</f>
        <v>1.8</v>
      </c>
      <c r="D4" s="19">
        <v>0.8</v>
      </c>
      <c r="AD4" s="3"/>
    </row>
    <row r="5" spans="2:51" x14ac:dyDescent="0.15">
      <c r="B5" s="3" t="s">
        <v>105</v>
      </c>
      <c r="C5" s="4">
        <f>C3*C4</f>
        <v>3.24</v>
      </c>
      <c r="D5" s="12">
        <f>C5-1</f>
        <v>2.2400000000000002</v>
      </c>
      <c r="AD5" s="3"/>
    </row>
    <row r="6" spans="2:51" x14ac:dyDescent="0.15">
      <c r="I6" s="3"/>
      <c r="AD6" s="3"/>
    </row>
    <row r="7" spans="2:51" x14ac:dyDescent="0.15">
      <c r="I7" s="38" t="s">
        <v>9</v>
      </c>
      <c r="J7" s="38"/>
      <c r="K7" s="38"/>
      <c r="L7" s="6"/>
      <c r="M7" s="6"/>
      <c r="N7" s="6"/>
      <c r="P7" s="38" t="s">
        <v>10</v>
      </c>
      <c r="Q7" s="38"/>
      <c r="R7" s="38"/>
      <c r="S7" s="6"/>
      <c r="T7" s="6"/>
      <c r="U7" s="6"/>
      <c r="V7" s="21"/>
      <c r="W7" s="39" t="s">
        <v>169</v>
      </c>
      <c r="X7" s="39"/>
      <c r="Y7" s="39"/>
      <c r="Z7" s="21"/>
      <c r="AA7" s="21"/>
      <c r="AB7" s="21"/>
      <c r="AD7" s="38" t="s">
        <v>27</v>
      </c>
      <c r="AE7" s="38"/>
      <c r="AF7" s="38"/>
      <c r="AG7" s="6"/>
      <c r="AH7" s="6"/>
      <c r="AI7" s="6"/>
      <c r="AJ7" s="6"/>
      <c r="AK7" s="38" t="s">
        <v>44</v>
      </c>
      <c r="AL7" s="38"/>
      <c r="AM7" s="38"/>
      <c r="AN7" s="6"/>
      <c r="AO7" s="6"/>
      <c r="AP7" s="6"/>
      <c r="AR7" s="38" t="s">
        <v>26</v>
      </c>
      <c r="AS7" s="38"/>
      <c r="AT7" s="38"/>
      <c r="AU7" s="6"/>
      <c r="AW7" s="38" t="s">
        <v>18</v>
      </c>
      <c r="AX7" s="38"/>
      <c r="AY7" s="38"/>
    </row>
    <row r="8" spans="2:51" x14ac:dyDescent="0.15">
      <c r="C8" s="2" t="s">
        <v>41</v>
      </c>
      <c r="D8" s="2" t="s">
        <v>42</v>
      </c>
      <c r="E8" s="2" t="s">
        <v>3</v>
      </c>
      <c r="F8" s="2" t="s">
        <v>4</v>
      </c>
      <c r="G8" s="2" t="s">
        <v>5</v>
      </c>
      <c r="H8" s="2" t="s">
        <v>93</v>
      </c>
      <c r="I8" s="2" t="s">
        <v>3</v>
      </c>
      <c r="J8" s="2" t="s">
        <v>4</v>
      </c>
      <c r="K8" s="2" t="s">
        <v>7</v>
      </c>
      <c r="L8" s="2"/>
      <c r="M8" s="2"/>
      <c r="N8" s="2"/>
      <c r="P8" s="2" t="s">
        <v>3</v>
      </c>
      <c r="Q8" s="2" t="s">
        <v>4</v>
      </c>
      <c r="R8" s="2" t="s">
        <v>8</v>
      </c>
      <c r="S8" s="2"/>
      <c r="T8" s="2"/>
      <c r="U8" s="2"/>
      <c r="V8" s="2"/>
      <c r="W8" s="2" t="s">
        <v>3</v>
      </c>
      <c r="X8" s="2" t="s">
        <v>4</v>
      </c>
      <c r="Y8" s="2" t="s">
        <v>46</v>
      </c>
      <c r="Z8" s="2"/>
      <c r="AA8" s="2"/>
      <c r="AB8" s="2"/>
      <c r="AC8" s="2"/>
      <c r="AD8" s="2" t="s">
        <v>4</v>
      </c>
      <c r="AE8" s="2" t="s">
        <v>7</v>
      </c>
      <c r="AF8" s="2" t="s">
        <v>8</v>
      </c>
      <c r="AG8" s="2"/>
      <c r="AH8" s="2"/>
      <c r="AI8" s="2"/>
      <c r="AJ8" s="2"/>
      <c r="AK8" s="2" t="s">
        <v>4</v>
      </c>
      <c r="AL8" s="2" t="s">
        <v>4</v>
      </c>
      <c r="AM8" s="2" t="s">
        <v>8</v>
      </c>
      <c r="AN8" s="2"/>
      <c r="AO8" s="2"/>
      <c r="AP8" s="2"/>
      <c r="AR8" s="2" t="s">
        <v>4</v>
      </c>
      <c r="AS8" s="2" t="s">
        <v>4</v>
      </c>
      <c r="AT8" s="2" t="s">
        <v>4</v>
      </c>
      <c r="AU8" s="2"/>
    </row>
    <row r="9" spans="2:51" x14ac:dyDescent="0.15">
      <c r="B9" s="3" t="s">
        <v>0</v>
      </c>
      <c r="C9" s="1">
        <v>4</v>
      </c>
      <c r="D9" s="1">
        <f>C9</f>
        <v>4</v>
      </c>
      <c r="E9" s="17">
        <v>5</v>
      </c>
      <c r="F9" s="17">
        <v>2</v>
      </c>
      <c r="G9" s="17">
        <v>3</v>
      </c>
      <c r="H9" s="20">
        <f>AVERAGE(E9:G9)*3/2</f>
        <v>5</v>
      </c>
      <c r="I9" s="4">
        <f>E9</f>
        <v>5</v>
      </c>
      <c r="J9" s="4">
        <f>F9</f>
        <v>2</v>
      </c>
      <c r="K9" s="4">
        <f>G9</f>
        <v>3</v>
      </c>
      <c r="L9" s="4"/>
      <c r="M9" s="5"/>
      <c r="N9" s="5"/>
      <c r="O9" s="3" t="s">
        <v>0</v>
      </c>
      <c r="P9" s="4">
        <f>E9</f>
        <v>5</v>
      </c>
      <c r="Q9" s="4">
        <f t="shared" ref="Q9:R9" si="0">F9</f>
        <v>2</v>
      </c>
      <c r="R9" s="4">
        <f t="shared" si="0"/>
        <v>3</v>
      </c>
      <c r="S9" s="4"/>
      <c r="T9" s="5"/>
      <c r="U9" s="5"/>
      <c r="V9" s="3" t="s">
        <v>0</v>
      </c>
      <c r="W9" s="4">
        <f>E9</f>
        <v>5</v>
      </c>
      <c r="X9" s="4">
        <f>F9</f>
        <v>2</v>
      </c>
      <c r="Y9" s="4">
        <f>F9</f>
        <v>2</v>
      </c>
      <c r="Z9" s="4"/>
      <c r="AA9" s="5"/>
      <c r="AB9" s="5"/>
      <c r="AC9" s="3" t="s">
        <v>0</v>
      </c>
      <c r="AD9" s="4">
        <f>F9</f>
        <v>2</v>
      </c>
      <c r="AE9" s="4">
        <f>G9</f>
        <v>3</v>
      </c>
      <c r="AF9" s="4">
        <f>G9</f>
        <v>3</v>
      </c>
      <c r="AG9" s="4"/>
      <c r="AH9" s="5"/>
      <c r="AI9" s="5"/>
      <c r="AJ9" s="3" t="s">
        <v>0</v>
      </c>
      <c r="AK9" s="4">
        <f>F9</f>
        <v>2</v>
      </c>
      <c r="AL9" s="4">
        <f>F9</f>
        <v>2</v>
      </c>
      <c r="AM9" s="4">
        <f>G9</f>
        <v>3</v>
      </c>
      <c r="AN9" s="4"/>
      <c r="AO9" s="5"/>
      <c r="AP9" s="5"/>
      <c r="AQ9" s="3" t="s">
        <v>0</v>
      </c>
      <c r="AR9" s="4">
        <f>F9</f>
        <v>2</v>
      </c>
      <c r="AS9" s="4">
        <f>F9</f>
        <v>2</v>
      </c>
      <c r="AT9" s="4">
        <f>F9</f>
        <v>2</v>
      </c>
      <c r="AU9" s="4"/>
      <c r="AV9" s="3" t="s">
        <v>0</v>
      </c>
      <c r="AW9" s="4">
        <f>E9</f>
        <v>5</v>
      </c>
      <c r="AX9" s="4">
        <f>E9</f>
        <v>5</v>
      </c>
      <c r="AY9" s="4">
        <f>E9</f>
        <v>5</v>
      </c>
    </row>
    <row r="10" spans="2:51" x14ac:dyDescent="0.15">
      <c r="B10" s="3" t="s">
        <v>2</v>
      </c>
      <c r="C10" s="1">
        <v>1.5</v>
      </c>
      <c r="D10" s="1">
        <f>C10*(1+D4)</f>
        <v>2.7</v>
      </c>
      <c r="E10" s="17">
        <v>2.64</v>
      </c>
      <c r="F10" s="17">
        <v>1</v>
      </c>
      <c r="G10" s="17">
        <v>1</v>
      </c>
      <c r="H10" s="20">
        <f>AVERAGE(E10:G10)*3/2</f>
        <v>2.3200000000000003</v>
      </c>
      <c r="I10" s="4">
        <f t="shared" ref="I10" si="1">E10</f>
        <v>2.64</v>
      </c>
      <c r="J10" s="4">
        <f>F10</f>
        <v>1</v>
      </c>
      <c r="K10" s="4">
        <f>G10</f>
        <v>1</v>
      </c>
      <c r="L10" s="4"/>
      <c r="M10" s="5"/>
      <c r="N10" s="5"/>
      <c r="O10" s="3" t="s">
        <v>2</v>
      </c>
      <c r="P10" s="4">
        <f>E10*(1+$D$4)</f>
        <v>4.7520000000000007</v>
      </c>
      <c r="Q10" s="4">
        <f>F10*(1+$D$4)</f>
        <v>1.8</v>
      </c>
      <c r="R10" s="4">
        <f>G10*(1+$D$4)</f>
        <v>1.8</v>
      </c>
      <c r="S10" s="4"/>
      <c r="T10" s="5"/>
      <c r="U10" s="5"/>
      <c r="V10" s="3" t="s">
        <v>2</v>
      </c>
      <c r="W10" s="4">
        <f t="shared" ref="W10:W11" si="2">E10</f>
        <v>2.64</v>
      </c>
      <c r="X10" s="4">
        <f t="shared" ref="X10:X11" si="3">F10</f>
        <v>1</v>
      </c>
      <c r="Y10" s="4">
        <f t="shared" ref="Y10:Y11" si="4">F10</f>
        <v>1</v>
      </c>
      <c r="Z10" s="4"/>
      <c r="AA10" s="5"/>
      <c r="AB10" s="5"/>
      <c r="AC10" s="3" t="s">
        <v>2</v>
      </c>
      <c r="AD10" s="4">
        <f>F10*(1+$D$4)</f>
        <v>1.8</v>
      </c>
      <c r="AE10" s="4">
        <f>G10*(1+$D$4)</f>
        <v>1.8</v>
      </c>
      <c r="AF10" s="4">
        <f>G10*(1+$D$4)</f>
        <v>1.8</v>
      </c>
      <c r="AG10" s="4"/>
      <c r="AH10" s="5"/>
      <c r="AI10" s="5"/>
      <c r="AJ10" s="3" t="s">
        <v>2</v>
      </c>
      <c r="AK10" s="4">
        <f>F10*(1+$D$4)</f>
        <v>1.8</v>
      </c>
      <c r="AL10" s="4">
        <f>F10*(1+$D$4)</f>
        <v>1.8</v>
      </c>
      <c r="AM10" s="4">
        <f>G10*(1+$D$4)</f>
        <v>1.8</v>
      </c>
      <c r="AN10" s="4"/>
      <c r="AO10" s="5"/>
      <c r="AP10" s="5"/>
      <c r="AQ10" s="3" t="s">
        <v>2</v>
      </c>
      <c r="AR10" s="4">
        <f>F10</f>
        <v>1</v>
      </c>
      <c r="AS10" s="4">
        <f>F10</f>
        <v>1</v>
      </c>
      <c r="AT10" s="4">
        <f>F10</f>
        <v>1</v>
      </c>
      <c r="AU10" s="4"/>
      <c r="AV10" s="3" t="s">
        <v>2</v>
      </c>
      <c r="AW10" s="4">
        <f>E10</f>
        <v>2.64</v>
      </c>
      <c r="AX10" s="4">
        <f>E10</f>
        <v>2.64</v>
      </c>
      <c r="AY10" s="4">
        <f>E10</f>
        <v>2.64</v>
      </c>
    </row>
    <row r="11" spans="2:51" x14ac:dyDescent="0.15">
      <c r="B11" s="3" t="s">
        <v>1</v>
      </c>
      <c r="C11" s="1">
        <v>1</v>
      </c>
      <c r="D11" s="1">
        <f>C11*D3</f>
        <v>0.8</v>
      </c>
      <c r="E11" s="17">
        <v>0.3</v>
      </c>
      <c r="F11" s="17">
        <v>2</v>
      </c>
      <c r="G11" s="17">
        <v>0.25</v>
      </c>
      <c r="H11" s="20">
        <f>AVERAGE(E11:G11)*3/2</f>
        <v>1.2749999999999999</v>
      </c>
      <c r="I11" s="4">
        <f>E11*(1+$D$3)</f>
        <v>0.54</v>
      </c>
      <c r="J11" s="4">
        <f>F11*(1+$D$3)</f>
        <v>3.6</v>
      </c>
      <c r="K11" s="4">
        <f>G11*(1+$D$3)</f>
        <v>0.45</v>
      </c>
      <c r="L11" s="4"/>
      <c r="M11" s="5"/>
      <c r="N11" s="5"/>
      <c r="O11" s="3" t="s">
        <v>1</v>
      </c>
      <c r="P11" s="4">
        <f>E11</f>
        <v>0.3</v>
      </c>
      <c r="Q11" s="4">
        <f>F11</f>
        <v>2</v>
      </c>
      <c r="R11" s="4">
        <f>G11</f>
        <v>0.25</v>
      </c>
      <c r="S11" s="4"/>
      <c r="T11" s="5"/>
      <c r="U11" s="5"/>
      <c r="V11" s="3" t="s">
        <v>1</v>
      </c>
      <c r="W11" s="4">
        <f t="shared" si="2"/>
        <v>0.3</v>
      </c>
      <c r="X11" s="4">
        <f t="shared" si="3"/>
        <v>2</v>
      </c>
      <c r="Y11" s="4">
        <f t="shared" si="4"/>
        <v>2</v>
      </c>
      <c r="Z11" s="4"/>
      <c r="AA11" s="5"/>
      <c r="AB11" s="5"/>
      <c r="AC11" s="3" t="s">
        <v>1</v>
      </c>
      <c r="AD11" s="4">
        <f>F11*(1+$D$3)</f>
        <v>3.6</v>
      </c>
      <c r="AE11" s="4">
        <f>G11*(1+$D$3)</f>
        <v>0.45</v>
      </c>
      <c r="AF11" s="4">
        <f>G11*(1+$D$3)</f>
        <v>0.45</v>
      </c>
      <c r="AG11" s="4"/>
      <c r="AH11" s="5"/>
      <c r="AI11" s="5"/>
      <c r="AJ11" s="3" t="s">
        <v>1</v>
      </c>
      <c r="AK11" s="4">
        <f>F11</f>
        <v>2</v>
      </c>
      <c r="AL11" s="4">
        <f>F11</f>
        <v>2</v>
      </c>
      <c r="AM11" s="4">
        <f>G11</f>
        <v>0.25</v>
      </c>
      <c r="AN11" s="4"/>
      <c r="AO11" s="5"/>
      <c r="AP11" s="5"/>
      <c r="AQ11" s="3" t="s">
        <v>1</v>
      </c>
      <c r="AR11" s="4">
        <f>F11</f>
        <v>2</v>
      </c>
      <c r="AS11" s="4">
        <f>F11</f>
        <v>2</v>
      </c>
      <c r="AT11" s="4">
        <f>F11</f>
        <v>2</v>
      </c>
      <c r="AU11" s="4"/>
      <c r="AV11" s="3" t="s">
        <v>1</v>
      </c>
      <c r="AW11" s="4">
        <f>E11</f>
        <v>0.3</v>
      </c>
      <c r="AX11" s="4">
        <f>E11</f>
        <v>0.3</v>
      </c>
      <c r="AY11" s="4">
        <f>E11</f>
        <v>0.3</v>
      </c>
    </row>
    <row r="12" spans="2:51" x14ac:dyDescent="0.15">
      <c r="B12" s="3" t="s">
        <v>6</v>
      </c>
      <c r="C12" s="4">
        <f>C10*C9</f>
        <v>6</v>
      </c>
      <c r="D12" s="4"/>
      <c r="E12" s="4">
        <f>E10*E9</f>
        <v>13.200000000000001</v>
      </c>
      <c r="F12" s="4">
        <f>F10*F9</f>
        <v>2</v>
      </c>
      <c r="G12" s="4">
        <f>G10*G9</f>
        <v>3</v>
      </c>
      <c r="I12" s="4">
        <f>I10*I9</f>
        <v>13.200000000000001</v>
      </c>
      <c r="J12" s="4">
        <f>J10*J9</f>
        <v>2</v>
      </c>
      <c r="K12" s="4">
        <f>K10*K9</f>
        <v>3</v>
      </c>
      <c r="L12" s="4"/>
      <c r="M12" s="5"/>
      <c r="N12" s="5"/>
      <c r="O12" s="3" t="s">
        <v>6</v>
      </c>
      <c r="P12" s="4">
        <f>P10*P9</f>
        <v>23.760000000000005</v>
      </c>
      <c r="Q12" s="4">
        <f>Q10*Q9</f>
        <v>3.6</v>
      </c>
      <c r="R12" s="4">
        <f>R10*R9</f>
        <v>5.4</v>
      </c>
      <c r="S12" s="4"/>
      <c r="T12" s="5"/>
      <c r="U12" s="5"/>
      <c r="V12" s="3" t="s">
        <v>6</v>
      </c>
      <c r="W12" s="4">
        <f>W10*W9</f>
        <v>13.200000000000001</v>
      </c>
      <c r="X12" s="4">
        <f>X10*X9</f>
        <v>2</v>
      </c>
      <c r="Y12" s="4">
        <f>Y10*Y9</f>
        <v>2</v>
      </c>
      <c r="Z12" s="4"/>
      <c r="AA12" s="5"/>
      <c r="AB12" s="5"/>
      <c r="AC12" s="3" t="s">
        <v>6</v>
      </c>
      <c r="AD12" s="4">
        <f>AD10*AD9</f>
        <v>3.6</v>
      </c>
      <c r="AE12" s="4">
        <f>AE10*AE9</f>
        <v>5.4</v>
      </c>
      <c r="AF12" s="4">
        <f>AF10*AF9</f>
        <v>5.4</v>
      </c>
      <c r="AG12" s="4"/>
      <c r="AH12" s="5"/>
      <c r="AI12" s="5"/>
      <c r="AJ12" s="3" t="s">
        <v>6</v>
      </c>
      <c r="AK12" s="4">
        <f>AK10*AK9</f>
        <v>3.6</v>
      </c>
      <c r="AL12" s="4">
        <f>AL10*AL9</f>
        <v>3.6</v>
      </c>
      <c r="AM12" s="4">
        <f>AM10*AM9</f>
        <v>5.4</v>
      </c>
      <c r="AN12" s="4"/>
      <c r="AO12" s="5"/>
      <c r="AP12" s="5"/>
      <c r="AQ12" s="3" t="s">
        <v>6</v>
      </c>
      <c r="AR12" s="4">
        <f>AR10*AR9</f>
        <v>2</v>
      </c>
      <c r="AS12" s="4">
        <f>AS10*AS9</f>
        <v>2</v>
      </c>
      <c r="AT12" s="4">
        <f>AT10*AT9</f>
        <v>2</v>
      </c>
      <c r="AU12" s="4"/>
      <c r="AV12" s="3" t="s">
        <v>6</v>
      </c>
      <c r="AW12" s="4">
        <f>AW10*AW9</f>
        <v>13.200000000000001</v>
      </c>
      <c r="AX12" s="4">
        <f>AX10*AX9</f>
        <v>13.200000000000001</v>
      </c>
      <c r="AY12" s="4">
        <f>AY10*AY9</f>
        <v>13.200000000000001</v>
      </c>
    </row>
    <row r="13" spans="2:51" x14ac:dyDescent="0.15">
      <c r="B13" s="3" t="s">
        <v>17</v>
      </c>
      <c r="C13" s="4">
        <f>C9*C11*C10</f>
        <v>6</v>
      </c>
      <c r="D13" s="4"/>
      <c r="E13" s="4">
        <f>E9*E11*E10</f>
        <v>3.96</v>
      </c>
      <c r="F13" s="4">
        <f>F9*F11*F10</f>
        <v>4</v>
      </c>
      <c r="G13" s="4">
        <f>G9*G11*G10</f>
        <v>0.75</v>
      </c>
      <c r="I13" s="4">
        <f>I9*I11*I10</f>
        <v>7.128000000000001</v>
      </c>
      <c r="J13" s="4">
        <f>J9*J11*J10</f>
        <v>7.2</v>
      </c>
      <c r="K13" s="4">
        <f>K9*K11*K10</f>
        <v>1.35</v>
      </c>
      <c r="L13" s="4">
        <f>SUM(I13:K13)</f>
        <v>15.678000000000001</v>
      </c>
      <c r="M13" s="5"/>
      <c r="N13" s="5"/>
      <c r="O13" s="3" t="s">
        <v>17</v>
      </c>
      <c r="P13" s="4">
        <f>P9*P11*P10</f>
        <v>7.128000000000001</v>
      </c>
      <c r="Q13" s="4">
        <f>Q9*Q11*Q10</f>
        <v>7.2</v>
      </c>
      <c r="R13" s="4">
        <f>R9*R11*R10</f>
        <v>1.35</v>
      </c>
      <c r="S13" s="4">
        <f>SUM(P13:R13)</f>
        <v>15.678000000000001</v>
      </c>
      <c r="T13" s="5"/>
      <c r="U13" s="5"/>
      <c r="V13" s="3" t="s">
        <v>17</v>
      </c>
      <c r="W13" s="4">
        <f>W9*W11*W10</f>
        <v>3.96</v>
      </c>
      <c r="X13" s="4">
        <f>X9*X11*X10</f>
        <v>4</v>
      </c>
      <c r="Y13" s="4">
        <f>Y9*Y11*Y10</f>
        <v>4</v>
      </c>
      <c r="Z13" s="4">
        <f>SUM(W13:Y13)</f>
        <v>11.96</v>
      </c>
      <c r="AA13" s="5"/>
      <c r="AB13" s="5"/>
      <c r="AC13" s="3" t="s">
        <v>17</v>
      </c>
      <c r="AD13" s="4">
        <f>AD9*AD11*AD10</f>
        <v>12.96</v>
      </c>
      <c r="AE13" s="4">
        <f>AE9*AE11*AE10</f>
        <v>2.4300000000000002</v>
      </c>
      <c r="AF13" s="4">
        <f>AF9*AF11*AF10</f>
        <v>2.4300000000000002</v>
      </c>
      <c r="AG13" s="4">
        <f>SUM(AD13:AF13)</f>
        <v>17.82</v>
      </c>
      <c r="AH13" s="5"/>
      <c r="AI13" s="5"/>
      <c r="AJ13" s="3" t="s">
        <v>17</v>
      </c>
      <c r="AK13" s="4">
        <f>AK9*AK11*AK10</f>
        <v>7.2</v>
      </c>
      <c r="AL13" s="4">
        <f>AL9*AL11*AL10</f>
        <v>7.2</v>
      </c>
      <c r="AM13" s="4">
        <f>AM9*AM11*AM10</f>
        <v>1.35</v>
      </c>
      <c r="AN13" s="4">
        <f>SUM(AK13:AM13)</f>
        <v>15.75</v>
      </c>
      <c r="AO13" s="5"/>
      <c r="AP13" s="5"/>
      <c r="AQ13" s="3" t="s">
        <v>17</v>
      </c>
      <c r="AR13" s="4">
        <f>AR9*AR11*AR10</f>
        <v>4</v>
      </c>
      <c r="AS13" s="4">
        <f t="shared" ref="AS13:AT13" si="5">AS9*AS11*AS10</f>
        <v>4</v>
      </c>
      <c r="AT13" s="4">
        <f t="shared" si="5"/>
        <v>4</v>
      </c>
      <c r="AU13" s="4">
        <f>SUM(AR13:AT13)</f>
        <v>12</v>
      </c>
      <c r="AV13" s="3" t="s">
        <v>17</v>
      </c>
      <c r="AW13" s="4">
        <f>AW9*AW10*AW11</f>
        <v>3.96</v>
      </c>
      <c r="AX13" s="4">
        <f t="shared" ref="AX13:AY13" si="6">AX9*AX10*AX11</f>
        <v>3.96</v>
      </c>
      <c r="AY13" s="4">
        <f t="shared" si="6"/>
        <v>3.96</v>
      </c>
    </row>
    <row r="14" spans="2:51" x14ac:dyDescent="0.15">
      <c r="B14" s="3"/>
      <c r="C14" s="4"/>
      <c r="D14" s="4"/>
      <c r="E14" s="4"/>
      <c r="F14" s="4"/>
      <c r="G14" s="4">
        <f>((F13/G13)/3)-1</f>
        <v>0.77777777777777768</v>
      </c>
      <c r="I14" s="4"/>
      <c r="J14" s="4" t="s">
        <v>107</v>
      </c>
      <c r="K14" s="4">
        <f>(L13-$E$13-$F$13)</f>
        <v>7.718</v>
      </c>
      <c r="L14" s="4"/>
      <c r="M14" s="5"/>
      <c r="N14" s="5"/>
      <c r="P14" s="4"/>
      <c r="Q14" s="4" t="s">
        <v>107</v>
      </c>
      <c r="R14" s="4">
        <f>S13-$E$13-$F$13</f>
        <v>7.718</v>
      </c>
      <c r="S14" s="4"/>
      <c r="T14" s="5"/>
      <c r="U14" s="5"/>
      <c r="V14" s="5"/>
      <c r="W14" s="4"/>
      <c r="X14" s="4"/>
      <c r="Y14" s="4"/>
      <c r="Z14" s="4"/>
      <c r="AA14" s="5"/>
      <c r="AB14" s="5"/>
      <c r="AD14" s="4"/>
      <c r="AE14" s="4">
        <f>AD13-Q13+AF13</f>
        <v>8.1900000000000013</v>
      </c>
      <c r="AF14" s="4">
        <f>AD13-J13+AE13</f>
        <v>8.1900000000000013</v>
      </c>
      <c r="AG14" s="4"/>
      <c r="AH14" s="5"/>
      <c r="AI14" s="5"/>
      <c r="AJ14" s="5"/>
      <c r="AK14" s="4"/>
      <c r="AL14" s="4" t="s">
        <v>107</v>
      </c>
      <c r="AM14" s="4">
        <f>(AK13-F13)*2+AM13</f>
        <v>7.75</v>
      </c>
      <c r="AN14" s="4"/>
      <c r="AO14" s="5"/>
      <c r="AP14" s="5"/>
      <c r="AR14" s="4"/>
      <c r="AS14" s="4"/>
      <c r="AT14" s="4"/>
      <c r="AU14" s="4"/>
      <c r="AW14" s="4"/>
      <c r="AX14" s="4"/>
      <c r="AY14" s="4"/>
    </row>
    <row r="15" spans="2:51" s="5" customFormat="1" x14ac:dyDescent="0.15">
      <c r="B15" s="8"/>
      <c r="G15" s="4">
        <f>(E13-G13)/E13</f>
        <v>0.81060606060606055</v>
      </c>
      <c r="K15" s="4">
        <f>(L13-$I$13-$F$13)</f>
        <v>4.5500000000000007</v>
      </c>
      <c r="L15" s="30">
        <f>J13+K13</f>
        <v>8.5500000000000007</v>
      </c>
      <c r="R15" s="4">
        <f>S13-$P$13-$F$13</f>
        <v>4.5500000000000007</v>
      </c>
      <c r="S15" s="30">
        <f>Q13+R13</f>
        <v>8.5500000000000007</v>
      </c>
      <c r="Z15" s="30">
        <f>X13+Y13</f>
        <v>8</v>
      </c>
    </row>
    <row r="16" spans="2:51" s="5" customFormat="1" x14ac:dyDescent="0.15">
      <c r="B16" s="8"/>
      <c r="I16" s="8" t="s">
        <v>45</v>
      </c>
      <c r="J16" s="8" t="s">
        <v>46</v>
      </c>
      <c r="K16" s="8" t="s">
        <v>45</v>
      </c>
      <c r="L16" s="8" t="s">
        <v>46</v>
      </c>
      <c r="M16" s="8" t="s">
        <v>47</v>
      </c>
      <c r="N16" s="8" t="s">
        <v>56</v>
      </c>
      <c r="P16" s="8" t="s">
        <v>45</v>
      </c>
      <c r="Q16" s="8" t="s">
        <v>46</v>
      </c>
      <c r="R16" s="8" t="s">
        <v>45</v>
      </c>
      <c r="S16" s="8" t="s">
        <v>46</v>
      </c>
      <c r="T16" s="8" t="s">
        <v>47</v>
      </c>
      <c r="U16" s="8" t="s">
        <v>56</v>
      </c>
      <c r="V16" s="8"/>
      <c r="W16" s="8" t="s">
        <v>3</v>
      </c>
      <c r="X16" s="8" t="s">
        <v>46</v>
      </c>
      <c r="Y16" s="8" t="s">
        <v>3</v>
      </c>
      <c r="Z16" s="8" t="s">
        <v>46</v>
      </c>
      <c r="AA16" s="8" t="s">
        <v>46</v>
      </c>
      <c r="AB16" s="8" t="s">
        <v>170</v>
      </c>
      <c r="AD16" s="8" t="s">
        <v>4</v>
      </c>
      <c r="AE16" s="8" t="s">
        <v>46</v>
      </c>
      <c r="AF16" s="8" t="s">
        <v>4</v>
      </c>
      <c r="AG16" s="8" t="s">
        <v>57</v>
      </c>
      <c r="AH16" s="8" t="s">
        <v>47</v>
      </c>
      <c r="AI16" s="8" t="s">
        <v>56</v>
      </c>
      <c r="AK16" s="8" t="s">
        <v>4</v>
      </c>
      <c r="AL16" s="8" t="s">
        <v>46</v>
      </c>
      <c r="AM16" s="8" t="s">
        <v>4</v>
      </c>
      <c r="AN16" s="8" t="s">
        <v>46</v>
      </c>
      <c r="AO16" s="8" t="s">
        <v>47</v>
      </c>
      <c r="AP16" s="8" t="s">
        <v>56</v>
      </c>
    </row>
    <row r="17" spans="1:49" s="5" customFormat="1" x14ac:dyDescent="0.15">
      <c r="A17" s="5" t="s">
        <v>13</v>
      </c>
      <c r="B17" s="5" t="s">
        <v>12</v>
      </c>
      <c r="G17" s="5" t="s">
        <v>82</v>
      </c>
      <c r="H17" s="5" t="s">
        <v>16</v>
      </c>
      <c r="I17" s="4">
        <f>I12/SUM(I11:K11)*3</f>
        <v>8.6274509803921546</v>
      </c>
      <c r="J17" s="4">
        <f>J12/SUM(I11:K11)*3</f>
        <v>1.3071895424836599</v>
      </c>
      <c r="K17" s="4">
        <f>(I12/SUM(I11:K11)*3)</f>
        <v>8.6274509803921546</v>
      </c>
      <c r="L17" s="4">
        <f>J12/SUM(J11:K11)*2</f>
        <v>0.98765432098765438</v>
      </c>
      <c r="M17" s="4">
        <f>K12/SUM(K11)*1</f>
        <v>6.6666666666666661</v>
      </c>
      <c r="N17" s="4">
        <f>I17+J17+K17</f>
        <v>18.562091503267968</v>
      </c>
      <c r="O17" s="5" t="s">
        <v>22</v>
      </c>
      <c r="P17" s="4">
        <f>P12/SUM(I11:K11)*3</f>
        <v>15.529411764705884</v>
      </c>
      <c r="Q17" s="4">
        <f>Q12/SUM(I11:K11)*3</f>
        <v>2.3529411764705879</v>
      </c>
      <c r="R17" s="4">
        <f>P12/SUM(I11:K11)*3</f>
        <v>15.529411764705884</v>
      </c>
      <c r="S17" s="4"/>
      <c r="T17" s="4"/>
      <c r="U17" s="30">
        <f>P17+Q17+R17</f>
        <v>33.411764705882355</v>
      </c>
      <c r="V17" s="5" t="s">
        <v>178</v>
      </c>
      <c r="W17" s="4">
        <f>W12/SUM(I11:K11)*3</f>
        <v>8.6274509803921546</v>
      </c>
      <c r="X17" s="4">
        <f>X12/SUM(I11:K11)*3</f>
        <v>1.3071895424836599</v>
      </c>
      <c r="Y17" s="4">
        <f>W12/SUM(I11:K11)*3</f>
        <v>8.6274509803921546</v>
      </c>
      <c r="Z17" s="4">
        <f>X12/SUM(J11:K11)*2</f>
        <v>0.98765432098765438</v>
      </c>
      <c r="AA17" s="4">
        <f>Y12/SUM(K11)*1</f>
        <v>4.4444444444444446</v>
      </c>
      <c r="AB17" s="30">
        <f>W17+X17+Y17</f>
        <v>18.562091503267968</v>
      </c>
      <c r="AC17" s="5" t="s">
        <v>185</v>
      </c>
      <c r="AD17" s="4">
        <f>AD12/SUM(I11:K11)*3</f>
        <v>2.3529411764705879</v>
      </c>
      <c r="AE17" s="4">
        <f>AD12/SUM(I11:K11)*3</f>
        <v>2.3529411764705879</v>
      </c>
      <c r="AF17" s="4">
        <f>AD12/SUM(I11:K11)*3</f>
        <v>2.3529411764705879</v>
      </c>
      <c r="AG17" s="4"/>
      <c r="AH17" s="4"/>
      <c r="AI17" s="4">
        <f>AD17+AE17+AF17</f>
        <v>7.0588235294117636</v>
      </c>
      <c r="AJ17" s="5" t="s">
        <v>63</v>
      </c>
      <c r="AK17" s="4">
        <f>AK12/SUM(I11:K11)*3</f>
        <v>2.3529411764705879</v>
      </c>
      <c r="AL17" s="4">
        <f>AK12/SUM(I11:K11)*3</f>
        <v>2.3529411764705879</v>
      </c>
      <c r="AM17" s="4">
        <f>AK12/SUM(I11:K11)*3</f>
        <v>2.3529411764705879</v>
      </c>
      <c r="AN17" s="4"/>
      <c r="AO17" s="4"/>
      <c r="AP17" s="4">
        <f>AK17+AL17+AM17</f>
        <v>7.0588235294117636</v>
      </c>
      <c r="AQ17" s="5" t="s">
        <v>33</v>
      </c>
      <c r="AV17" s="5" t="s">
        <v>37</v>
      </c>
    </row>
    <row r="18" spans="1:49" s="5" customFormat="1" x14ac:dyDescent="0.15">
      <c r="A18" s="5" t="s">
        <v>14</v>
      </c>
      <c r="B18" s="5" t="s">
        <v>15</v>
      </c>
      <c r="H18" s="5" t="s">
        <v>20</v>
      </c>
      <c r="I18" s="4">
        <f>I12/SUM(P11:R11)*3</f>
        <v>15.529411764705886</v>
      </c>
      <c r="J18" s="4">
        <f>J12/SUM(P11:R11)*3</f>
        <v>2.3529411764705888</v>
      </c>
      <c r="K18" s="4">
        <f>(I12/SUM(P11:R11))*3</f>
        <v>15.529411764705886</v>
      </c>
      <c r="L18" s="4">
        <f>J12/SUM(Q11:R11)*2</f>
        <v>1.7777777777777777</v>
      </c>
      <c r="M18" s="4">
        <f>K12/SUM(R11)*1</f>
        <v>12</v>
      </c>
      <c r="N18" s="30">
        <f>I18+J18+K18</f>
        <v>33.411764705882362</v>
      </c>
      <c r="O18" s="5" t="s">
        <v>175</v>
      </c>
      <c r="P18" s="4">
        <f>P12/SUM(P11:R11)*3</f>
        <v>27.952941176470596</v>
      </c>
      <c r="Q18" s="4">
        <f>+Q12/SUM(P11:R11)*3</f>
        <v>4.2352941176470589</v>
      </c>
      <c r="R18" s="4">
        <f>(P12/SUM(P11:R11))*3</f>
        <v>27.952941176470596</v>
      </c>
      <c r="S18" s="4"/>
      <c r="T18" s="4"/>
      <c r="U18" s="4">
        <f t="shared" ref="U18:U21" si="7">P18+Q18+R18</f>
        <v>60.141176470588249</v>
      </c>
      <c r="V18" s="5" t="s">
        <v>179</v>
      </c>
      <c r="W18" s="4">
        <f>W12/SUM(P11:R11)*3</f>
        <v>15.529411764705886</v>
      </c>
      <c r="X18" s="4">
        <f>+X12/SUM(P11:R11)*3</f>
        <v>2.3529411764705888</v>
      </c>
      <c r="Y18" s="4">
        <f>(W12/SUM(P11:R11))*3</f>
        <v>15.529411764705886</v>
      </c>
      <c r="Z18" s="4">
        <f>X12/SUM(Q11:R11)*2</f>
        <v>1.7777777777777777</v>
      </c>
      <c r="AA18" s="4">
        <f>Y12/SUM(R11)*1</f>
        <v>8</v>
      </c>
      <c r="AB18" s="30">
        <f t="shared" ref="AB18:AB21" si="8">W18+X18+Y18</f>
        <v>33.411764705882362</v>
      </c>
      <c r="AC18" s="5" t="s">
        <v>184</v>
      </c>
      <c r="AD18" s="4">
        <f>AD12/SUM(P11:R11)*3</f>
        <v>4.2352941176470589</v>
      </c>
      <c r="AE18" s="4">
        <f>AD12/SUM(P11:R11)*3</f>
        <v>4.2352941176470589</v>
      </c>
      <c r="AF18" s="4">
        <f>AD12/SUM(P11:R11)*3</f>
        <v>4.2352941176470589</v>
      </c>
      <c r="AG18" s="4"/>
      <c r="AH18" s="4"/>
      <c r="AI18" s="4">
        <f t="shared" ref="AI18:AI21" si="9">AD18+AE18+AF18</f>
        <v>12.705882352941178</v>
      </c>
      <c r="AJ18" s="5" t="s">
        <v>64</v>
      </c>
      <c r="AK18" s="4">
        <f>AK12/SUM(P11:R11)*3</f>
        <v>4.2352941176470589</v>
      </c>
      <c r="AL18" s="4">
        <f>AK12/SUM(P11:R11)*3</f>
        <v>4.2352941176470589</v>
      </c>
      <c r="AM18" s="4">
        <f>AK12/SUM(P11:R11)*3</f>
        <v>4.2352941176470589</v>
      </c>
      <c r="AN18" s="4"/>
      <c r="AO18" s="4"/>
      <c r="AP18" s="4">
        <f t="shared" ref="AP18:AP21" si="10">AK18+AL18+AM18</f>
        <v>12.705882352941178</v>
      </c>
      <c r="AQ18" s="5" t="s">
        <v>34</v>
      </c>
      <c r="AV18" s="5" t="s">
        <v>38</v>
      </c>
    </row>
    <row r="19" spans="1:49" s="5" customFormat="1" x14ac:dyDescent="0.15">
      <c r="H19" s="5" t="s">
        <v>174</v>
      </c>
      <c r="I19" s="4">
        <f>I12/SUM(W11:Y11)*3</f>
        <v>9.2093023255813975</v>
      </c>
      <c r="J19" s="4">
        <f>+J12/SUM(W11:Y11)*3</f>
        <v>1.3953488372093024</v>
      </c>
      <c r="K19" s="4">
        <f>(I12/SUM(W11:Y11))*3</f>
        <v>9.2093023255813975</v>
      </c>
      <c r="L19" s="4">
        <f>J12/SUM(X11:Y11)*2</f>
        <v>1</v>
      </c>
      <c r="M19" s="4">
        <f>K12/SUM(Y11)*2</f>
        <v>3</v>
      </c>
      <c r="N19" s="30">
        <f>I19+J19+K19</f>
        <v>19.8139534883721</v>
      </c>
      <c r="O19" s="5" t="s">
        <v>176</v>
      </c>
      <c r="P19" s="4">
        <f>P12/SUM(W11:Y11)*3</f>
        <v>16.576744186046518</v>
      </c>
      <c r="Q19" s="4">
        <f>+Q12/SUM(W11:Y11)*3</f>
        <v>2.5116279069767442</v>
      </c>
      <c r="R19" s="4">
        <f>(P12/SUM(W11:Y11))*3</f>
        <v>16.576744186046518</v>
      </c>
      <c r="S19" s="4"/>
      <c r="T19" s="4"/>
      <c r="U19" s="30">
        <f>P19+Q19+R19</f>
        <v>35.665116279069778</v>
      </c>
      <c r="V19" s="5" t="s">
        <v>177</v>
      </c>
      <c r="W19" s="4">
        <f>W12/SUM(W11:Y11)*3</f>
        <v>9.2093023255813975</v>
      </c>
      <c r="X19" s="4">
        <f>+X12/SUM(W11:Y11)*3</f>
        <v>1.3953488372093024</v>
      </c>
      <c r="Y19" s="4">
        <f>(W12/SUM(W11:Y11))*3</f>
        <v>9.2093023255813975</v>
      </c>
      <c r="Z19" s="4"/>
      <c r="AA19" s="4"/>
      <c r="AB19" s="4">
        <f t="shared" si="8"/>
        <v>19.8139534883721</v>
      </c>
      <c r="AC19" s="5" t="s">
        <v>182</v>
      </c>
      <c r="AD19" s="4">
        <f>AD12/SUM(W11:Y11)*3</f>
        <v>2.5116279069767442</v>
      </c>
      <c r="AE19" s="4">
        <f>AD12/SUM(W11:Y11)*3</f>
        <v>2.5116279069767442</v>
      </c>
      <c r="AF19" s="4">
        <f>AD12/SUM(W11:Y11)*3</f>
        <v>2.5116279069767442</v>
      </c>
      <c r="AG19" s="4"/>
      <c r="AH19" s="4"/>
      <c r="AI19" s="4">
        <f t="shared" si="9"/>
        <v>7.5348837209302326</v>
      </c>
      <c r="AK19" s="4"/>
      <c r="AL19" s="4"/>
      <c r="AM19" s="4"/>
      <c r="AN19" s="4"/>
      <c r="AO19" s="4"/>
      <c r="AP19" s="4"/>
    </row>
    <row r="20" spans="1:49" s="5" customFormat="1" x14ac:dyDescent="0.15">
      <c r="B20" s="5" t="s">
        <v>55</v>
      </c>
      <c r="H20" s="5" t="s">
        <v>25</v>
      </c>
      <c r="I20" s="4">
        <f>I12/SUM(AD11:AF11)*3</f>
        <v>8.8000000000000007</v>
      </c>
      <c r="J20" s="4">
        <f>J12/SUM(AD11:AF11)*3</f>
        <v>1.3333333333333333</v>
      </c>
      <c r="K20" s="4">
        <f>I12/SUM(AD11:AF11)*3</f>
        <v>8.8000000000000007</v>
      </c>
      <c r="L20" s="4"/>
      <c r="M20" s="4"/>
      <c r="N20" s="4">
        <f t="shared" ref="N20:N23" si="11">I20+J20+K20</f>
        <v>18.933333333333337</v>
      </c>
      <c r="O20" s="5" t="s">
        <v>48</v>
      </c>
      <c r="P20" s="4">
        <f>P12/SUM(AD11:AF11)*3</f>
        <v>15.840000000000003</v>
      </c>
      <c r="Q20" s="4">
        <f>Q12/SUM(AD11:AF11)*3</f>
        <v>2.4000000000000004</v>
      </c>
      <c r="R20" s="4">
        <f>P12/SUM(AD11:AF11)*3</f>
        <v>15.840000000000003</v>
      </c>
      <c r="S20" s="4"/>
      <c r="T20" s="4"/>
      <c r="U20" s="4">
        <f t="shared" si="7"/>
        <v>34.080000000000005</v>
      </c>
      <c r="V20" s="5" t="s">
        <v>173</v>
      </c>
      <c r="W20" s="4">
        <f>W12/SUM(AD11:AF11)*3</f>
        <v>8.8000000000000007</v>
      </c>
      <c r="X20" s="4">
        <f>X12/SUM(AD11:AF11)*3</f>
        <v>1.3333333333333333</v>
      </c>
      <c r="Y20" s="4">
        <f>W12/SUM(AD11:AF11)*3</f>
        <v>8.8000000000000007</v>
      </c>
      <c r="Z20" s="4"/>
      <c r="AA20" s="4"/>
      <c r="AB20" s="4">
        <f t="shared" si="8"/>
        <v>18.933333333333337</v>
      </c>
      <c r="AC20" s="5" t="s">
        <v>24</v>
      </c>
      <c r="AD20" s="4">
        <f>AD12/SUM(AD11:AF11)*3</f>
        <v>2.4000000000000004</v>
      </c>
      <c r="AE20" s="4">
        <f>AD12/SUM(AD11:AF11)*3</f>
        <v>2.4000000000000004</v>
      </c>
      <c r="AF20" s="4">
        <f>AD12/SUM(AD11:AF11)*3</f>
        <v>2.4000000000000004</v>
      </c>
      <c r="AG20" s="4"/>
      <c r="AH20" s="4"/>
      <c r="AI20" s="4">
        <f t="shared" si="9"/>
        <v>7.2000000000000011</v>
      </c>
      <c r="AJ20" s="5" t="s">
        <v>65</v>
      </c>
      <c r="AK20" s="4">
        <f>AK12/SUM(AD11:AF11)*3</f>
        <v>2.4000000000000004</v>
      </c>
      <c r="AL20" s="4">
        <f>AK12/SUM(AD11:AF11)*3</f>
        <v>2.4000000000000004</v>
      </c>
      <c r="AM20" s="4">
        <f>AK12/SUM(AD11:AF11)*3</f>
        <v>2.4000000000000004</v>
      </c>
      <c r="AN20" s="4"/>
      <c r="AO20" s="4"/>
      <c r="AP20" s="4">
        <f>AK20+AL20+AM20</f>
        <v>7.2000000000000011</v>
      </c>
      <c r="AQ20" s="5" t="s">
        <v>50</v>
      </c>
      <c r="AV20" s="5" t="s">
        <v>52</v>
      </c>
    </row>
    <row r="21" spans="1:49" s="5" customFormat="1" x14ac:dyDescent="0.15">
      <c r="H21" s="5" t="s">
        <v>54</v>
      </c>
      <c r="I21" s="4">
        <f>I12/SUM(AK11:AM11)*3</f>
        <v>9.3176470588235301</v>
      </c>
      <c r="J21" s="4">
        <f>J12/SUM(AK11:AM11)*3</f>
        <v>1.4117647058823528</v>
      </c>
      <c r="K21" s="4">
        <f>I12/SUM(AK11:AM11)*3</f>
        <v>9.3176470588235301</v>
      </c>
      <c r="L21" s="4"/>
      <c r="M21" s="4"/>
      <c r="N21" s="4">
        <f t="shared" si="11"/>
        <v>20.047058823529412</v>
      </c>
      <c r="O21" s="5" t="s">
        <v>49</v>
      </c>
      <c r="P21" s="4">
        <f>P12/SUM(AK11:AM11)*3</f>
        <v>16.771764705882354</v>
      </c>
      <c r="Q21" s="4">
        <f>Q12/SUM(AK11:AM11)*3</f>
        <v>2.5411764705882351</v>
      </c>
      <c r="R21" s="4">
        <f>P12/SUM(AK11:AM11)*3</f>
        <v>16.771764705882354</v>
      </c>
      <c r="S21" s="4"/>
      <c r="T21" s="4"/>
      <c r="U21" s="4">
        <f t="shared" si="7"/>
        <v>36.084705882352942</v>
      </c>
      <c r="V21" s="5" t="s">
        <v>180</v>
      </c>
      <c r="W21" s="4">
        <f>W12/SUM(AK11:AM11)*3</f>
        <v>9.3176470588235301</v>
      </c>
      <c r="X21" s="4">
        <f>X12/SUM(AR11:AT11)*3</f>
        <v>1</v>
      </c>
      <c r="Y21" s="4">
        <f>W12/SUM(AR11:AT11)*3</f>
        <v>6.6000000000000005</v>
      </c>
      <c r="Z21" s="4"/>
      <c r="AA21" s="4"/>
      <c r="AB21" s="4">
        <f t="shared" si="8"/>
        <v>16.91764705882353</v>
      </c>
      <c r="AC21" s="5" t="s">
        <v>183</v>
      </c>
      <c r="AD21" s="4">
        <f>AD12/SUM(AK11:AM11)*3</f>
        <v>2.5411764705882351</v>
      </c>
      <c r="AE21" s="4">
        <f>AD12/SUM(AK11:AM11)*3</f>
        <v>2.5411764705882351</v>
      </c>
      <c r="AF21" s="4">
        <f>AD12/SUM(AK11:AM11)*3</f>
        <v>2.5411764705882351</v>
      </c>
      <c r="AG21" s="4"/>
      <c r="AH21" s="4"/>
      <c r="AI21" s="4">
        <f t="shared" si="9"/>
        <v>7.6235294117647054</v>
      </c>
      <c r="AJ21" s="5" t="s">
        <v>62</v>
      </c>
      <c r="AK21" s="4">
        <f>AK12/SUM(AK11:AM11)*3</f>
        <v>2.5411764705882351</v>
      </c>
      <c r="AL21" s="4">
        <f>AK12/SUM(AK11:AM11)*3</f>
        <v>2.5411764705882351</v>
      </c>
      <c r="AM21" s="4">
        <f>AK12/SUM(AK11:AM11)*3</f>
        <v>2.5411764705882351</v>
      </c>
      <c r="AN21" s="4"/>
      <c r="AO21" s="4"/>
      <c r="AP21" s="4">
        <f t="shared" si="10"/>
        <v>7.6235294117647054</v>
      </c>
      <c r="AQ21" s="5" t="s">
        <v>51</v>
      </c>
      <c r="AV21" s="5" t="s">
        <v>53</v>
      </c>
    </row>
    <row r="22" spans="1:49" s="5" customFormat="1" x14ac:dyDescent="0.15">
      <c r="H22" s="5" t="s">
        <v>21</v>
      </c>
      <c r="I22" s="4">
        <f>I12/SUM(AR11:AT11)*3</f>
        <v>6.6000000000000005</v>
      </c>
      <c r="J22" s="4">
        <f>J12/SUM(AR11:AT11)*3</f>
        <v>1</v>
      </c>
      <c r="K22" s="4">
        <f>I12/SUM(AR11:AT11)*3</f>
        <v>6.6000000000000005</v>
      </c>
      <c r="L22" s="4"/>
      <c r="M22" s="4"/>
      <c r="N22" s="4">
        <f t="shared" si="11"/>
        <v>14.200000000000001</v>
      </c>
      <c r="O22" s="5" t="s">
        <v>31</v>
      </c>
      <c r="P22" s="4"/>
      <c r="Q22" s="4"/>
      <c r="R22" s="4"/>
      <c r="S22" s="4"/>
      <c r="T22" s="4"/>
      <c r="U22" s="4"/>
      <c r="V22" s="5" t="s">
        <v>171</v>
      </c>
      <c r="W22" s="4"/>
      <c r="X22" s="4"/>
      <c r="Y22" s="4"/>
      <c r="Z22" s="4"/>
      <c r="AA22" s="4"/>
      <c r="AB22" s="4"/>
      <c r="AC22" s="5" t="s">
        <v>28</v>
      </c>
      <c r="AD22" s="4"/>
      <c r="AE22" s="4"/>
      <c r="AF22" s="4"/>
      <c r="AG22" s="4"/>
      <c r="AH22" s="4"/>
      <c r="AI22" s="4"/>
      <c r="AJ22" s="5" t="s">
        <v>35</v>
      </c>
      <c r="AK22" s="4"/>
      <c r="AL22" s="4"/>
      <c r="AM22" s="4"/>
      <c r="AN22" s="4"/>
      <c r="AO22" s="4"/>
      <c r="AP22" s="4"/>
      <c r="AQ22" s="5" t="s">
        <v>35</v>
      </c>
      <c r="AV22" s="5" t="s">
        <v>39</v>
      </c>
      <c r="AW22" s="5">
        <f>AW12/SUM(AW11:AY11)*3+AX12/SUM(AX11:AY11)*2+(AY11/AY12)</f>
        <v>88.02272727272728</v>
      </c>
    </row>
    <row r="23" spans="1:49" s="5" customFormat="1" x14ac:dyDescent="0.15">
      <c r="H23" s="5" t="s">
        <v>32</v>
      </c>
      <c r="I23" s="4">
        <f>I12/SUM(AW11:AY11)*3</f>
        <v>44.000000000000007</v>
      </c>
      <c r="J23" s="4">
        <f>J12/SUM(AW11:AY11)*3</f>
        <v>6.666666666666667</v>
      </c>
      <c r="K23" s="4">
        <f>I12/SUM(AW11:AY11)*3</f>
        <v>44.000000000000007</v>
      </c>
      <c r="L23" s="4"/>
      <c r="M23" s="4"/>
      <c r="N23" s="4">
        <f t="shared" si="11"/>
        <v>94.666666666666686</v>
      </c>
      <c r="O23" s="5" t="s">
        <v>30</v>
      </c>
      <c r="P23" s="4"/>
      <c r="Q23" s="4"/>
      <c r="R23" s="4"/>
      <c r="S23" s="4"/>
      <c r="T23" s="4"/>
      <c r="U23" s="4"/>
      <c r="V23" s="5" t="s">
        <v>172</v>
      </c>
      <c r="W23" s="4"/>
      <c r="X23" s="4"/>
      <c r="Y23" s="4"/>
      <c r="Z23" s="4"/>
      <c r="AA23" s="4"/>
      <c r="AB23" s="4"/>
      <c r="AC23" s="5" t="s">
        <v>29</v>
      </c>
      <c r="AD23" s="4"/>
      <c r="AE23" s="4"/>
      <c r="AF23" s="4"/>
      <c r="AG23" s="4"/>
      <c r="AH23" s="4"/>
      <c r="AI23" s="4"/>
      <c r="AJ23" s="5" t="s">
        <v>36</v>
      </c>
      <c r="AK23" s="4"/>
      <c r="AL23" s="4"/>
      <c r="AM23" s="4"/>
      <c r="AN23" s="4"/>
      <c r="AO23" s="4"/>
      <c r="AP23" s="4"/>
      <c r="AQ23" s="5" t="s">
        <v>36</v>
      </c>
      <c r="AV23" s="5" t="s">
        <v>40</v>
      </c>
    </row>
    <row r="24" spans="1:49" s="5" customFormat="1" x14ac:dyDescent="0.15">
      <c r="AD24" s="9"/>
      <c r="AE24" s="8"/>
      <c r="AF24" s="8"/>
      <c r="AG24" s="8"/>
      <c r="AH24" s="8"/>
    </row>
    <row r="25" spans="1:49" s="5" customFormat="1" x14ac:dyDescent="0.15">
      <c r="O25" s="5" t="s">
        <v>189</v>
      </c>
      <c r="U25" s="5" t="s">
        <v>189</v>
      </c>
      <c r="AA25" s="5" t="s">
        <v>189</v>
      </c>
    </row>
    <row r="26" spans="1:49" s="5" customFormat="1" x14ac:dyDescent="0.15">
      <c r="B26" s="5" t="s">
        <v>66</v>
      </c>
      <c r="F26" s="10"/>
      <c r="G26" s="11" t="s">
        <v>58</v>
      </c>
      <c r="H26" s="11" t="s">
        <v>59</v>
      </c>
      <c r="I26" s="11" t="s">
        <v>181</v>
      </c>
      <c r="J26" s="29" t="s">
        <v>186</v>
      </c>
      <c r="K26" s="29" t="s">
        <v>187</v>
      </c>
      <c r="L26" s="5" t="s">
        <v>174</v>
      </c>
      <c r="M26" s="5">
        <f>(N19-AB17)</f>
        <v>1.2518619851041315</v>
      </c>
      <c r="N26" s="5">
        <f>M26/N19*I12</f>
        <v>0.83398692810458319</v>
      </c>
      <c r="O26" s="5">
        <f>(N26/SUM(X11:Y11))*2</f>
        <v>0.4169934640522916</v>
      </c>
      <c r="R26" s="5" t="s">
        <v>176</v>
      </c>
      <c r="S26" s="5">
        <f>(U19-AB18)</f>
        <v>2.2533515731874161</v>
      </c>
      <c r="T26" s="5">
        <f>S26/R19*P12</f>
        <v>3.2298039215686294</v>
      </c>
      <c r="U26" s="5">
        <f>(T26/SUM(X11:Y11))*2</f>
        <v>1.6149019607843147</v>
      </c>
      <c r="X26" s="5" t="s">
        <v>178</v>
      </c>
      <c r="Y26" s="5">
        <f>(AB17-N19)</f>
        <v>-1.2518619851041315</v>
      </c>
      <c r="Z26" s="5">
        <f>Y26/AB17*W12</f>
        <v>-0.89023255813954405</v>
      </c>
      <c r="AA26" s="5">
        <f>(Z26/SUM(J11:K11))*2</f>
        <v>-0.43962101636520695</v>
      </c>
    </row>
    <row r="27" spans="1:49" s="5" customFormat="1" x14ac:dyDescent="0.15">
      <c r="B27" s="5" t="s">
        <v>67</v>
      </c>
      <c r="F27" s="11" t="s">
        <v>58</v>
      </c>
      <c r="G27" s="11" t="s">
        <v>61</v>
      </c>
      <c r="H27" s="11">
        <f>IF(N18&gt;=U17,1,0)</f>
        <v>1</v>
      </c>
      <c r="I27" s="11">
        <f>IF(N19&gt;=AB17,1,0)</f>
        <v>1</v>
      </c>
      <c r="J27" s="29">
        <f>IF(N20&gt;AP17,1,0)</f>
        <v>1</v>
      </c>
      <c r="K27" s="29">
        <f>IF(N21&gt;AP17,1,0)</f>
        <v>1</v>
      </c>
    </row>
    <row r="28" spans="1:49" s="5" customFormat="1" x14ac:dyDescent="0.15">
      <c r="F28" s="11" t="s">
        <v>59</v>
      </c>
      <c r="G28" s="11">
        <f>IF(U17&gt;=N18,1,0)</f>
        <v>1</v>
      </c>
      <c r="H28" s="11" t="s">
        <v>61</v>
      </c>
      <c r="I28" s="11">
        <f>IF(U19&gt;=AB18,1,0)</f>
        <v>1</v>
      </c>
      <c r="J28" s="29">
        <f>IF(U20&gt;AP18,1,0)</f>
        <v>1</v>
      </c>
      <c r="K28" s="29">
        <f>IF(U21&gt;AP18,1,0)</f>
        <v>1</v>
      </c>
    </row>
    <row r="29" spans="1:49" s="5" customFormat="1" x14ac:dyDescent="0.15">
      <c r="F29" s="11" t="s">
        <v>169</v>
      </c>
      <c r="G29" s="11">
        <f>IF(AB17&gt;N19,1,0)</f>
        <v>0</v>
      </c>
      <c r="H29" s="11">
        <f>IF(AB18&gt;U19,1,0)</f>
        <v>0</v>
      </c>
      <c r="I29" s="11" t="s">
        <v>61</v>
      </c>
      <c r="J29" s="29">
        <f>IF(AB20&gt;AI19,1,0)</f>
        <v>1</v>
      </c>
      <c r="K29" s="29">
        <f>IF(AB20&gt;AI19,1,0)</f>
        <v>1</v>
      </c>
    </row>
    <row r="30" spans="1:49" s="5" customFormat="1" x14ac:dyDescent="0.15">
      <c r="F30" s="29" t="s">
        <v>60</v>
      </c>
      <c r="G30" s="29">
        <f>IF(AI17&gt;N20,1,0)</f>
        <v>0</v>
      </c>
      <c r="H30" s="29">
        <f>IF(AI18&gt;U20,1,0)</f>
        <v>0</v>
      </c>
      <c r="I30" s="29"/>
      <c r="J30" s="29" t="s">
        <v>188</v>
      </c>
      <c r="K30" s="29">
        <f>IF(AI21&gt;AP20,1,0)</f>
        <v>1</v>
      </c>
    </row>
    <row r="31" spans="1:49" s="5" customFormat="1" x14ac:dyDescent="0.15">
      <c r="F31" s="29" t="s">
        <v>104</v>
      </c>
      <c r="G31" s="29">
        <f>IF(AP17&gt;N21,1,0)</f>
        <v>0</v>
      </c>
      <c r="H31" s="29">
        <f>IF(AP18&gt;U21,1,0)</f>
        <v>0</v>
      </c>
      <c r="I31" s="29">
        <f>IF(AO20&gt;AH21,1,0)</f>
        <v>0</v>
      </c>
      <c r="J31" s="29">
        <f>IF(AP20&gt;AI21,1,0)</f>
        <v>0</v>
      </c>
      <c r="K31" s="29" t="s">
        <v>188</v>
      </c>
    </row>
    <row r="32" spans="1:49" s="5" customFormat="1" x14ac:dyDescent="0.15"/>
    <row r="33" spans="2:33" s="5" customFormat="1" x14ac:dyDescent="0.15"/>
    <row r="34" spans="2:33" s="5" customFormat="1" x14ac:dyDescent="0.15">
      <c r="B34" s="5" t="s">
        <v>71</v>
      </c>
    </row>
    <row r="35" spans="2:33" s="5" customFormat="1" x14ac:dyDescent="0.15">
      <c r="B35" s="5" t="s">
        <v>68</v>
      </c>
    </row>
    <row r="36" spans="2:33" s="5" customFormat="1" x14ac:dyDescent="0.15">
      <c r="C36" s="5" t="s">
        <v>69</v>
      </c>
    </row>
    <row r="37" spans="2:33" s="5" customFormat="1" x14ac:dyDescent="0.15">
      <c r="C37" s="5" t="s">
        <v>70</v>
      </c>
    </row>
    <row r="38" spans="2:33" s="5" customFormat="1" x14ac:dyDescent="0.15"/>
    <row r="39" spans="2:33" s="5" customFormat="1" x14ac:dyDescent="0.15"/>
    <row r="40" spans="2:33" x14ac:dyDescent="0.15">
      <c r="B40" s="1" t="s">
        <v>19</v>
      </c>
      <c r="C40" s="7">
        <f>I12/(I12+J12)</f>
        <v>0.86842105263157898</v>
      </c>
      <c r="E40" s="1" t="s">
        <v>72</v>
      </c>
    </row>
    <row r="41" spans="2:33" x14ac:dyDescent="0.15">
      <c r="C41" s="1" t="s">
        <v>43</v>
      </c>
    </row>
    <row r="43" spans="2:33" x14ac:dyDescent="0.15">
      <c r="C43" s="1" t="s">
        <v>11</v>
      </c>
    </row>
    <row r="45" spans="2:33" x14ac:dyDescent="0.15">
      <c r="B45" s="1" t="s">
        <v>85</v>
      </c>
      <c r="AG45" s="1">
        <v>1</v>
      </c>
    </row>
    <row r="47" spans="2:33" x14ac:dyDescent="0.15">
      <c r="D47" s="8" t="s">
        <v>99</v>
      </c>
      <c r="E47" s="3" t="s">
        <v>100</v>
      </c>
      <c r="I47" s="3"/>
      <c r="J47" s="3"/>
      <c r="AG47" s="1">
        <v>1.2</v>
      </c>
    </row>
    <row r="48" spans="2:33" x14ac:dyDescent="0.15">
      <c r="B48" s="1" t="s">
        <v>119</v>
      </c>
      <c r="C48" s="15" t="s">
        <v>98</v>
      </c>
      <c r="D48" s="18">
        <v>1.3</v>
      </c>
      <c r="E48" s="18">
        <v>1.3</v>
      </c>
      <c r="G48" s="1" t="s">
        <v>101</v>
      </c>
      <c r="H48" s="4">
        <f>1/(1-J48)</f>
        <v>6.2499999999999991</v>
      </c>
      <c r="I48" s="1" t="s">
        <v>103</v>
      </c>
      <c r="J48" s="18">
        <v>0.84</v>
      </c>
      <c r="T48" s="1" t="s">
        <v>117</v>
      </c>
    </row>
    <row r="49" spans="2:34" x14ac:dyDescent="0.15">
      <c r="C49" s="16" t="s">
        <v>97</v>
      </c>
      <c r="D49" s="18">
        <v>1.5</v>
      </c>
      <c r="E49" s="18">
        <v>1.5</v>
      </c>
      <c r="F49" s="5"/>
      <c r="G49" s="1" t="s">
        <v>211</v>
      </c>
      <c r="H49" s="4">
        <f>1/H48</f>
        <v>0.16000000000000003</v>
      </c>
      <c r="T49" s="1" t="s">
        <v>118</v>
      </c>
      <c r="AG49" s="1">
        <v>1.4</v>
      </c>
    </row>
    <row r="50" spans="2:34" x14ac:dyDescent="0.15">
      <c r="C50" s="16" t="s">
        <v>96</v>
      </c>
      <c r="D50" s="18">
        <v>1.8</v>
      </c>
      <c r="E50" s="18">
        <v>1.8</v>
      </c>
      <c r="F50" s="5"/>
      <c r="H50" s="15"/>
    </row>
    <row r="51" spans="2:34" x14ac:dyDescent="0.15">
      <c r="C51" s="16"/>
      <c r="F51" s="5"/>
      <c r="H51" s="15"/>
      <c r="AG51" s="1">
        <v>0.3</v>
      </c>
      <c r="AH51" s="1">
        <f>3*AG51</f>
        <v>0.89999999999999991</v>
      </c>
    </row>
    <row r="52" spans="2:34" x14ac:dyDescent="0.15">
      <c r="C52" s="5"/>
      <c r="F52" s="5"/>
      <c r="H52" s="15"/>
    </row>
    <row r="53" spans="2:34" x14ac:dyDescent="0.15">
      <c r="C53" s="5"/>
      <c r="F53" s="5"/>
      <c r="H53" s="15"/>
      <c r="AG53" s="1">
        <v>0.36</v>
      </c>
      <c r="AH53" s="1">
        <f>3*AG53</f>
        <v>1.08</v>
      </c>
    </row>
    <row r="54" spans="2:34" x14ac:dyDescent="0.15">
      <c r="C54" s="5"/>
      <c r="F54" s="5"/>
      <c r="H54" s="15"/>
    </row>
    <row r="55" spans="2:34" x14ac:dyDescent="0.15">
      <c r="C55" s="5"/>
      <c r="H55" s="15"/>
      <c r="M55" s="3" t="s">
        <v>190</v>
      </c>
      <c r="P55" s="3" t="s">
        <v>190</v>
      </c>
      <c r="AG55" s="1">
        <v>0.42</v>
      </c>
      <c r="AH55" s="1">
        <f>3*AG55</f>
        <v>1.26</v>
      </c>
    </row>
    <row r="56" spans="2:34" x14ac:dyDescent="0.15">
      <c r="B56" s="1" t="s">
        <v>86</v>
      </c>
      <c r="C56" s="5"/>
      <c r="G56" s="24" t="s">
        <v>139</v>
      </c>
      <c r="H56" s="1" t="s">
        <v>140</v>
      </c>
      <c r="M56" s="1" t="s">
        <v>114</v>
      </c>
      <c r="P56" s="1" t="s">
        <v>115</v>
      </c>
      <c r="S56" s="1" t="s">
        <v>116</v>
      </c>
      <c r="T56" s="2" t="s">
        <v>3</v>
      </c>
      <c r="U56" s="2" t="s">
        <v>4</v>
      </c>
      <c r="V56" s="2" t="s">
        <v>5</v>
      </c>
      <c r="W56" s="2"/>
      <c r="X56" s="2"/>
      <c r="Y56" s="2"/>
      <c r="Z56" s="2"/>
      <c r="AA56" s="2"/>
      <c r="AB56" s="2"/>
    </row>
    <row r="57" spans="2:34" x14ac:dyDescent="0.15">
      <c r="C57" s="2" t="s">
        <v>3</v>
      </c>
      <c r="D57" s="2" t="s">
        <v>4</v>
      </c>
      <c r="E57" s="2" t="s">
        <v>5</v>
      </c>
      <c r="I57" s="2" t="s">
        <v>3</v>
      </c>
      <c r="J57" s="2" t="s">
        <v>4</v>
      </c>
      <c r="K57" s="2" t="s">
        <v>5</v>
      </c>
      <c r="N57" s="1">
        <v>1.2</v>
      </c>
      <c r="Q57" s="1">
        <v>1.1000000000000001</v>
      </c>
      <c r="T57" s="4">
        <f>I58</f>
        <v>0.47975708502024295</v>
      </c>
      <c r="U57" s="4">
        <f>J58*$N$57*$Q$57</f>
        <v>2.0724000000000005</v>
      </c>
      <c r="V57" s="4">
        <f>K58*$N$57*$Q$57</f>
        <v>0.37714285714285711</v>
      </c>
      <c r="W57" s="5"/>
      <c r="X57" s="5"/>
      <c r="Y57" s="5"/>
      <c r="Z57" s="5"/>
      <c r="AA57" s="5"/>
      <c r="AB57" s="5"/>
    </row>
    <row r="58" spans="2:34" x14ac:dyDescent="0.15">
      <c r="B58" s="3" t="s">
        <v>0</v>
      </c>
      <c r="C58" s="4">
        <f>E9</f>
        <v>5</v>
      </c>
      <c r="D58" s="4">
        <f t="shared" ref="D58:E58" si="12">F9</f>
        <v>2</v>
      </c>
      <c r="E58" s="4">
        <f t="shared" si="12"/>
        <v>3</v>
      </c>
      <c r="H58" s="3" t="s">
        <v>95</v>
      </c>
      <c r="I58" s="37">
        <f>D49*D71+E49*E71</f>
        <v>0.47975708502024295</v>
      </c>
      <c r="J58" s="31">
        <f>D50*D75+E48*E75</f>
        <v>1.5700000000000003</v>
      </c>
      <c r="K58" s="4">
        <f>D49*D79+E49*E79</f>
        <v>0.2857142857142857</v>
      </c>
      <c r="M58" s="3" t="s">
        <v>191</v>
      </c>
      <c r="P58" s="3" t="s">
        <v>191</v>
      </c>
      <c r="T58" s="4">
        <f>I59*$N$60*$Q$60</f>
        <v>5.4794028340080976</v>
      </c>
      <c r="U58" s="4">
        <f>J59</f>
        <v>1.2625</v>
      </c>
      <c r="V58" s="4">
        <f>K59*N57*Q57</f>
        <v>1.6500000000000001</v>
      </c>
      <c r="W58" s="5"/>
      <c r="X58" s="5"/>
      <c r="Y58" s="5"/>
      <c r="Z58" s="5"/>
      <c r="AA58" s="5"/>
      <c r="AB58" s="5"/>
    </row>
    <row r="59" spans="2:34" x14ac:dyDescent="0.15">
      <c r="B59" s="3" t="s">
        <v>2</v>
      </c>
      <c r="C59" s="4">
        <f>E10</f>
        <v>2.64</v>
      </c>
      <c r="D59" s="4">
        <f t="shared" ref="D59" si="13">F10</f>
        <v>1</v>
      </c>
      <c r="E59" s="4">
        <f t="shared" ref="E59" si="14">G10</f>
        <v>1</v>
      </c>
      <c r="H59" s="3" t="s">
        <v>94</v>
      </c>
      <c r="I59" s="4">
        <f>(I71*$H$48)+1*(1-I71)</f>
        <v>4.1510627530364372</v>
      </c>
      <c r="J59" s="4">
        <f>(I75*$H$48)+1*(1-I75)</f>
        <v>1.2625</v>
      </c>
      <c r="K59" s="4">
        <f>(I79*$H$48)+1*(1-I79)</f>
        <v>1.25</v>
      </c>
      <c r="M59" s="1" t="s">
        <v>114</v>
      </c>
      <c r="P59" s="1" t="s">
        <v>115</v>
      </c>
      <c r="T59" s="1">
        <f>T57*T58</f>
        <v>2.6287823312953829</v>
      </c>
      <c r="U59" s="1">
        <f t="shared" ref="U59" si="15">U57*U58</f>
        <v>2.6164050000000003</v>
      </c>
      <c r="V59" s="1">
        <f t="shared" ref="V59" si="16">V57*V58</f>
        <v>0.62228571428571433</v>
      </c>
    </row>
    <row r="60" spans="2:34" x14ac:dyDescent="0.15">
      <c r="B60" s="3" t="s">
        <v>1</v>
      </c>
      <c r="C60" s="4">
        <f>E11</f>
        <v>0.3</v>
      </c>
      <c r="D60" s="4">
        <f>F11</f>
        <v>2</v>
      </c>
      <c r="E60" s="4">
        <f>G11</f>
        <v>0.25</v>
      </c>
      <c r="I60" s="1">
        <f>I58*I59</f>
        <v>1.9915017661328658</v>
      </c>
      <c r="J60" s="1">
        <f t="shared" ref="J60:K60" si="17">J58*J59</f>
        <v>1.9821250000000004</v>
      </c>
      <c r="K60" s="1">
        <f t="shared" si="17"/>
        <v>0.3571428571428571</v>
      </c>
      <c r="N60" s="1">
        <v>1.2</v>
      </c>
      <c r="Q60" s="1">
        <v>1.1000000000000001</v>
      </c>
    </row>
    <row r="61" spans="2:34" x14ac:dyDescent="0.15">
      <c r="B61" s="3" t="s">
        <v>6</v>
      </c>
      <c r="C61" s="4">
        <f>C59*C58</f>
        <v>13.200000000000001</v>
      </c>
      <c r="D61" s="4">
        <f>D59*D58</f>
        <v>2</v>
      </c>
      <c r="E61" s="4">
        <f>E59*E58</f>
        <v>3</v>
      </c>
    </row>
    <row r="62" spans="2:34" x14ac:dyDescent="0.15">
      <c r="B62" s="3" t="s">
        <v>17</v>
      </c>
      <c r="C62" s="4">
        <f>C58*C60*C59</f>
        <v>3.96</v>
      </c>
      <c r="D62" s="4">
        <f>D58*D60*D59</f>
        <v>4</v>
      </c>
      <c r="E62" s="4">
        <f>E58*E60*E59</f>
        <v>0.75</v>
      </c>
    </row>
    <row r="63" spans="2:34" s="5" customFormat="1" x14ac:dyDescent="0.15">
      <c r="B63" s="8"/>
      <c r="M63" s="1" t="s">
        <v>109</v>
      </c>
      <c r="N63" s="1"/>
      <c r="O63" s="1" t="s">
        <v>112</v>
      </c>
      <c r="P63" s="1"/>
      <c r="Q63" s="1" t="s">
        <v>113</v>
      </c>
    </row>
    <row r="64" spans="2:34" s="5" customFormat="1" x14ac:dyDescent="0.15">
      <c r="B64" s="8"/>
      <c r="M64" s="1" t="s">
        <v>110</v>
      </c>
      <c r="N64" s="1"/>
      <c r="O64" s="1" t="s">
        <v>111</v>
      </c>
      <c r="P64" s="1"/>
      <c r="Q64" s="1" t="s">
        <v>111</v>
      </c>
    </row>
    <row r="65" spans="2:17" x14ac:dyDescent="0.15">
      <c r="C65" s="5"/>
      <c r="Q65" s="1" t="s">
        <v>110</v>
      </c>
    </row>
    <row r="66" spans="2:17" x14ac:dyDescent="0.15">
      <c r="B66" s="1" t="s">
        <v>80</v>
      </c>
    </row>
    <row r="67" spans="2:17" x14ac:dyDescent="0.15">
      <c r="B67" s="3" t="s">
        <v>84</v>
      </c>
      <c r="C67" s="1" t="s">
        <v>81</v>
      </c>
      <c r="D67" s="1" t="s">
        <v>73</v>
      </c>
      <c r="E67" s="1" t="s">
        <v>74</v>
      </c>
      <c r="F67" s="1" t="s">
        <v>75</v>
      </c>
      <c r="G67" s="1" t="s">
        <v>76</v>
      </c>
      <c r="H67" s="1" t="s">
        <v>77</v>
      </c>
      <c r="I67" s="1" t="s">
        <v>78</v>
      </c>
      <c r="J67" s="1" t="s">
        <v>79</v>
      </c>
    </row>
    <row r="68" spans="2:17" x14ac:dyDescent="0.15">
      <c r="C68" s="13">
        <v>6</v>
      </c>
      <c r="D68" s="4">
        <f>VLOOKUP(C68,AI!$A$2:$B$7,2,0)</f>
        <v>2</v>
      </c>
      <c r="E68" s="4">
        <f>VLOOKUP(C68,AI!$C$2:$D$7,2,0)</f>
        <v>2</v>
      </c>
      <c r="F68" s="4">
        <f>VLOOKUP(C68,AI!$E$2:$F$7,2,0)</f>
        <v>2</v>
      </c>
      <c r="G68" s="4">
        <f>VLOOKUP(C68,AI!$G$2:$H$7,2,0)</f>
        <v>0</v>
      </c>
      <c r="H68" s="4">
        <f>VLOOKUP(C68,AI!$I$2:$J$7,2,0)</f>
        <v>1</v>
      </c>
      <c r="I68" s="4">
        <v>5</v>
      </c>
      <c r="J68" s="4">
        <f>VLOOKUP(C68,AI!$M$2:$N$7,2,0)</f>
        <v>8</v>
      </c>
      <c r="M68" s="17" t="s">
        <v>108</v>
      </c>
    </row>
    <row r="69" spans="2:17" x14ac:dyDescent="0.15">
      <c r="C69" s="1" t="s">
        <v>83</v>
      </c>
      <c r="D69" s="12">
        <f>D68/($D$68+$E$68+$H$68+$I$68)</f>
        <v>0.2</v>
      </c>
      <c r="E69" s="12">
        <f>E68/($D$68+$E$68+$H$68+$I$68)</f>
        <v>0.2</v>
      </c>
      <c r="F69" s="12"/>
      <c r="G69" s="4"/>
      <c r="H69" s="12">
        <f>H68/($D$68+$E$68+$H$68+$I$68)</f>
        <v>0.1</v>
      </c>
      <c r="I69" s="12">
        <f>I68/($D$68+$E$68+$H$68+$I$68)</f>
        <v>0.5</v>
      </c>
      <c r="J69" s="12"/>
      <c r="N69" s="1" t="s">
        <v>120</v>
      </c>
    </row>
    <row r="70" spans="2:17" x14ac:dyDescent="0.15">
      <c r="C70" s="1" t="s">
        <v>83</v>
      </c>
      <c r="D70" s="12">
        <f>D68/($D$68+$E$68+$H$68+$J$68)</f>
        <v>0.15384615384615385</v>
      </c>
      <c r="E70" s="12">
        <f>E68/($D$68+$E$68+$H$68+$J$68)</f>
        <v>0.15384615384615385</v>
      </c>
      <c r="F70" s="12"/>
      <c r="G70" s="4"/>
      <c r="H70" s="12">
        <f>H68/($D$68+$E$68+$H$68+$J$68)</f>
        <v>7.6923076923076927E-2</v>
      </c>
      <c r="I70" s="12"/>
      <c r="J70" s="12">
        <f>J68/($D$68+$E$68+$H$68+$J$68)</f>
        <v>0.61538461538461542</v>
      </c>
    </row>
    <row r="71" spans="2:17" x14ac:dyDescent="0.15">
      <c r="C71" s="1" t="s">
        <v>91</v>
      </c>
      <c r="D71" s="12">
        <f>D69*(1-$C$40)+D70*$C$40</f>
        <v>0.15991902834008098</v>
      </c>
      <c r="E71" s="12">
        <f>E69*(1-$C$40)+E70*$C$40</f>
        <v>0.15991902834008098</v>
      </c>
      <c r="F71" s="12"/>
      <c r="G71" s="4"/>
      <c r="H71" s="12">
        <f>H69*(1-$C$40)+H70*$C$40</f>
        <v>7.9959514170040491E-2</v>
      </c>
      <c r="I71" s="12">
        <f>I69*(1-$C$40)+J70*$C$40</f>
        <v>0.6002024291497976</v>
      </c>
      <c r="J71" s="12"/>
    </row>
    <row r="73" spans="2:17" x14ac:dyDescent="0.15">
      <c r="B73" s="3" t="s">
        <v>87</v>
      </c>
      <c r="C73" s="1" t="s">
        <v>81</v>
      </c>
      <c r="D73" s="1" t="s">
        <v>73</v>
      </c>
      <c r="E73" s="1" t="s">
        <v>74</v>
      </c>
      <c r="F73" s="1" t="s">
        <v>75</v>
      </c>
      <c r="G73" s="1" t="s">
        <v>76</v>
      </c>
      <c r="H73" s="1" t="s">
        <v>77</v>
      </c>
      <c r="I73" s="1" t="s">
        <v>78</v>
      </c>
      <c r="J73" s="1" t="s">
        <v>79</v>
      </c>
    </row>
    <row r="74" spans="2:17" x14ac:dyDescent="0.15">
      <c r="C74" s="13">
        <v>1</v>
      </c>
      <c r="D74" s="4">
        <f>VLOOKUP(C74,AI!$A$2:$B$7,2,0)</f>
        <v>16</v>
      </c>
      <c r="E74" s="4">
        <f>VLOOKUP(C74,AI!$C$2:$D$7,2,0)</f>
        <v>2</v>
      </c>
      <c r="F74" s="4">
        <f>VLOOKUP(C74,AI!$E$2:$F$7,2,0)</f>
        <v>2</v>
      </c>
      <c r="G74" s="4">
        <f>VLOOKUP(C74,AI!$G$2:$H$7,2,0)</f>
        <v>1</v>
      </c>
      <c r="H74" s="4">
        <f>VLOOKUP(C74,AI!$I$2:$J$7,2,0)</f>
        <v>2</v>
      </c>
      <c r="I74" s="4">
        <f>VLOOKUP(C74,AI!$K$2:$L$7,2,0)</f>
        <v>1</v>
      </c>
      <c r="J74" s="4">
        <f>VLOOKUP(C74,AI!$M$2:$N$7,2,0)</f>
        <v>0</v>
      </c>
    </row>
    <row r="75" spans="2:17" x14ac:dyDescent="0.15">
      <c r="C75" s="1" t="s">
        <v>83</v>
      </c>
      <c r="D75" s="12">
        <f>D74/($D$74+$E$74+$G$74+$I$74)</f>
        <v>0.8</v>
      </c>
      <c r="E75" s="12">
        <f>E74/($D$74+$E$74+$G$74+$I$74)</f>
        <v>0.1</v>
      </c>
      <c r="F75" s="12"/>
      <c r="G75" s="12">
        <f>G74/($D$74+$E$74+$G$74+$I$74)</f>
        <v>0.05</v>
      </c>
      <c r="H75" s="12"/>
      <c r="I75" s="12">
        <f>I74/($D$74+$E$74+$G$74+$I$74)</f>
        <v>0.05</v>
      </c>
      <c r="J75" s="12">
        <f>J74/($D$68+$E$68+$G$68+$J$68)</f>
        <v>0</v>
      </c>
    </row>
    <row r="77" spans="2:17" x14ac:dyDescent="0.15">
      <c r="B77" s="3" t="s">
        <v>88</v>
      </c>
      <c r="C77" s="1" t="s">
        <v>81</v>
      </c>
      <c r="D77" s="1" t="s">
        <v>73</v>
      </c>
      <c r="E77" s="1" t="s">
        <v>74</v>
      </c>
      <c r="F77" s="1" t="s">
        <v>75</v>
      </c>
      <c r="G77" s="1" t="s">
        <v>76</v>
      </c>
      <c r="H77" s="1" t="s">
        <v>77</v>
      </c>
      <c r="I77" s="1" t="s">
        <v>78</v>
      </c>
      <c r="J77" s="1" t="s">
        <v>79</v>
      </c>
    </row>
    <row r="78" spans="2:17" x14ac:dyDescent="0.15">
      <c r="C78" s="13">
        <v>4</v>
      </c>
      <c r="D78" s="4">
        <f>VLOOKUP(C78,AI!$A$2:$B$7,2,0)</f>
        <v>2</v>
      </c>
      <c r="E78" s="4">
        <f>VLOOKUP(C78,AI!$C$2:$D$7,2,0)</f>
        <v>2</v>
      </c>
      <c r="F78" s="4">
        <f>VLOOKUP(C78,AI!$E$2:$F$7,2,0)</f>
        <v>2</v>
      </c>
      <c r="G78" s="4">
        <f>VLOOKUP(C78,AI!$G$2:$H$7,2,0)</f>
        <v>16</v>
      </c>
      <c r="H78" s="4">
        <f>VLOOKUP(C78,AI!$I$2:$J$7,2,0)</f>
        <v>2</v>
      </c>
      <c r="I78" s="4">
        <f>VLOOKUP(C78,AI!$K$2:$L$7,2,0)</f>
        <v>1</v>
      </c>
      <c r="J78" s="4">
        <f>VLOOKUP(C78,AI!$M$2:$N$7,2,0)</f>
        <v>0</v>
      </c>
    </row>
    <row r="79" spans="2:17" x14ac:dyDescent="0.15">
      <c r="C79" s="1" t="s">
        <v>83</v>
      </c>
      <c r="D79" s="12">
        <f>D78/($D$78+$E$78+$G$78+$I$78)</f>
        <v>9.5238095238095233E-2</v>
      </c>
      <c r="E79" s="12">
        <f>E78/($D$78+$E$78+$G$78+$I$78)</f>
        <v>9.5238095238095233E-2</v>
      </c>
      <c r="F79" s="12"/>
      <c r="G79" s="12">
        <f>G78/($D$78+$E$78+$G$78+$I$78)</f>
        <v>0.76190476190476186</v>
      </c>
      <c r="H79" s="12"/>
      <c r="I79" s="12">
        <f>I78/($D$78+$E$78+$G$78+$I$78)</f>
        <v>4.7619047619047616E-2</v>
      </c>
      <c r="J79" s="12">
        <f>J78/($D$68+$E$68+$G$68+$J$68)</f>
        <v>0</v>
      </c>
    </row>
    <row r="80" spans="2:17" x14ac:dyDescent="0.15">
      <c r="D80" s="1">
        <f>D78</f>
        <v>2</v>
      </c>
      <c r="E80" s="1">
        <f t="shared" ref="E80:J80" si="18">E78</f>
        <v>2</v>
      </c>
      <c r="F80" s="1">
        <f t="shared" si="18"/>
        <v>2</v>
      </c>
      <c r="G80" s="1">
        <f>G78*2/3</f>
        <v>10.666666666666666</v>
      </c>
      <c r="H80" s="1">
        <f t="shared" si="18"/>
        <v>2</v>
      </c>
      <c r="I80" s="1">
        <f t="shared" si="18"/>
        <v>1</v>
      </c>
      <c r="J80" s="1">
        <f t="shared" si="18"/>
        <v>0</v>
      </c>
    </row>
    <row r="81" spans="2:10" x14ac:dyDescent="0.15">
      <c r="D81" s="12">
        <f>D80/($D$80+$E$80+$G$80+$I$80)</f>
        <v>0.12765957446808512</v>
      </c>
      <c r="E81" s="12">
        <f>E80/($D$80+$E$80+$G$80+$I$80)</f>
        <v>0.12765957446808512</v>
      </c>
      <c r="F81" s="12"/>
      <c r="G81" s="12">
        <f>G80/($D$80+$E$80+$G$80+$I$80)</f>
        <v>0.68085106382978722</v>
      </c>
      <c r="H81" s="12"/>
      <c r="I81" s="12">
        <f>I80/($D$78+$E$78+$G$78+$I$78)</f>
        <v>4.7619047619047616E-2</v>
      </c>
      <c r="J81" s="12">
        <f>J80/($D$68+$E$68+$G$68+$J$68)</f>
        <v>0</v>
      </c>
    </row>
    <row r="82" spans="2:10" x14ac:dyDescent="0.15">
      <c r="B82" s="1" t="s">
        <v>90</v>
      </c>
    </row>
    <row r="83" spans="2:10" x14ac:dyDescent="0.15">
      <c r="C83" s="3" t="s">
        <v>84</v>
      </c>
      <c r="D83" s="3" t="s">
        <v>89</v>
      </c>
      <c r="E83" s="3" t="s">
        <v>88</v>
      </c>
      <c r="F83" s="2"/>
    </row>
    <row r="84" spans="2:10" x14ac:dyDescent="0.15">
      <c r="B84" s="3" t="s">
        <v>0</v>
      </c>
      <c r="C84" s="32">
        <f>SQRT($C$87/($C$58*$C$59))*C58</f>
        <v>2.1360105300217036</v>
      </c>
      <c r="D84" s="32">
        <f>SQRT($D$87/($D$58*$D$59))*D58</f>
        <v>1.7799766379599391</v>
      </c>
      <c r="E84" s="32">
        <f>SQRT($E$87/($E$58*$E$59))*E58</f>
        <v>2.3354968324845689</v>
      </c>
    </row>
    <row r="85" spans="2:10" x14ac:dyDescent="0.15">
      <c r="B85" s="3" t="s">
        <v>2</v>
      </c>
      <c r="C85" s="4">
        <f>SQRT($C$87/($C$58*$C$59))*C59</f>
        <v>1.1278135598514596</v>
      </c>
      <c r="D85" s="4">
        <f>SQRT($D$87/($D$58*$D$59))*D59</f>
        <v>0.88998831897996955</v>
      </c>
      <c r="E85" s="4">
        <f>SQRT($E$87/($E$58*$E$59))*E59</f>
        <v>0.77849894416152299</v>
      </c>
    </row>
    <row r="86" spans="2:10" x14ac:dyDescent="0.15">
      <c r="B86" s="3" t="s">
        <v>1</v>
      </c>
      <c r="C86" s="4">
        <f t="shared" ref="C86:E87" si="19">C60/T57</f>
        <v>0.62531645569620242</v>
      </c>
      <c r="D86" s="4">
        <f t="shared" si="19"/>
        <v>0.965064659332175</v>
      </c>
      <c r="E86" s="4">
        <f t="shared" si="19"/>
        <v>0.66287878787878796</v>
      </c>
    </row>
    <row r="87" spans="2:10" x14ac:dyDescent="0.15">
      <c r="B87" s="3" t="s">
        <v>92</v>
      </c>
      <c r="C87" s="4">
        <f t="shared" si="19"/>
        <v>2.4090216397439805</v>
      </c>
      <c r="D87" s="4">
        <f t="shared" si="19"/>
        <v>1.5841584158415842</v>
      </c>
      <c r="E87" s="4">
        <f t="shared" si="19"/>
        <v>1.8181818181818181</v>
      </c>
    </row>
    <row r="88" spans="2:10" x14ac:dyDescent="0.15">
      <c r="B88" s="3" t="s">
        <v>102</v>
      </c>
      <c r="C88" s="4">
        <f>C86*C87</f>
        <v>1.5064008734601597</v>
      </c>
      <c r="D88" s="4">
        <f>D86*D87</f>
        <v>1.5288153019123565</v>
      </c>
      <c r="E88" s="4">
        <f t="shared" ref="E88" si="20">E86*E87</f>
        <v>1.2052341597796143</v>
      </c>
    </row>
    <row r="91" spans="2:10" x14ac:dyDescent="0.15">
      <c r="B91" s="3" t="s">
        <v>192</v>
      </c>
    </row>
    <row r="92" spans="2:10" x14ac:dyDescent="0.15">
      <c r="C92" s="1" t="s">
        <v>193</v>
      </c>
      <c r="D92" s="4">
        <f>ROUNDUP(I17,0)</f>
        <v>9</v>
      </c>
    </row>
    <row r="93" spans="2:10" x14ac:dyDescent="0.15">
      <c r="C93" s="1" t="s">
        <v>194</v>
      </c>
      <c r="D93" s="4">
        <f>ROUNDUP(D92*C40,0)</f>
        <v>8</v>
      </c>
    </row>
    <row r="94" spans="2:10" x14ac:dyDescent="0.15">
      <c r="C94" s="1" t="s">
        <v>201</v>
      </c>
      <c r="D94" s="17">
        <v>40</v>
      </c>
    </row>
    <row r="95" spans="2:10" x14ac:dyDescent="0.15">
      <c r="C95" s="1" t="s">
        <v>200</v>
      </c>
      <c r="D95" s="17">
        <v>20</v>
      </c>
    </row>
    <row r="96" spans="2:10" x14ac:dyDescent="0.15">
      <c r="C96" s="1" t="s">
        <v>210</v>
      </c>
    </row>
    <row r="97" spans="3:8" x14ac:dyDescent="0.15">
      <c r="D97" s="1" t="s">
        <v>195</v>
      </c>
      <c r="E97" s="1" t="s">
        <v>203</v>
      </c>
      <c r="G97" s="17">
        <v>3</v>
      </c>
      <c r="H97" s="1" t="s">
        <v>204</v>
      </c>
    </row>
    <row r="98" spans="3:8" x14ac:dyDescent="0.15">
      <c r="E98" s="1" t="s">
        <v>202</v>
      </c>
      <c r="F98" s="31">
        <f>J70*D94+(1-J70)*D95</f>
        <v>32.307692307692307</v>
      </c>
    </row>
    <row r="99" spans="3:8" x14ac:dyDescent="0.15">
      <c r="E99" s="1" t="s">
        <v>205</v>
      </c>
      <c r="F99" s="31">
        <f>F98*G97</f>
        <v>96.92307692307692</v>
      </c>
    </row>
    <row r="100" spans="3:8" x14ac:dyDescent="0.15">
      <c r="E100" s="1" t="s">
        <v>206</v>
      </c>
      <c r="F100" s="23">
        <f>1-(1-J70)^2*3</f>
        <v>0.55621301775147935</v>
      </c>
    </row>
    <row r="102" spans="3:8" x14ac:dyDescent="0.15">
      <c r="D102" s="1" t="s">
        <v>196</v>
      </c>
    </row>
    <row r="103" spans="3:8" x14ac:dyDescent="0.15">
      <c r="E103" s="13" t="s">
        <v>197</v>
      </c>
      <c r="F103" s="13" t="s">
        <v>198</v>
      </c>
      <c r="G103" s="13" t="s">
        <v>199</v>
      </c>
    </row>
    <row r="104" spans="3:8" x14ac:dyDescent="0.15">
      <c r="E104" s="17">
        <v>3</v>
      </c>
      <c r="F104" s="18">
        <v>1</v>
      </c>
      <c r="G104" s="17">
        <v>3</v>
      </c>
    </row>
    <row r="105" spans="3:8" x14ac:dyDescent="0.15">
      <c r="C105" s="1" t="s">
        <v>207</v>
      </c>
    </row>
    <row r="106" spans="3:8" x14ac:dyDescent="0.15">
      <c r="D106" s="1" t="s">
        <v>195</v>
      </c>
      <c r="E106" s="1" t="s">
        <v>208</v>
      </c>
    </row>
    <row r="108" spans="3:8" x14ac:dyDescent="0.15">
      <c r="C108" s="1" t="s">
        <v>209</v>
      </c>
    </row>
  </sheetData>
  <mergeCells count="7">
    <mergeCell ref="I7:K7"/>
    <mergeCell ref="P7:R7"/>
    <mergeCell ref="AD7:AF7"/>
    <mergeCell ref="AR7:AT7"/>
    <mergeCell ref="AW7:AY7"/>
    <mergeCell ref="AK7:AM7"/>
    <mergeCell ref="W7:Y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"/>
  <sheetViews>
    <sheetView workbookViewId="0">
      <selection activeCell="J13" sqref="J13"/>
    </sheetView>
  </sheetViews>
  <sheetFormatPr defaultRowHeight="13.5" x14ac:dyDescent="0.15"/>
  <cols>
    <col min="2" max="2" width="13.25" bestFit="1" customWidth="1"/>
    <col min="4" max="4" width="13.25" bestFit="1" customWidth="1"/>
    <col min="6" max="6" width="34.125" bestFit="1" customWidth="1"/>
    <col min="8" max="8" width="17.5" bestFit="1" customWidth="1"/>
    <col min="10" max="10" width="33.875" bestFit="1" customWidth="1"/>
    <col min="12" max="12" width="13.25" bestFit="1" customWidth="1"/>
    <col min="14" max="14" width="38.5" bestFit="1" customWidth="1"/>
  </cols>
  <sheetData>
    <row r="1" spans="1:17" s="1" customFormat="1" ht="16.5" x14ac:dyDescent="0.15">
      <c r="B1" s="3" t="s">
        <v>73</v>
      </c>
      <c r="C1" s="3"/>
      <c r="D1" s="3" t="s">
        <v>74</v>
      </c>
      <c r="E1" s="3"/>
      <c r="F1" s="3" t="s">
        <v>75</v>
      </c>
      <c r="G1" s="3"/>
      <c r="H1" s="3" t="s">
        <v>76</v>
      </c>
      <c r="I1" s="3"/>
      <c r="J1" s="3" t="s">
        <v>77</v>
      </c>
      <c r="K1" s="3"/>
      <c r="L1" s="3" t="s">
        <v>78</v>
      </c>
      <c r="M1" s="3"/>
      <c r="N1" s="3" t="s">
        <v>79</v>
      </c>
      <c r="O1" s="3"/>
      <c r="P1" s="3"/>
      <c r="Q1" s="3"/>
    </row>
    <row r="2" spans="1:17" s="1" customFormat="1" ht="16.5" x14ac:dyDescent="0.15">
      <c r="A2" s="1">
        <v>1</v>
      </c>
      <c r="B2" s="1">
        <v>16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1</v>
      </c>
      <c r="I2" s="1">
        <v>1</v>
      </c>
      <c r="J2" s="1">
        <v>2</v>
      </c>
      <c r="K2" s="1">
        <v>1</v>
      </c>
      <c r="L2" s="1">
        <v>1</v>
      </c>
      <c r="M2" s="1">
        <v>1</v>
      </c>
      <c r="N2" s="1">
        <v>0</v>
      </c>
    </row>
    <row r="3" spans="1:17" s="1" customFormat="1" ht="16.5" x14ac:dyDescent="0.15">
      <c r="A3" s="1">
        <v>2</v>
      </c>
      <c r="B3" s="1">
        <v>2</v>
      </c>
      <c r="C3" s="1">
        <v>2</v>
      </c>
      <c r="D3" s="1">
        <v>16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1</v>
      </c>
      <c r="M3" s="1">
        <v>2</v>
      </c>
      <c r="N3" s="1">
        <v>0</v>
      </c>
    </row>
    <row r="4" spans="1:17" s="1" customFormat="1" ht="16.5" x14ac:dyDescent="0.15">
      <c r="A4" s="1">
        <v>3</v>
      </c>
      <c r="B4" s="1">
        <v>2</v>
      </c>
      <c r="C4" s="1">
        <v>3</v>
      </c>
      <c r="D4" s="1">
        <v>2</v>
      </c>
      <c r="E4" s="1">
        <v>3</v>
      </c>
      <c r="F4" s="1">
        <v>2</v>
      </c>
      <c r="G4" s="1">
        <v>3</v>
      </c>
      <c r="H4" s="1">
        <v>2</v>
      </c>
      <c r="I4" s="1">
        <v>3</v>
      </c>
      <c r="J4" s="1">
        <v>16</v>
      </c>
      <c r="K4" s="1">
        <v>3</v>
      </c>
      <c r="L4" s="1">
        <v>1</v>
      </c>
      <c r="M4" s="1">
        <v>3</v>
      </c>
      <c r="N4" s="1">
        <v>0</v>
      </c>
    </row>
    <row r="5" spans="1:17" s="1" customFormat="1" ht="16.5" x14ac:dyDescent="0.15">
      <c r="A5" s="1">
        <v>4</v>
      </c>
      <c r="B5" s="1">
        <v>2</v>
      </c>
      <c r="C5" s="1">
        <v>4</v>
      </c>
      <c r="D5" s="1">
        <v>2</v>
      </c>
      <c r="E5" s="1">
        <v>4</v>
      </c>
      <c r="F5" s="1">
        <v>2</v>
      </c>
      <c r="G5" s="1">
        <v>4</v>
      </c>
      <c r="H5" s="1">
        <v>16</v>
      </c>
      <c r="I5" s="1">
        <v>4</v>
      </c>
      <c r="J5" s="1">
        <v>2</v>
      </c>
      <c r="K5" s="1">
        <v>4</v>
      </c>
      <c r="L5" s="1">
        <v>1</v>
      </c>
      <c r="M5" s="1">
        <v>4</v>
      </c>
      <c r="N5" s="1">
        <v>0</v>
      </c>
    </row>
    <row r="6" spans="1:17" s="1" customFormat="1" ht="16.5" x14ac:dyDescent="0.15">
      <c r="A6" s="1">
        <v>5</v>
      </c>
      <c r="B6" s="1">
        <v>10</v>
      </c>
      <c r="C6" s="1">
        <v>5</v>
      </c>
      <c r="D6" s="1">
        <v>50</v>
      </c>
      <c r="E6" s="1">
        <v>5</v>
      </c>
      <c r="F6" s="1">
        <v>350</v>
      </c>
      <c r="G6" s="1">
        <v>5</v>
      </c>
      <c r="H6" s="1">
        <v>100</v>
      </c>
      <c r="I6" s="1">
        <v>5</v>
      </c>
      <c r="J6" s="1">
        <v>10</v>
      </c>
      <c r="K6" s="1">
        <v>5</v>
      </c>
      <c r="L6" s="1">
        <v>1</v>
      </c>
      <c r="M6" s="1">
        <v>5</v>
      </c>
      <c r="N6" s="1">
        <v>0</v>
      </c>
    </row>
    <row r="7" spans="1:17" s="1" customFormat="1" ht="16.5" x14ac:dyDescent="0.15">
      <c r="A7" s="1">
        <v>6</v>
      </c>
      <c r="B7" s="1">
        <v>2</v>
      </c>
      <c r="C7" s="1">
        <v>6</v>
      </c>
      <c r="D7" s="1">
        <v>2</v>
      </c>
      <c r="E7" s="1">
        <v>6</v>
      </c>
      <c r="F7" s="1">
        <v>2</v>
      </c>
      <c r="G7" s="1">
        <v>6</v>
      </c>
      <c r="H7" s="1">
        <v>0</v>
      </c>
      <c r="I7" s="1">
        <v>6</v>
      </c>
      <c r="J7" s="1">
        <v>1</v>
      </c>
      <c r="K7" s="1">
        <v>6</v>
      </c>
      <c r="L7" s="1">
        <v>5</v>
      </c>
      <c r="M7" s="1">
        <v>6</v>
      </c>
      <c r="N7" s="1">
        <v>8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topLeftCell="A112" workbookViewId="0">
      <selection activeCell="E142" sqref="E142"/>
    </sheetView>
  </sheetViews>
  <sheetFormatPr defaultRowHeight="16.5" x14ac:dyDescent="0.15"/>
  <cols>
    <col min="1" max="3" width="9" style="1"/>
    <col min="4" max="4" width="24.375" style="1" bestFit="1" customWidth="1"/>
    <col min="5" max="5" width="9" style="1"/>
    <col min="6" max="6" width="10.75" style="1" bestFit="1" customWidth="1"/>
    <col min="7" max="7" width="9.5" style="1" bestFit="1" customWidth="1"/>
    <col min="8" max="16384" width="9" style="1"/>
  </cols>
  <sheetData>
    <row r="1" spans="1:10" x14ac:dyDescent="0.15">
      <c r="A1" s="3" t="s">
        <v>127</v>
      </c>
    </row>
    <row r="2" spans="1:10" x14ac:dyDescent="0.15">
      <c r="D2" s="3" t="s">
        <v>125</v>
      </c>
      <c r="E2" s="3" t="s">
        <v>128</v>
      </c>
    </row>
    <row r="3" spans="1:10" x14ac:dyDescent="0.15">
      <c r="C3" s="3" t="s">
        <v>9</v>
      </c>
      <c r="D3" s="4">
        <f>职业定位属性配比!C3</f>
        <v>1.8</v>
      </c>
      <c r="E3" s="1">
        <v>3</v>
      </c>
    </row>
    <row r="4" spans="1:10" x14ac:dyDescent="0.15">
      <c r="C4" s="3" t="s">
        <v>10</v>
      </c>
      <c r="D4" s="4">
        <f>职业定位属性配比!C4</f>
        <v>1.8</v>
      </c>
    </row>
    <row r="5" spans="1:10" x14ac:dyDescent="0.15">
      <c r="C5" s="3" t="s">
        <v>105</v>
      </c>
      <c r="D5" s="4">
        <f>职业定位属性配比!C5</f>
        <v>3.24</v>
      </c>
    </row>
    <row r="7" spans="1:10" x14ac:dyDescent="0.15">
      <c r="B7" s="1" t="s">
        <v>126</v>
      </c>
    </row>
    <row r="8" spans="1:10" x14ac:dyDescent="0.15">
      <c r="B8" s="3" t="s">
        <v>5</v>
      </c>
      <c r="C8" s="1" t="s">
        <v>81</v>
      </c>
      <c r="D8" s="1" t="s">
        <v>73</v>
      </c>
      <c r="E8" s="1" t="s">
        <v>74</v>
      </c>
      <c r="F8" s="1" t="s">
        <v>75</v>
      </c>
      <c r="G8" s="1" t="s">
        <v>76</v>
      </c>
      <c r="H8" s="1" t="s">
        <v>77</v>
      </c>
      <c r="I8" s="1" t="s">
        <v>78</v>
      </c>
      <c r="J8" s="1" t="s">
        <v>79</v>
      </c>
    </row>
    <row r="9" spans="1:10" x14ac:dyDescent="0.15">
      <c r="C9" s="13">
        <v>4</v>
      </c>
      <c r="D9" s="4">
        <f>VLOOKUP(C9,AI!$A$2:$B$7,2,0)</f>
        <v>2</v>
      </c>
      <c r="E9" s="4">
        <f>VLOOKUP(C9,AI!$C$2:$D$7,2,0)</f>
        <v>2</v>
      </c>
      <c r="F9" s="4">
        <f>VLOOKUP(C9,AI!$E$2:$F$7,2,0)</f>
        <v>2</v>
      </c>
      <c r="G9" s="4">
        <f>VLOOKUP(C9,AI!$G$2:$H$7,2,0)</f>
        <v>16</v>
      </c>
      <c r="H9" s="4">
        <f>VLOOKUP(C9,AI!$I$2:$J$7,2,0)</f>
        <v>2</v>
      </c>
      <c r="I9" s="4">
        <f>VLOOKUP(C9,AI!$K$2:$L$7,2,0)</f>
        <v>1</v>
      </c>
      <c r="J9" s="4">
        <f>VLOOKUP(C9,AI!$M$2:$N$7,2,0)</f>
        <v>0</v>
      </c>
    </row>
    <row r="10" spans="1:10" x14ac:dyDescent="0.15">
      <c r="C10" s="1" t="s">
        <v>83</v>
      </c>
      <c r="D10" s="12">
        <f>D9/($D$9+$E$9+$G$9+$I$9)</f>
        <v>9.5238095238095233E-2</v>
      </c>
      <c r="E10" s="12">
        <f>E9/($D$9+$E$9+$G$9+$I$9)</f>
        <v>9.5238095238095233E-2</v>
      </c>
      <c r="F10" s="12"/>
      <c r="G10" s="12">
        <f>G9/($D$9+$E$9+$G$9+$I$9)</f>
        <v>0.76190476190476186</v>
      </c>
      <c r="H10" s="12"/>
      <c r="I10" s="12">
        <f>I9/($D$9+$E$9+$G$9+$I$9)</f>
        <v>4.7619047619047616E-2</v>
      </c>
      <c r="J10" s="12">
        <f>J9/($D$9+$E$9+$G$9+$I$9)</f>
        <v>0</v>
      </c>
    </row>
    <row r="12" spans="1:10" x14ac:dyDescent="0.15">
      <c r="B12" s="1" t="s">
        <v>129</v>
      </c>
    </row>
    <row r="13" spans="1:10" x14ac:dyDescent="0.15">
      <c r="C13" s="1" t="s">
        <v>131</v>
      </c>
    </row>
    <row r="14" spans="1:10" x14ac:dyDescent="0.15">
      <c r="D14" s="3" t="s">
        <v>130</v>
      </c>
      <c r="E14" s="3" t="s">
        <v>4</v>
      </c>
      <c r="F14" s="3" t="s">
        <v>5</v>
      </c>
      <c r="G14" s="3" t="s">
        <v>132</v>
      </c>
    </row>
    <row r="15" spans="1:10" x14ac:dyDescent="0.15">
      <c r="C15" s="3" t="s">
        <v>9</v>
      </c>
      <c r="D15" s="4">
        <f>($D$3-1)*职业定位属性配比!E11</f>
        <v>0.24</v>
      </c>
      <c r="E15" s="4">
        <f>($D$3-1)*职业定位属性配比!F11</f>
        <v>1.6</v>
      </c>
      <c r="F15" s="4">
        <f>($D$3-1)*职业定位属性配比!G11</f>
        <v>0.2</v>
      </c>
      <c r="G15" s="4">
        <f>SUM(D15:F15)/3</f>
        <v>0.68</v>
      </c>
    </row>
    <row r="16" spans="1:10" x14ac:dyDescent="0.15">
      <c r="C16" s="3" t="s">
        <v>133</v>
      </c>
      <c r="D16" s="4">
        <f>($D$4-1)*职业定位属性配比!E10</f>
        <v>2.1120000000000001</v>
      </c>
      <c r="E16" s="4">
        <f>($D$4-1)*职业定位属性配比!F10</f>
        <v>0.8</v>
      </c>
      <c r="F16" s="4">
        <f>($D$4-1)*职业定位属性配比!G10</f>
        <v>0.8</v>
      </c>
      <c r="G16" s="4">
        <f>SUM(D16:F16)/3</f>
        <v>1.2373333333333332</v>
      </c>
    </row>
    <row r="18" spans="1:8" x14ac:dyDescent="0.15">
      <c r="C18" s="1" t="s">
        <v>136</v>
      </c>
    </row>
    <row r="19" spans="1:8" x14ac:dyDescent="0.15">
      <c r="D19" s="3" t="s">
        <v>134</v>
      </c>
      <c r="E19" s="1">
        <v>0</v>
      </c>
      <c r="F19" s="1">
        <v>1</v>
      </c>
      <c r="G19" s="1">
        <v>2</v>
      </c>
      <c r="H19" s="1">
        <v>3</v>
      </c>
    </row>
    <row r="20" spans="1:8" x14ac:dyDescent="0.15">
      <c r="D20" s="3" t="s">
        <v>135</v>
      </c>
      <c r="E20" s="12">
        <f>(1-G10)^E3</f>
        <v>1.349746247705432E-2</v>
      </c>
      <c r="F20" s="12">
        <f>COMBIN($E$3,F19)*$G$10^F19*(1-$G$10)^($E$3-F19)</f>
        <v>0.12957563977972145</v>
      </c>
      <c r="G20" s="12">
        <f t="shared" ref="G20:H20" si="0">COMBIN($E$3,G19)*$G$10^G19*(1-$G$10)^($E$3-G19)</f>
        <v>0.41464204729510851</v>
      </c>
      <c r="H20" s="12">
        <f t="shared" si="0"/>
        <v>0.44228485044811566</v>
      </c>
    </row>
    <row r="21" spans="1:8" x14ac:dyDescent="0.15">
      <c r="C21" s="1" t="s">
        <v>138</v>
      </c>
    </row>
    <row r="22" spans="1:8" x14ac:dyDescent="0.15">
      <c r="D22" s="3" t="s">
        <v>137</v>
      </c>
      <c r="E22" s="4">
        <f>F20*G15*F19+G20*G15*G19+H20*G15*H19</f>
        <v>1.5542857142857143</v>
      </c>
    </row>
    <row r="23" spans="1:8" x14ac:dyDescent="0.15">
      <c r="D23" s="3" t="s">
        <v>10</v>
      </c>
      <c r="E23" s="4">
        <f>F20*G16*F19+G20*G16*G19+H20*G16*H19</f>
        <v>2.8281904761904753</v>
      </c>
    </row>
    <row r="25" spans="1:8" x14ac:dyDescent="0.15">
      <c r="A25" s="3" t="s">
        <v>121</v>
      </c>
    </row>
    <row r="26" spans="1:8" x14ac:dyDescent="0.15">
      <c r="C26" s="3" t="s">
        <v>123</v>
      </c>
      <c r="D26" s="3" t="s">
        <v>124</v>
      </c>
    </row>
    <row r="27" spans="1:8" x14ac:dyDescent="0.15">
      <c r="B27" s="3" t="s">
        <v>96</v>
      </c>
      <c r="C27" s="7">
        <f>职业定位属性配比!D48</f>
        <v>1.3</v>
      </c>
      <c r="D27" s="7">
        <f>职业定位属性配比!E48</f>
        <v>1.3</v>
      </c>
    </row>
    <row r="28" spans="1:8" x14ac:dyDescent="0.15">
      <c r="B28" s="3" t="s">
        <v>97</v>
      </c>
      <c r="C28" s="7">
        <f>职业定位属性配比!D49</f>
        <v>1.5</v>
      </c>
      <c r="D28" s="7">
        <f>职业定位属性配比!E49</f>
        <v>1.5</v>
      </c>
    </row>
    <row r="29" spans="1:8" x14ac:dyDescent="0.15">
      <c r="B29" s="3" t="s">
        <v>98</v>
      </c>
      <c r="C29" s="7">
        <f>职业定位属性配比!D50</f>
        <v>1.8</v>
      </c>
      <c r="D29" s="7">
        <f>职业定位属性配比!E50</f>
        <v>1.8</v>
      </c>
    </row>
    <row r="31" spans="1:8" x14ac:dyDescent="0.15">
      <c r="B31" s="3" t="s">
        <v>141</v>
      </c>
    </row>
    <row r="32" spans="1:8" x14ac:dyDescent="0.15">
      <c r="C32" s="25" t="s">
        <v>142</v>
      </c>
      <c r="E32" s="1" t="s">
        <v>239</v>
      </c>
      <c r="F32" s="17">
        <v>0.97499999999999998</v>
      </c>
      <c r="G32" s="1" t="s">
        <v>241</v>
      </c>
    </row>
    <row r="33" spans="3:9" x14ac:dyDescent="0.15">
      <c r="D33" s="3" t="s">
        <v>96</v>
      </c>
      <c r="E33" s="7">
        <f>C27*$F$32</f>
        <v>1.2675000000000001</v>
      </c>
    </row>
    <row r="34" spans="3:9" x14ac:dyDescent="0.15">
      <c r="D34" s="3" t="s">
        <v>97</v>
      </c>
      <c r="E34" s="7">
        <f t="shared" ref="E34:E35" si="1">C28*$F$32</f>
        <v>1.4624999999999999</v>
      </c>
    </row>
    <row r="35" spans="3:9" x14ac:dyDescent="0.15">
      <c r="D35" s="3" t="s">
        <v>98</v>
      </c>
      <c r="E35" s="7">
        <f t="shared" si="1"/>
        <v>1.7549999999999999</v>
      </c>
    </row>
    <row r="37" spans="3:9" x14ac:dyDescent="0.15">
      <c r="C37" s="1" t="s">
        <v>143</v>
      </c>
    </row>
    <row r="38" spans="3:9" x14ac:dyDescent="0.15">
      <c r="D38" s="3" t="s">
        <v>144</v>
      </c>
    </row>
    <row r="39" spans="3:9" x14ac:dyDescent="0.15">
      <c r="E39" s="3" t="s">
        <v>145</v>
      </c>
      <c r="F39" s="3" t="s">
        <v>146</v>
      </c>
      <c r="G39" s="3" t="s">
        <v>147</v>
      </c>
      <c r="H39" s="3" t="s">
        <v>148</v>
      </c>
      <c r="I39" s="27" t="s">
        <v>149</v>
      </c>
    </row>
    <row r="40" spans="3:9" x14ac:dyDescent="0.15">
      <c r="E40" s="1">
        <v>1</v>
      </c>
      <c r="F40" s="1">
        <v>0</v>
      </c>
      <c r="G40" s="4">
        <f>F40*(1-1/职业定位属性配比!$N$57)</f>
        <v>0</v>
      </c>
      <c r="H40" s="4">
        <f>SUM($G$40:G40)</f>
        <v>0</v>
      </c>
      <c r="I40" s="33">
        <v>0</v>
      </c>
    </row>
    <row r="41" spans="3:9" x14ac:dyDescent="0.15">
      <c r="E41" s="1">
        <v>2</v>
      </c>
      <c r="F41" s="17">
        <v>0.1</v>
      </c>
      <c r="G41" s="4">
        <f>F41*(1-1/职业定位属性配比!$N$57)</f>
        <v>1.6666666666666663E-2</v>
      </c>
      <c r="H41" s="4">
        <f>SUM($G$40:G41)*职业定位属性配比!$N$57</f>
        <v>1.9999999999999993E-2</v>
      </c>
      <c r="I41" s="33">
        <f>H41/职业定位属性配比!$N$57/(1-1/职业定位属性配比!$N$57)</f>
        <v>0.1</v>
      </c>
    </row>
    <row r="42" spans="3:9" x14ac:dyDescent="0.15">
      <c r="E42" s="1">
        <v>3</v>
      </c>
      <c r="F42" s="17">
        <v>0.34</v>
      </c>
      <c r="G42" s="4">
        <f>(1-F41)*F42*(1-1/职业定位属性配比!$N$57)</f>
        <v>5.0999999999999997E-2</v>
      </c>
      <c r="H42" s="4">
        <f>SUM($G$40:G42)*职业定位属性配比!$N$57</f>
        <v>8.1199999999999981E-2</v>
      </c>
      <c r="I42" s="33">
        <f>H42/职业定位属性配比!$N$57/(1-1/职业定位属性配比!$N$57)</f>
        <v>0.40600000000000003</v>
      </c>
    </row>
    <row r="43" spans="3:9" x14ac:dyDescent="0.15">
      <c r="E43" s="1">
        <v>4</v>
      </c>
      <c r="F43" s="17">
        <v>0.5</v>
      </c>
      <c r="G43" s="4">
        <f>(1-F42)*(1-F41)*F43*(1-1/职业定位属性配比!$N$57)</f>
        <v>4.9499999999999988E-2</v>
      </c>
      <c r="H43" s="4">
        <f>SUM($G$40:G43)*职业定位属性配比!$N$57</f>
        <v>0.14059999999999997</v>
      </c>
      <c r="I43" s="33">
        <f>H43/职业定位属性配比!$N$57/(1-1/职业定位属性配比!$N$57)</f>
        <v>0.70300000000000007</v>
      </c>
    </row>
    <row r="44" spans="3:9" x14ac:dyDescent="0.15">
      <c r="E44" s="1">
        <v>5</v>
      </c>
      <c r="F44" s="17">
        <v>0.7</v>
      </c>
      <c r="G44" s="4">
        <f>(1-F42)*(1-F43)*(1-F41)*F44*(1-1/职业定位属性配比!$N$57)</f>
        <v>3.4649999999999986E-2</v>
      </c>
      <c r="H44" s="4">
        <f>SUM($G$40:G44)*职业定位属性配比!$N$57</f>
        <v>0.18217999999999995</v>
      </c>
      <c r="I44" s="33">
        <f>H44/职业定位属性配比!$N$57/(1-1/职业定位属性配比!$N$57)</f>
        <v>0.91089999999999993</v>
      </c>
    </row>
    <row r="45" spans="3:9" x14ac:dyDescent="0.15">
      <c r="E45" s="1">
        <v>6</v>
      </c>
      <c r="F45" s="17">
        <v>0.7</v>
      </c>
      <c r="G45" s="4">
        <f>(1-F42)*(1-F43)*(1-F44)*(1-F41)*F45*(1-1/职业定位属性配比!$N$57)</f>
        <v>1.0394999999999998E-2</v>
      </c>
      <c r="H45" s="4">
        <f>SUM($G$40:G45)*职业定位属性配比!$N$57</f>
        <v>0.19465399999999994</v>
      </c>
      <c r="I45" s="33">
        <f>H45/职业定位属性配比!$N$57/(1-1/职业定位属性配比!$N$57)</f>
        <v>0.97326999999999986</v>
      </c>
    </row>
    <row r="46" spans="3:9" x14ac:dyDescent="0.15">
      <c r="F46" s="17"/>
      <c r="G46" s="5"/>
      <c r="H46" s="5"/>
      <c r="I46" s="25"/>
    </row>
    <row r="47" spans="3:9" x14ac:dyDescent="0.15">
      <c r="D47" s="3" t="s">
        <v>96</v>
      </c>
      <c r="E47" s="7">
        <f>C27*(1-$H$42)</f>
        <v>1.1944400000000002</v>
      </c>
      <c r="F47" s="25" t="s">
        <v>168</v>
      </c>
    </row>
    <row r="48" spans="3:9" x14ac:dyDescent="0.15">
      <c r="D48" s="3" t="s">
        <v>97</v>
      </c>
      <c r="E48" s="7">
        <f t="shared" ref="E48:E49" si="2">C28*(1-$H$42)</f>
        <v>1.3782000000000001</v>
      </c>
    </row>
    <row r="49" spans="2:14" x14ac:dyDescent="0.15">
      <c r="D49" s="3" t="s">
        <v>98</v>
      </c>
      <c r="E49" s="7">
        <f t="shared" si="2"/>
        <v>1.6538400000000002</v>
      </c>
    </row>
    <row r="51" spans="2:14" x14ac:dyDescent="0.15">
      <c r="B51" s="27" t="s">
        <v>150</v>
      </c>
    </row>
    <row r="52" spans="2:14" x14ac:dyDescent="0.15">
      <c r="C52" s="1" t="s">
        <v>151</v>
      </c>
      <c r="D52"/>
      <c r="E52"/>
      <c r="F52"/>
      <c r="G52"/>
      <c r="H52"/>
      <c r="I52"/>
      <c r="J52"/>
      <c r="K52"/>
      <c r="L52"/>
      <c r="M52"/>
      <c r="N52"/>
    </row>
    <row r="53" spans="2:14" x14ac:dyDescent="0.15">
      <c r="C53"/>
      <c r="D53" s="3"/>
      <c r="E53" s="14" t="s">
        <v>152</v>
      </c>
      <c r="F53" s="14"/>
      <c r="G53" s="14" t="s">
        <v>153</v>
      </c>
      <c r="H53" s="14"/>
      <c r="I53" s="14" t="s">
        <v>154</v>
      </c>
      <c r="J53" s="14"/>
      <c r="K53" s="14" t="s">
        <v>155</v>
      </c>
      <c r="L53"/>
      <c r="M53" s="3" t="s">
        <v>156</v>
      </c>
      <c r="N53" s="3" t="s">
        <v>157</v>
      </c>
    </row>
    <row r="54" spans="2:14" x14ac:dyDescent="0.15">
      <c r="C54"/>
      <c r="D54" s="3" t="s">
        <v>158</v>
      </c>
      <c r="E54" s="3" t="s">
        <v>159</v>
      </c>
      <c r="F54" s="3" t="s">
        <v>160</v>
      </c>
      <c r="G54" s="3" t="s">
        <v>159</v>
      </c>
      <c r="H54" s="3" t="s">
        <v>160</v>
      </c>
      <c r="I54" s="3" t="s">
        <v>159</v>
      </c>
      <c r="J54" s="3" t="s">
        <v>160</v>
      </c>
      <c r="K54" s="14"/>
      <c r="L54" s="28" t="s">
        <v>161</v>
      </c>
      <c r="M54"/>
      <c r="N54" s="3"/>
    </row>
    <row r="55" spans="2:14" x14ac:dyDescent="0.15">
      <c r="C55"/>
      <c r="D55" s="1" t="s">
        <v>122</v>
      </c>
      <c r="E55" s="22">
        <v>1</v>
      </c>
      <c r="F55" s="1">
        <v>1</v>
      </c>
      <c r="G55"/>
      <c r="H55"/>
      <c r="I55"/>
      <c r="J55"/>
      <c r="K55" s="1">
        <v>1</v>
      </c>
      <c r="L55" s="28"/>
      <c r="M55"/>
      <c r="N55" s="3"/>
    </row>
    <row r="56" spans="2:14" x14ac:dyDescent="0.15">
      <c r="C56"/>
      <c r="D56" s="1" t="s">
        <v>162</v>
      </c>
      <c r="E56" s="22">
        <v>0.2</v>
      </c>
      <c r="F56" s="1">
        <v>1.5</v>
      </c>
      <c r="G56" s="22">
        <v>0.8</v>
      </c>
      <c r="H56" s="1">
        <v>1</v>
      </c>
      <c r="I56"/>
      <c r="J56"/>
      <c r="K56" s="5">
        <v>1.1000000000000001</v>
      </c>
      <c r="L56" s="36">
        <v>4.8636363636363633</v>
      </c>
      <c r="M56" s="1">
        <v>0.8</v>
      </c>
      <c r="N56" s="8">
        <v>0.15555555555555556</v>
      </c>
    </row>
    <row r="57" spans="2:14" x14ac:dyDescent="0.15">
      <c r="C57"/>
      <c r="D57" s="1" t="s">
        <v>163</v>
      </c>
      <c r="E57" s="22">
        <v>0.2</v>
      </c>
      <c r="F57" s="1">
        <v>1.5</v>
      </c>
      <c r="G57" s="22">
        <v>0.8</v>
      </c>
      <c r="H57" s="1">
        <v>1</v>
      </c>
      <c r="I57"/>
      <c r="J57"/>
      <c r="K57" s="5">
        <v>1.1000000000000001</v>
      </c>
      <c r="L57" s="36">
        <v>4.8636363636363633</v>
      </c>
      <c r="M57" s="1">
        <v>0.6</v>
      </c>
      <c r="N57" s="8">
        <v>0.11666666666666667</v>
      </c>
    </row>
    <row r="58" spans="2:14" x14ac:dyDescent="0.15">
      <c r="C58"/>
      <c r="D58" s="1" t="s">
        <v>164</v>
      </c>
      <c r="E58" s="22">
        <v>0.2</v>
      </c>
      <c r="F58" s="1">
        <v>1.5</v>
      </c>
      <c r="G58" s="22">
        <v>0.2</v>
      </c>
      <c r="H58" s="1">
        <v>0.75</v>
      </c>
      <c r="I58" s="22">
        <v>0.6</v>
      </c>
      <c r="J58" s="1">
        <v>1</v>
      </c>
      <c r="K58" s="5">
        <v>1.05</v>
      </c>
      <c r="L58" s="36">
        <v>5.0952380952380949</v>
      </c>
      <c r="M58" s="1">
        <v>1</v>
      </c>
      <c r="N58" s="8">
        <v>0.20370370370370369</v>
      </c>
    </row>
    <row r="59" spans="2:14" x14ac:dyDescent="0.15">
      <c r="C59"/>
      <c r="D59" s="1" t="s">
        <v>165</v>
      </c>
      <c r="E59" s="22">
        <v>0.2</v>
      </c>
      <c r="F59" s="1">
        <v>1.5</v>
      </c>
      <c r="G59" s="22">
        <v>0.2</v>
      </c>
      <c r="H59" s="1">
        <v>0.75</v>
      </c>
      <c r="I59" s="22">
        <v>0.6</v>
      </c>
      <c r="J59" s="1">
        <v>1</v>
      </c>
      <c r="K59" s="5">
        <v>1.05</v>
      </c>
      <c r="L59" s="36">
        <v>5.0952380952380949</v>
      </c>
      <c r="M59" s="1">
        <v>1</v>
      </c>
      <c r="N59" s="8">
        <v>0.20370370370370369</v>
      </c>
    </row>
    <row r="60" spans="2:14" x14ac:dyDescent="0.15">
      <c r="C60"/>
      <c r="D60" s="1" t="s">
        <v>166</v>
      </c>
      <c r="E60" s="22">
        <v>0.2</v>
      </c>
      <c r="F60" s="1">
        <v>1.5</v>
      </c>
      <c r="G60" s="22">
        <v>0.2</v>
      </c>
      <c r="H60" s="1">
        <v>0.75</v>
      </c>
      <c r="I60" s="22">
        <v>0.6</v>
      </c>
      <c r="J60" s="1">
        <v>1</v>
      </c>
      <c r="K60" s="5">
        <v>1.05</v>
      </c>
      <c r="L60" s="36">
        <v>5.0952380952380949</v>
      </c>
      <c r="M60" s="1">
        <v>1</v>
      </c>
      <c r="N60" s="8">
        <v>0.20370370370370369</v>
      </c>
    </row>
    <row r="62" spans="2:14" x14ac:dyDescent="0.15">
      <c r="C62" s="1" t="s">
        <v>167</v>
      </c>
      <c r="D62" s="26">
        <f>SUM(K56:K60)/5</f>
        <v>1.0699999999999998</v>
      </c>
      <c r="E62" s="1" t="s">
        <v>240</v>
      </c>
    </row>
    <row r="64" spans="2:14" x14ac:dyDescent="0.15">
      <c r="C64" s="25" t="s">
        <v>142</v>
      </c>
    </row>
    <row r="65" spans="2:7" x14ac:dyDescent="0.15">
      <c r="D65" s="3" t="s">
        <v>96</v>
      </c>
      <c r="E65" s="7">
        <f>D27/$D$62</f>
        <v>1.2149532710280375</v>
      </c>
    </row>
    <row r="66" spans="2:7" x14ac:dyDescent="0.15">
      <c r="D66" s="3" t="s">
        <v>97</v>
      </c>
      <c r="E66" s="7">
        <f t="shared" ref="E66:E67" si="3">D28/$D$62</f>
        <v>1.4018691588785048</v>
      </c>
    </row>
    <row r="67" spans="2:7" x14ac:dyDescent="0.15">
      <c r="D67" s="3" t="s">
        <v>98</v>
      </c>
      <c r="E67" s="7">
        <f t="shared" si="3"/>
        <v>1.6822429906542058</v>
      </c>
    </row>
    <row r="69" spans="2:7" x14ac:dyDescent="0.15">
      <c r="B69" s="3" t="s">
        <v>196</v>
      </c>
    </row>
    <row r="70" spans="2:7" x14ac:dyDescent="0.15">
      <c r="C70" s="1" t="s">
        <v>214</v>
      </c>
      <c r="E70" s="31">
        <f>(职业定位属性配比!T59-职业定位属性配比!I60)/职业定位属性配比!Q57</f>
        <v>0.57934596832956098</v>
      </c>
    </row>
    <row r="71" spans="2:7" x14ac:dyDescent="0.15">
      <c r="C71" s="1" t="s">
        <v>212</v>
      </c>
      <c r="E71" s="31">
        <f>(职业定位属性配比!U59-职业定位属性配比!J60)/职业定位属性配比!Q57</f>
        <v>0.5766181818181817</v>
      </c>
    </row>
    <row r="72" spans="2:7" x14ac:dyDescent="0.15">
      <c r="C72" s="1" t="s">
        <v>213</v>
      </c>
      <c r="E72" s="31">
        <f>(职业定位属性配比!V59-职业定位属性配比!K60)/职业定位属性配比!Q57</f>
        <v>0.24103896103896111</v>
      </c>
      <c r="F72" s="1" t="s">
        <v>242</v>
      </c>
    </row>
    <row r="74" spans="2:7" x14ac:dyDescent="0.15">
      <c r="C74" s="1" t="s">
        <v>215</v>
      </c>
    </row>
    <row r="75" spans="2:7" x14ac:dyDescent="0.15">
      <c r="D75" s="1" t="s">
        <v>218</v>
      </c>
      <c r="E75" s="1" t="s">
        <v>219</v>
      </c>
      <c r="F75" s="1" t="s">
        <v>216</v>
      </c>
      <c r="G75" s="1" t="s">
        <v>217</v>
      </c>
    </row>
    <row r="76" spans="2:7" x14ac:dyDescent="0.15">
      <c r="D76" s="17">
        <v>1.5</v>
      </c>
      <c r="E76" s="17">
        <v>1</v>
      </c>
      <c r="F76" s="4">
        <f>SQRT(E70/(D76*E76))*D76</f>
        <v>0.93221186030555392</v>
      </c>
      <c r="G76" s="4">
        <f>SQRT(E70/(D76*E76))*E76</f>
        <v>0.62147457353703595</v>
      </c>
    </row>
    <row r="77" spans="2:7" x14ac:dyDescent="0.15">
      <c r="D77" s="17"/>
      <c r="E77" s="17"/>
      <c r="F77" s="4"/>
      <c r="G77" s="4"/>
    </row>
    <row r="79" spans="2:7" x14ac:dyDescent="0.15">
      <c r="C79" s="1" t="s">
        <v>220</v>
      </c>
    </row>
    <row r="80" spans="2:7" x14ac:dyDescent="0.15">
      <c r="D80" s="1" t="s">
        <v>218</v>
      </c>
      <c r="E80" s="1" t="s">
        <v>219</v>
      </c>
      <c r="F80" s="1" t="s">
        <v>216</v>
      </c>
      <c r="G80" s="1" t="s">
        <v>217</v>
      </c>
    </row>
    <row r="81" spans="2:7" x14ac:dyDescent="0.15">
      <c r="D81" s="17">
        <v>1</v>
      </c>
      <c r="E81" s="17">
        <v>1.5</v>
      </c>
      <c r="F81" s="4">
        <f>SQRT(E71/(D81*E81))*D81</f>
        <v>0.62000977509400701</v>
      </c>
      <c r="G81" s="4">
        <f>SQRT(E71/(D81*E81))*E81</f>
        <v>0.93001466264101051</v>
      </c>
    </row>
    <row r="82" spans="2:7" x14ac:dyDescent="0.15">
      <c r="D82" s="17"/>
      <c r="E82" s="17"/>
      <c r="F82" s="4"/>
      <c r="G82" s="4"/>
    </row>
    <row r="84" spans="2:7" x14ac:dyDescent="0.15">
      <c r="C84" s="1" t="s">
        <v>221</v>
      </c>
    </row>
    <row r="85" spans="2:7" x14ac:dyDescent="0.15">
      <c r="D85" s="1" t="s">
        <v>218</v>
      </c>
      <c r="E85" s="1" t="s">
        <v>219</v>
      </c>
      <c r="F85" s="1" t="s">
        <v>216</v>
      </c>
      <c r="G85" s="1" t="s">
        <v>217</v>
      </c>
    </row>
    <row r="86" spans="2:7" x14ac:dyDescent="0.15">
      <c r="D86" s="17">
        <v>1</v>
      </c>
      <c r="E86" s="17">
        <v>1</v>
      </c>
      <c r="F86" s="4">
        <f>SQRT(E72/(D86*E86))*D86</f>
        <v>0.49095718860096255</v>
      </c>
      <c r="G86" s="4">
        <f>SQRT(E72/(D86*E86))*E86</f>
        <v>0.49095718860096255</v>
      </c>
    </row>
    <row r="87" spans="2:7" x14ac:dyDescent="0.15">
      <c r="D87" s="17"/>
      <c r="E87" s="17"/>
      <c r="F87" s="4"/>
      <c r="G87" s="4"/>
    </row>
    <row r="89" spans="2:7" x14ac:dyDescent="0.15">
      <c r="B89" s="3" t="s">
        <v>222</v>
      </c>
    </row>
    <row r="90" spans="2:7" x14ac:dyDescent="0.15">
      <c r="C90" s="1" t="s">
        <v>223</v>
      </c>
      <c r="E90" s="31">
        <f>职业定位属性配比!T59-职业定位属性配比!I60-技能基础价值!E70</f>
        <v>5.7934596832956098E-2</v>
      </c>
    </row>
    <row r="91" spans="2:7" x14ac:dyDescent="0.15">
      <c r="C91" s="1" t="s">
        <v>224</v>
      </c>
      <c r="E91" s="31">
        <f>职业定位属性配比!U59-职业定位属性配比!J60-技能基础价值!E71</f>
        <v>5.7661818181818258E-2</v>
      </c>
    </row>
    <row r="92" spans="2:7" x14ac:dyDescent="0.15">
      <c r="C92" s="1" t="s">
        <v>225</v>
      </c>
      <c r="E92" s="31">
        <f>职业定位属性配比!V59-职业定位属性配比!K60-技能基础价值!E72</f>
        <v>2.4103896103896127E-2</v>
      </c>
      <c r="F92" s="1" t="s">
        <v>243</v>
      </c>
    </row>
    <row r="94" spans="2:7" x14ac:dyDescent="0.15">
      <c r="B94" s="3" t="s">
        <v>226</v>
      </c>
    </row>
    <row r="95" spans="2:7" x14ac:dyDescent="0.15">
      <c r="D95" s="1" t="s">
        <v>227</v>
      </c>
      <c r="E95" s="1" t="s">
        <v>228</v>
      </c>
    </row>
    <row r="96" spans="2:7" x14ac:dyDescent="0.15">
      <c r="C96" s="3" t="s">
        <v>96</v>
      </c>
      <c r="D96" s="12">
        <f>C27*$D$112/E96</f>
        <v>0.70330687830687844</v>
      </c>
      <c r="E96" s="1">
        <v>3</v>
      </c>
    </row>
    <row r="97" spans="3:11" x14ac:dyDescent="0.15">
      <c r="C97" s="3" t="s">
        <v>97</v>
      </c>
      <c r="D97" s="12">
        <f>C28*$D$112/E97</f>
        <v>0.81150793650793662</v>
      </c>
      <c r="E97" s="1">
        <v>3</v>
      </c>
    </row>
    <row r="98" spans="3:11" x14ac:dyDescent="0.15">
      <c r="C98" s="3" t="s">
        <v>98</v>
      </c>
      <c r="D98" s="12">
        <f>C29*$D$112/E98</f>
        <v>0.9738095238095239</v>
      </c>
      <c r="E98" s="1">
        <v>3</v>
      </c>
    </row>
    <row r="101" spans="3:11" x14ac:dyDescent="0.15">
      <c r="C101" s="1" t="s">
        <v>229</v>
      </c>
    </row>
    <row r="102" spans="3:11" x14ac:dyDescent="0.15">
      <c r="D102" s="1" t="s">
        <v>230</v>
      </c>
      <c r="E102" s="1" t="s">
        <v>233</v>
      </c>
      <c r="F102" s="1" t="s">
        <v>234</v>
      </c>
      <c r="G102" s="1" t="s">
        <v>235</v>
      </c>
      <c r="H102" s="1" t="s">
        <v>234</v>
      </c>
      <c r="I102" s="1" t="s">
        <v>235</v>
      </c>
      <c r="J102" s="1" t="s">
        <v>234</v>
      </c>
      <c r="K102" s="1" t="s">
        <v>235</v>
      </c>
    </row>
    <row r="103" spans="3:11" x14ac:dyDescent="0.15">
      <c r="C103" s="3" t="s">
        <v>215</v>
      </c>
      <c r="D103" s="4">
        <f>ROUNDUP(职业定位属性配比!E12/职业定位属性配比!F11,0)</f>
        <v>7</v>
      </c>
      <c r="E103" s="1">
        <v>4</v>
      </c>
      <c r="F103" s="1">
        <v>1</v>
      </c>
      <c r="G103" s="12">
        <f>1/D103</f>
        <v>0.14285714285714285</v>
      </c>
      <c r="H103" s="1">
        <v>2</v>
      </c>
      <c r="I103" s="12">
        <f>1/D103</f>
        <v>0.14285714285714285</v>
      </c>
      <c r="J103" s="1">
        <v>3</v>
      </c>
      <c r="K103" s="12">
        <f>1/D103</f>
        <v>0.14285714285714285</v>
      </c>
    </row>
    <row r="104" spans="3:11" x14ac:dyDescent="0.15">
      <c r="C104" s="3" t="s">
        <v>231</v>
      </c>
      <c r="D104" s="4">
        <f>ROUNDUP(职业定位属性配比!F12/职业定位属性配比!F11,0)</f>
        <v>1</v>
      </c>
      <c r="E104" s="1">
        <v>0</v>
      </c>
      <c r="F104" s="35">
        <v>1</v>
      </c>
      <c r="G104" s="12">
        <v>0</v>
      </c>
      <c r="H104" s="1">
        <v>2</v>
      </c>
      <c r="I104" s="12">
        <v>0.5</v>
      </c>
      <c r="J104" s="1">
        <v>3</v>
      </c>
      <c r="K104" s="12">
        <v>0.5</v>
      </c>
    </row>
    <row r="105" spans="3:11" x14ac:dyDescent="0.15">
      <c r="C105" s="3" t="s">
        <v>232</v>
      </c>
      <c r="D105" s="4">
        <f>ROUNDUP(职业定位属性配比!G12/职业定位属性配比!F11,0)</f>
        <v>2</v>
      </c>
      <c r="E105" s="1">
        <v>0</v>
      </c>
      <c r="F105" s="35">
        <v>1</v>
      </c>
      <c r="G105" s="12">
        <v>0.25</v>
      </c>
      <c r="H105" s="1">
        <v>2</v>
      </c>
      <c r="I105" s="12">
        <v>0.25</v>
      </c>
      <c r="J105" s="1">
        <v>3</v>
      </c>
      <c r="K105" s="12">
        <v>0.5</v>
      </c>
    </row>
    <row r="106" spans="3:11" x14ac:dyDescent="0.15">
      <c r="F106" s="34"/>
    </row>
    <row r="107" spans="3:11" x14ac:dyDescent="0.15">
      <c r="C107" s="1" t="s">
        <v>236</v>
      </c>
    </row>
    <row r="108" spans="3:11" x14ac:dyDescent="0.15">
      <c r="C108" s="3" t="s">
        <v>215</v>
      </c>
      <c r="D108" s="4">
        <f>F103*G103+H103*I103+J103*K103</f>
        <v>0.8571428571428571</v>
      </c>
    </row>
    <row r="109" spans="3:11" x14ac:dyDescent="0.15">
      <c r="C109" s="3" t="s">
        <v>231</v>
      </c>
      <c r="D109" s="4">
        <f>H104*I104+J104*K104</f>
        <v>2.5</v>
      </c>
    </row>
    <row r="110" spans="3:11" x14ac:dyDescent="0.15">
      <c r="C110" s="3" t="s">
        <v>232</v>
      </c>
      <c r="D110" s="4">
        <f>F105*G105+H105*I105+J105*K105</f>
        <v>2.25</v>
      </c>
    </row>
    <row r="111" spans="3:11" x14ac:dyDescent="0.15">
      <c r="C111" s="1" t="s">
        <v>237</v>
      </c>
      <c r="D111" s="4">
        <f>SUM(D108:D110)/3</f>
        <v>1.8690476190476193</v>
      </c>
    </row>
    <row r="112" spans="3:11" x14ac:dyDescent="0.15">
      <c r="C112" s="1" t="s">
        <v>238</v>
      </c>
      <c r="D112" s="4">
        <f>(D111+E96)/E96</f>
        <v>1.6230158730158732</v>
      </c>
    </row>
    <row r="114" spans="2:5" x14ac:dyDescent="0.15">
      <c r="B114" s="3" t="s">
        <v>244</v>
      </c>
    </row>
    <row r="115" spans="2:5" x14ac:dyDescent="0.15">
      <c r="C115" s="1" t="s">
        <v>245</v>
      </c>
      <c r="D115" s="7">
        <f>职业定位属性配比!C40</f>
        <v>0.86842105263157898</v>
      </c>
    </row>
    <row r="116" spans="2:5" x14ac:dyDescent="0.15">
      <c r="C116" s="1" t="s">
        <v>246</v>
      </c>
      <c r="D116" s="31">
        <f>D115*职业定位属性配比!E10+(1-D115)*职业定位属性配比!F10</f>
        <v>2.4242105263157896</v>
      </c>
    </row>
    <row r="117" spans="2:5" x14ac:dyDescent="0.15">
      <c r="D117" s="1" t="s">
        <v>247</v>
      </c>
    </row>
    <row r="118" spans="2:5" x14ac:dyDescent="0.15">
      <c r="C118" s="3" t="s">
        <v>96</v>
      </c>
      <c r="D118" s="12">
        <f>D27/$D$116</f>
        <v>0.53625705601389495</v>
      </c>
    </row>
    <row r="119" spans="2:5" x14ac:dyDescent="0.15">
      <c r="C119" s="3" t="s">
        <v>97</v>
      </c>
      <c r="D119" s="12">
        <f t="shared" ref="D119:D120" si="4">D28/$D$116</f>
        <v>0.61875814155449416</v>
      </c>
    </row>
    <row r="120" spans="2:5" x14ac:dyDescent="0.15">
      <c r="C120" s="3" t="s">
        <v>98</v>
      </c>
      <c r="D120" s="12">
        <f t="shared" si="4"/>
        <v>0.74250976986539297</v>
      </c>
    </row>
    <row r="122" spans="2:5" x14ac:dyDescent="0.15">
      <c r="C122" s="3" t="s">
        <v>248</v>
      </c>
      <c r="D122" s="1" t="s">
        <v>247</v>
      </c>
      <c r="E122" s="1" t="s">
        <v>249</v>
      </c>
    </row>
    <row r="123" spans="2:5" x14ac:dyDescent="0.15">
      <c r="D123" s="12">
        <f>D119/E123</f>
        <v>0.20625271385149804</v>
      </c>
      <c r="E123" s="1">
        <v>3</v>
      </c>
    </row>
    <row r="125" spans="2:5" x14ac:dyDescent="0.15">
      <c r="B125" s="3" t="s">
        <v>250</v>
      </c>
    </row>
    <row r="126" spans="2:5" x14ac:dyDescent="0.15">
      <c r="C126" s="1" t="s">
        <v>258</v>
      </c>
    </row>
    <row r="127" spans="2:5" x14ac:dyDescent="0.15">
      <c r="E127" s="1" t="s">
        <v>228</v>
      </c>
    </row>
    <row r="128" spans="2:5" x14ac:dyDescent="0.15">
      <c r="C128" s="1" t="s">
        <v>259</v>
      </c>
      <c r="D128" s="4">
        <f>SUM(职业定位属性配比!E11:G11)/3*E128</f>
        <v>0.85</v>
      </c>
      <c r="E128" s="1">
        <v>1</v>
      </c>
    </row>
    <row r="130" spans="2:8" x14ac:dyDescent="0.15">
      <c r="B130" s="3" t="s">
        <v>252</v>
      </c>
    </row>
    <row r="131" spans="2:8" x14ac:dyDescent="0.15">
      <c r="D131" s="3" t="s">
        <v>262</v>
      </c>
      <c r="E131" s="3"/>
      <c r="F131" s="3"/>
      <c r="G131" s="3"/>
      <c r="H131" s="3"/>
    </row>
    <row r="132" spans="2:8" x14ac:dyDescent="0.15">
      <c r="C132" s="3" t="s">
        <v>253</v>
      </c>
      <c r="D132" s="4">
        <f>职业定位属性配比!C86</f>
        <v>0.62531645569620242</v>
      </c>
    </row>
    <row r="133" spans="2:8" x14ac:dyDescent="0.15">
      <c r="C133" s="3" t="s">
        <v>254</v>
      </c>
      <c r="D133" s="4">
        <f>职业定位属性配比!D86</f>
        <v>0.965064659332175</v>
      </c>
    </row>
    <row r="134" spans="2:8" x14ac:dyDescent="0.15">
      <c r="C134" s="3" t="s">
        <v>255</v>
      </c>
      <c r="D134" s="4">
        <f>职业定位属性配比!E86</f>
        <v>0.66287878787878796</v>
      </c>
    </row>
    <row r="135" spans="2:8" x14ac:dyDescent="0.15">
      <c r="C135" s="1" t="s">
        <v>257</v>
      </c>
      <c r="D135" s="4">
        <f>SUM(D132:D134)/3</f>
        <v>0.75108663430238842</v>
      </c>
    </row>
    <row r="136" spans="2:8" x14ac:dyDescent="0.15">
      <c r="D136" s="5"/>
    </row>
    <row r="137" spans="2:8" x14ac:dyDescent="0.15">
      <c r="C137" s="1" t="s">
        <v>263</v>
      </c>
      <c r="D137" s="19">
        <v>1</v>
      </c>
    </row>
    <row r="138" spans="2:8" x14ac:dyDescent="0.15">
      <c r="C138" s="1" t="s">
        <v>261</v>
      </c>
      <c r="D138" s="4">
        <f>D135*D137</f>
        <v>0.75108663430238842</v>
      </c>
    </row>
    <row r="139" spans="2:8" x14ac:dyDescent="0.15">
      <c r="D139" s="5"/>
    </row>
    <row r="140" spans="2:8" x14ac:dyDescent="0.15">
      <c r="B140" s="3" t="s">
        <v>251</v>
      </c>
    </row>
    <row r="141" spans="2:8" x14ac:dyDescent="0.15">
      <c r="C141" s="1" t="s">
        <v>260</v>
      </c>
      <c r="D141" s="5" t="s">
        <v>256</v>
      </c>
      <c r="E141" s="1" t="s">
        <v>261</v>
      </c>
    </row>
    <row r="142" spans="2:8" x14ac:dyDescent="0.15">
      <c r="C142" s="17">
        <v>0.1</v>
      </c>
      <c r="D142" s="1">
        <v>3</v>
      </c>
      <c r="E142" s="4">
        <f>C142*SUM(职业定位属性配比!E11:G11)*D142</f>
        <v>0.76500000000000001</v>
      </c>
    </row>
    <row r="143" spans="2:8" x14ac:dyDescent="0.15">
      <c r="C143" s="3"/>
    </row>
    <row r="144" spans="2:8" x14ac:dyDescent="0.15">
      <c r="C144" s="3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职业定位属性配比</vt:lpstr>
      <vt:lpstr>AI</vt:lpstr>
      <vt:lpstr>技能基础价值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yuuki</cp:lastModifiedBy>
  <dcterms:created xsi:type="dcterms:W3CDTF">2015-09-15T03:28:34Z</dcterms:created>
  <dcterms:modified xsi:type="dcterms:W3CDTF">2015-09-23T12:18:13Z</dcterms:modified>
</cp:coreProperties>
</file>