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charts/chart7.xml" ContentType="application/vnd.openxmlformats-officedocument.drawingml.chart+xml"/>
  <Override PartName="/xl/charts/chart10.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worksheets/sheet6.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charts/style1.xml" ContentType="application/vnd.ms-office.chartstyle+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charts/chart8.xml" ContentType="application/vnd.openxmlformats-officedocument.drawingml.chart+xml"/>
  <Override PartName="/xl/charts/chart9.xml" ContentType="application/vnd.openxmlformats-officedocument.drawingml.chart+xml"/>
  <Override PartName="/xl/charts/colors1.xml" ContentType="application/vnd.ms-office.chartcolorsty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0" windowWidth="28800" windowHeight="12450"/>
  </bookViews>
  <sheets>
    <sheet name="副本时间模板" sheetId="1" r:id="rId1"/>
    <sheet name="升级曲线" sheetId="4" r:id="rId2"/>
    <sheet name="投放控制方法" sheetId="5" r:id="rId3"/>
    <sheet name="Q&amp;A" sheetId="6" r:id="rId4"/>
    <sheet name="参考" sheetId="2" r:id="rId5"/>
    <sheet name="玩家历程（未完成）" sheetId="3" r:id="rId6"/>
  </sheets>
  <calcPr calcId="125725"/>
</workbook>
</file>

<file path=xl/calcChain.xml><?xml version="1.0" encoding="utf-8"?>
<calcChain xmlns="http://schemas.openxmlformats.org/spreadsheetml/2006/main">
  <c r="Y56" i="2"/>
  <c r="AD18" i="5"/>
  <c r="AE16"/>
  <c r="AD16"/>
  <c r="AD4"/>
  <c r="AC4"/>
  <c r="AB4"/>
  <c r="B119" i="4"/>
  <c r="D27"/>
  <c r="D28" s="1"/>
  <c r="D29" s="1"/>
  <c r="D30" s="1"/>
  <c r="D31" s="1"/>
  <c r="D32" s="1"/>
  <c r="D33" s="1"/>
  <c r="B29"/>
  <c r="B95"/>
  <c r="A3"/>
  <c r="A14" s="1"/>
  <c r="B36" s="1"/>
  <c r="B38" s="1"/>
  <c r="A4"/>
  <c r="A15" s="1"/>
  <c r="B46" s="1"/>
  <c r="A5"/>
  <c r="A16" s="1"/>
  <c r="B56" s="1"/>
  <c r="B58" s="1"/>
  <c r="A6"/>
  <c r="A17" s="1"/>
  <c r="B66" s="1"/>
  <c r="B68" s="1"/>
  <c r="A7"/>
  <c r="A18" s="1"/>
  <c r="B76" s="1"/>
  <c r="B78" s="1"/>
  <c r="A8"/>
  <c r="A19" s="1"/>
  <c r="B86" s="1"/>
  <c r="B88" s="1"/>
  <c r="A9"/>
  <c r="A20" s="1"/>
  <c r="B96" s="1"/>
  <c r="B98" s="1"/>
  <c r="A10"/>
  <c r="A21" s="1"/>
  <c r="B106" s="1"/>
  <c r="A11"/>
  <c r="A22" s="1"/>
  <c r="A2"/>
  <c r="A13" s="1"/>
  <c r="B26" s="1"/>
  <c r="B35" l="1"/>
  <c r="F27" s="1"/>
  <c r="B105"/>
  <c r="F104" s="1"/>
  <c r="B45"/>
  <c r="B85"/>
  <c r="F84" s="1"/>
  <c r="B55"/>
  <c r="B75"/>
  <c r="B48"/>
  <c r="D95"/>
  <c r="D35"/>
  <c r="B39" s="1"/>
  <c r="D36" s="1"/>
  <c r="D37" s="1"/>
  <c r="D38" s="1"/>
  <c r="D39" s="1"/>
  <c r="D40" s="1"/>
  <c r="D41" s="1"/>
  <c r="D42" s="1"/>
  <c r="D43" s="1"/>
  <c r="F43" s="1"/>
  <c r="D85"/>
  <c r="F74"/>
  <c r="B108"/>
  <c r="B65"/>
  <c r="F94"/>
  <c r="B116"/>
  <c r="F32"/>
  <c r="F26"/>
  <c r="B28"/>
  <c r="F44"/>
  <c r="F54"/>
  <c r="F33" l="1"/>
  <c r="U33" s="1"/>
  <c r="F28"/>
  <c r="U28" s="1"/>
  <c r="F34"/>
  <c r="F29"/>
  <c r="F31"/>
  <c r="F30"/>
  <c r="D45"/>
  <c r="F45" s="1"/>
  <c r="D75"/>
  <c r="F75" s="1"/>
  <c r="P84"/>
  <c r="U84"/>
  <c r="Z84"/>
  <c r="H30" i="3"/>
  <c r="J30" s="1"/>
  <c r="P44" i="4"/>
  <c r="U44"/>
  <c r="Z44"/>
  <c r="U27"/>
  <c r="P27"/>
  <c r="Z27"/>
  <c r="G26"/>
  <c r="P26"/>
  <c r="U26"/>
  <c r="Z26"/>
  <c r="U94"/>
  <c r="Z94"/>
  <c r="P94"/>
  <c r="H29" i="3"/>
  <c r="J29" s="1"/>
  <c r="U43" i="4"/>
  <c r="P43"/>
  <c r="Z43"/>
  <c r="Z32"/>
  <c r="P32"/>
  <c r="U32"/>
  <c r="Z33"/>
  <c r="Z104"/>
  <c r="P104"/>
  <c r="U104"/>
  <c r="P74"/>
  <c r="U74"/>
  <c r="Z74"/>
  <c r="P34"/>
  <c r="U34"/>
  <c r="Z34"/>
  <c r="Z28"/>
  <c r="Z31"/>
  <c r="P31"/>
  <c r="U31"/>
  <c r="H40" i="3"/>
  <c r="J40" s="1"/>
  <c r="U54" i="4"/>
  <c r="Z54"/>
  <c r="P54"/>
  <c r="P29"/>
  <c r="Z29"/>
  <c r="U29"/>
  <c r="U30"/>
  <c r="Z30"/>
  <c r="P30"/>
  <c r="B99"/>
  <c r="D96" s="1"/>
  <c r="B79"/>
  <c r="D76" s="1"/>
  <c r="B89"/>
  <c r="D86" s="1"/>
  <c r="F95"/>
  <c r="F38"/>
  <c r="F42"/>
  <c r="F41"/>
  <c r="F40"/>
  <c r="F37"/>
  <c r="F39"/>
  <c r="F36"/>
  <c r="F35"/>
  <c r="F85"/>
  <c r="D65"/>
  <c r="D55"/>
  <c r="F64"/>
  <c r="B115"/>
  <c r="D105" s="1"/>
  <c r="B118"/>
  <c r="H26"/>
  <c r="D3" i="3"/>
  <c r="G32" i="4"/>
  <c r="G34"/>
  <c r="G29"/>
  <c r="G27"/>
  <c r="B49" l="1"/>
  <c r="D46" s="1"/>
  <c r="D47" s="1"/>
  <c r="P33"/>
  <c r="Q35" s="1"/>
  <c r="R35" s="1"/>
  <c r="G30"/>
  <c r="G33"/>
  <c r="D10" i="3" s="1"/>
  <c r="B27" i="4"/>
  <c r="B30" s="1"/>
  <c r="G31"/>
  <c r="P28"/>
  <c r="G28"/>
  <c r="H28" i="3"/>
  <c r="J28" s="1"/>
  <c r="U42" i="4"/>
  <c r="P42"/>
  <c r="Z42"/>
  <c r="V28"/>
  <c r="W28" s="1"/>
  <c r="V26"/>
  <c r="W26" s="1"/>
  <c r="V32"/>
  <c r="W32" s="1"/>
  <c r="V34"/>
  <c r="W34" s="1"/>
  <c r="V29"/>
  <c r="W29" s="1"/>
  <c r="V27"/>
  <c r="W27" s="1"/>
  <c r="V30"/>
  <c r="W30" s="1"/>
  <c r="V31"/>
  <c r="W31" s="1"/>
  <c r="H25" i="3"/>
  <c r="J25" s="1"/>
  <c r="Z39" i="4"/>
  <c r="P39"/>
  <c r="U39"/>
  <c r="H22" i="3"/>
  <c r="J22" s="1"/>
  <c r="P36" i="4"/>
  <c r="U36"/>
  <c r="Z36"/>
  <c r="H21" i="3"/>
  <c r="J21" s="1"/>
  <c r="P35" i="4"/>
  <c r="U35"/>
  <c r="Z35"/>
  <c r="AA35" s="1"/>
  <c r="AB35" s="1"/>
  <c r="Z95"/>
  <c r="P95"/>
  <c r="U95"/>
  <c r="H27" i="3"/>
  <c r="J27" s="1"/>
  <c r="Z41" i="4"/>
  <c r="P41"/>
  <c r="U41"/>
  <c r="H24" i="3"/>
  <c r="J24" s="1"/>
  <c r="U38" i="4"/>
  <c r="Z38"/>
  <c r="P38"/>
  <c r="U75"/>
  <c r="P75"/>
  <c r="Z75"/>
  <c r="Q32"/>
  <c r="R32" s="1"/>
  <c r="Q29"/>
  <c r="R29" s="1"/>
  <c r="Q26"/>
  <c r="R26" s="1"/>
  <c r="Q31"/>
  <c r="R31" s="1"/>
  <c r="Q30"/>
  <c r="R30" s="1"/>
  <c r="Q28"/>
  <c r="R28" s="1"/>
  <c r="Q27"/>
  <c r="R27" s="1"/>
  <c r="Q34"/>
  <c r="R34" s="1"/>
  <c r="Q33"/>
  <c r="R33" s="1"/>
  <c r="P85"/>
  <c r="U85"/>
  <c r="Z85"/>
  <c r="H31" i="3"/>
  <c r="J31" s="1"/>
  <c r="P45" i="4"/>
  <c r="U45"/>
  <c r="Z45"/>
  <c r="AA28"/>
  <c r="AB28" s="1"/>
  <c r="AA27"/>
  <c r="AB27" s="1"/>
  <c r="AA33"/>
  <c r="AB33" s="1"/>
  <c r="AA34"/>
  <c r="AB34" s="1"/>
  <c r="AA32"/>
  <c r="AB32" s="1"/>
  <c r="AA31"/>
  <c r="AB31" s="1"/>
  <c r="AA30"/>
  <c r="AB30" s="1"/>
  <c r="AA29"/>
  <c r="AB29" s="1"/>
  <c r="AA26"/>
  <c r="AB26" s="1"/>
  <c r="H26" i="3"/>
  <c r="J26" s="1"/>
  <c r="Z40" i="4"/>
  <c r="P40"/>
  <c r="U40"/>
  <c r="H50" i="3"/>
  <c r="J50" s="1"/>
  <c r="Z64" i="4"/>
  <c r="P64"/>
  <c r="U64"/>
  <c r="H23" i="3"/>
  <c r="J23" s="1"/>
  <c r="P37" i="4"/>
  <c r="U37"/>
  <c r="Z37"/>
  <c r="V33"/>
  <c r="W33" s="1"/>
  <c r="D87"/>
  <c r="F86"/>
  <c r="D77"/>
  <c r="F76"/>
  <c r="D56"/>
  <c r="B59"/>
  <c r="D97"/>
  <c r="F96"/>
  <c r="B69"/>
  <c r="D66" s="1"/>
  <c r="G43"/>
  <c r="H43" s="1"/>
  <c r="G35"/>
  <c r="D12" i="3" s="1"/>
  <c r="G37" i="4"/>
  <c r="D14" i="3" s="1"/>
  <c r="G41" i="4"/>
  <c r="D18" i="3" s="1"/>
  <c r="G44" i="4"/>
  <c r="D21" i="3" s="1"/>
  <c r="G45" i="4"/>
  <c r="H45" s="1"/>
  <c r="G40"/>
  <c r="D17" i="3" s="1"/>
  <c r="G39" i="4"/>
  <c r="D16" i="3" s="1"/>
  <c r="G36" i="4"/>
  <c r="D13" i="3" s="1"/>
  <c r="B37" i="4"/>
  <c r="B40" s="1"/>
  <c r="G38"/>
  <c r="H38" s="1"/>
  <c r="G42"/>
  <c r="D19" i="3" s="1"/>
  <c r="F55" i="4"/>
  <c r="B109"/>
  <c r="D106" s="1"/>
  <c r="F65"/>
  <c r="F124"/>
  <c r="F120"/>
  <c r="F118"/>
  <c r="F114"/>
  <c r="F115"/>
  <c r="F123"/>
  <c r="F117"/>
  <c r="F116"/>
  <c r="F119"/>
  <c r="F122"/>
  <c r="F105"/>
  <c r="F121"/>
  <c r="H33"/>
  <c r="H34"/>
  <c r="D11" i="3"/>
  <c r="H29" i="4"/>
  <c r="D6" i="3"/>
  <c r="H28" i="4"/>
  <c r="D5" i="3"/>
  <c r="H31" i="4"/>
  <c r="D8" i="3"/>
  <c r="H30" i="4"/>
  <c r="D7" i="3"/>
  <c r="H27" i="4"/>
  <c r="D4" i="3"/>
  <c r="H32" i="4"/>
  <c r="D9" i="3"/>
  <c r="AA36" i="4" l="1"/>
  <c r="AB36" s="1"/>
  <c r="AA41"/>
  <c r="AB41" s="1"/>
  <c r="Q37"/>
  <c r="R37" s="1"/>
  <c r="AA40"/>
  <c r="AB40" s="1"/>
  <c r="F46"/>
  <c r="AA45"/>
  <c r="AB45" s="1"/>
  <c r="Q40"/>
  <c r="R40" s="1"/>
  <c r="P117"/>
  <c r="Z117"/>
  <c r="U117"/>
  <c r="Z121"/>
  <c r="P121"/>
  <c r="U121"/>
  <c r="U114"/>
  <c r="P114"/>
  <c r="Z114"/>
  <c r="P76"/>
  <c r="U76"/>
  <c r="Z76"/>
  <c r="P115"/>
  <c r="U115"/>
  <c r="Z115"/>
  <c r="U123"/>
  <c r="P123"/>
  <c r="Z123"/>
  <c r="Z55"/>
  <c r="P55"/>
  <c r="U55"/>
  <c r="AA43"/>
  <c r="AB43" s="1"/>
  <c r="Q39"/>
  <c r="R39" s="1"/>
  <c r="V39"/>
  <c r="W39" s="1"/>
  <c r="Q42"/>
  <c r="R42" s="1"/>
  <c r="Q45"/>
  <c r="R45" s="1"/>
  <c r="V36"/>
  <c r="W36" s="1"/>
  <c r="AA37"/>
  <c r="AB37" s="1"/>
  <c r="AA39"/>
  <c r="AB39" s="1"/>
  <c r="Q44"/>
  <c r="R44" s="1"/>
  <c r="P116"/>
  <c r="U116"/>
  <c r="Z116"/>
  <c r="Z96"/>
  <c r="P96"/>
  <c r="U96"/>
  <c r="Z119"/>
  <c r="P119"/>
  <c r="U119"/>
  <c r="P124"/>
  <c r="U124"/>
  <c r="Z124"/>
  <c r="V38"/>
  <c r="W38" s="1"/>
  <c r="AA42"/>
  <c r="AB42" s="1"/>
  <c r="AA44"/>
  <c r="AB44" s="1"/>
  <c r="Q41"/>
  <c r="R41" s="1"/>
  <c r="Q43"/>
  <c r="R43" s="1"/>
  <c r="V42"/>
  <c r="W42" s="1"/>
  <c r="V45"/>
  <c r="W45" s="1"/>
  <c r="P122"/>
  <c r="U122"/>
  <c r="Z122"/>
  <c r="U86"/>
  <c r="Z86"/>
  <c r="P86"/>
  <c r="V40"/>
  <c r="W40" s="1"/>
  <c r="AA38"/>
  <c r="AB38" s="1"/>
  <c r="Q38"/>
  <c r="R38" s="1"/>
  <c r="V44"/>
  <c r="W44" s="1"/>
  <c r="V43"/>
  <c r="W43" s="1"/>
  <c r="Z65"/>
  <c r="P65"/>
  <c r="U65"/>
  <c r="G46"/>
  <c r="D23" i="3" s="1"/>
  <c r="U46" i="4"/>
  <c r="P46"/>
  <c r="Q46" s="1"/>
  <c r="R46" s="1"/>
  <c r="Z46"/>
  <c r="AA46" s="1"/>
  <c r="AB46" s="1"/>
  <c r="Z120"/>
  <c r="P120"/>
  <c r="U120"/>
  <c r="Z105"/>
  <c r="P105"/>
  <c r="U105"/>
  <c r="U118"/>
  <c r="Z118"/>
  <c r="P118"/>
  <c r="V41"/>
  <c r="W41" s="1"/>
  <c r="Q36"/>
  <c r="R36" s="1"/>
  <c r="V37"/>
  <c r="W37" s="1"/>
  <c r="V35"/>
  <c r="W35" s="1"/>
  <c r="H41"/>
  <c r="D107"/>
  <c r="F106"/>
  <c r="D88"/>
  <c r="F87"/>
  <c r="D48"/>
  <c r="F47"/>
  <c r="D57"/>
  <c r="F56"/>
  <c r="H32" i="3"/>
  <c r="J32" s="1"/>
  <c r="D98" i="4"/>
  <c r="F97"/>
  <c r="D78"/>
  <c r="F77"/>
  <c r="D67"/>
  <c r="F66"/>
  <c r="D15" i="3"/>
  <c r="D22"/>
  <c r="D20"/>
  <c r="H44" i="4"/>
  <c r="H36"/>
  <c r="H40"/>
  <c r="H42"/>
  <c r="H39"/>
  <c r="H37"/>
  <c r="H35"/>
  <c r="H41" i="3"/>
  <c r="J41" s="1"/>
  <c r="H51"/>
  <c r="J51" s="1"/>
  <c r="B117" i="4"/>
  <c r="B120" s="1"/>
  <c r="H46" l="1"/>
  <c r="H42" i="3"/>
  <c r="J42" s="1"/>
  <c r="Z56" i="4"/>
  <c r="P56"/>
  <c r="U56"/>
  <c r="P106"/>
  <c r="U106"/>
  <c r="Z106"/>
  <c r="AA47"/>
  <c r="AB47" s="1"/>
  <c r="V47"/>
  <c r="W47" s="1"/>
  <c r="Z87"/>
  <c r="P87"/>
  <c r="U87"/>
  <c r="P77"/>
  <c r="U77"/>
  <c r="Z77"/>
  <c r="Z47"/>
  <c r="P47"/>
  <c r="U47"/>
  <c r="V46"/>
  <c r="W46" s="1"/>
  <c r="Z97"/>
  <c r="P97"/>
  <c r="U97"/>
  <c r="U66"/>
  <c r="P66"/>
  <c r="Z66"/>
  <c r="D79"/>
  <c r="F78"/>
  <c r="D49"/>
  <c r="F48"/>
  <c r="D108"/>
  <c r="F107"/>
  <c r="H33" i="3"/>
  <c r="J33" s="1"/>
  <c r="G47" i="4"/>
  <c r="D58"/>
  <c r="F57"/>
  <c r="D99"/>
  <c r="F98"/>
  <c r="D68"/>
  <c r="F67"/>
  <c r="D89"/>
  <c r="F88"/>
  <c r="Z88" l="1"/>
  <c r="P88"/>
  <c r="U88"/>
  <c r="P98"/>
  <c r="U98"/>
  <c r="Z98"/>
  <c r="G48"/>
  <c r="H48" s="1"/>
  <c r="Z48"/>
  <c r="P48"/>
  <c r="U48"/>
  <c r="P67"/>
  <c r="U67"/>
  <c r="Z67"/>
  <c r="U107"/>
  <c r="P107"/>
  <c r="Z107"/>
  <c r="U78"/>
  <c r="P78"/>
  <c r="Z78"/>
  <c r="Q47"/>
  <c r="R47" s="1"/>
  <c r="Z57"/>
  <c r="P57"/>
  <c r="U57"/>
  <c r="D90"/>
  <c r="F89"/>
  <c r="D50"/>
  <c r="F49"/>
  <c r="D69"/>
  <c r="F68"/>
  <c r="D24" i="3"/>
  <c r="H47" i="4"/>
  <c r="D59"/>
  <c r="F58"/>
  <c r="D109"/>
  <c r="F108"/>
  <c r="H43" i="3"/>
  <c r="J43" s="1"/>
  <c r="D80" i="4"/>
  <c r="F79"/>
  <c r="D100"/>
  <c r="F99"/>
  <c r="H34" i="3"/>
  <c r="J34" s="1"/>
  <c r="P108" i="4" l="1"/>
  <c r="U108"/>
  <c r="Z108"/>
  <c r="P68"/>
  <c r="U68"/>
  <c r="Z68"/>
  <c r="AA49"/>
  <c r="AB49" s="1"/>
  <c r="V48"/>
  <c r="W48" s="1"/>
  <c r="D25" i="3"/>
  <c r="AA48" i="4"/>
  <c r="AB48" s="1"/>
  <c r="U99"/>
  <c r="P99"/>
  <c r="Z99"/>
  <c r="Q48"/>
  <c r="R48" s="1"/>
  <c r="Z89"/>
  <c r="P89"/>
  <c r="U89"/>
  <c r="Z49"/>
  <c r="P49"/>
  <c r="U49"/>
  <c r="Z79"/>
  <c r="P79"/>
  <c r="U79"/>
  <c r="H44" i="3"/>
  <c r="J44" s="1"/>
  <c r="P58" i="4"/>
  <c r="U58"/>
  <c r="Z58"/>
  <c r="D110"/>
  <c r="F109"/>
  <c r="D81"/>
  <c r="F80"/>
  <c r="H35" i="3"/>
  <c r="J35" s="1"/>
  <c r="G49" i="4"/>
  <c r="D101"/>
  <c r="F100"/>
  <c r="D91"/>
  <c r="F90"/>
  <c r="D60"/>
  <c r="F59"/>
  <c r="D51"/>
  <c r="F50"/>
  <c r="D70"/>
  <c r="F69"/>
  <c r="P50" l="1"/>
  <c r="Q50" s="1"/>
  <c r="R50" s="1"/>
  <c r="U50"/>
  <c r="Z50"/>
  <c r="U59"/>
  <c r="P59"/>
  <c r="Z59"/>
  <c r="Z80"/>
  <c r="P80"/>
  <c r="U80"/>
  <c r="Q49"/>
  <c r="R49" s="1"/>
  <c r="P69"/>
  <c r="U69"/>
  <c r="Z69"/>
  <c r="P100"/>
  <c r="U100"/>
  <c r="Z100"/>
  <c r="V49"/>
  <c r="W49" s="1"/>
  <c r="U90"/>
  <c r="P90"/>
  <c r="Z90"/>
  <c r="P109"/>
  <c r="U109"/>
  <c r="Z109"/>
  <c r="D52"/>
  <c r="F51"/>
  <c r="H36" i="3"/>
  <c r="J36" s="1"/>
  <c r="D92" i="4"/>
  <c r="F91"/>
  <c r="D111"/>
  <c r="F110"/>
  <c r="D71"/>
  <c r="F70"/>
  <c r="D82"/>
  <c r="F81"/>
  <c r="D102"/>
  <c r="F101"/>
  <c r="H45" i="3"/>
  <c r="J45" s="1"/>
  <c r="G50" i="4"/>
  <c r="D26" i="3"/>
  <c r="H49" i="4"/>
  <c r="D61"/>
  <c r="F60"/>
  <c r="Z81" l="1"/>
  <c r="P81"/>
  <c r="U81"/>
  <c r="AA50"/>
  <c r="AB50" s="1"/>
  <c r="U110"/>
  <c r="P110"/>
  <c r="Z110"/>
  <c r="V51"/>
  <c r="W51" s="1"/>
  <c r="U70"/>
  <c r="Z70"/>
  <c r="P70"/>
  <c r="U51"/>
  <c r="P51"/>
  <c r="Z51"/>
  <c r="AA51" s="1"/>
  <c r="AB51" s="1"/>
  <c r="P101"/>
  <c r="U101"/>
  <c r="Z101"/>
  <c r="P91"/>
  <c r="U91"/>
  <c r="Z91"/>
  <c r="H46" i="3"/>
  <c r="J46" s="1"/>
  <c r="P60" i="4"/>
  <c r="U60"/>
  <c r="Z60"/>
  <c r="V50"/>
  <c r="W50" s="1"/>
  <c r="D93"/>
  <c r="F92"/>
  <c r="D112"/>
  <c r="F111"/>
  <c r="D53"/>
  <c r="F52"/>
  <c r="G51"/>
  <c r="H37" i="3"/>
  <c r="J37" s="1"/>
  <c r="D62" i="4"/>
  <c r="F61"/>
  <c r="D72"/>
  <c r="F71"/>
  <c r="D27" i="3"/>
  <c r="H50" i="4"/>
  <c r="D103"/>
  <c r="F102"/>
  <c r="D83"/>
  <c r="F82"/>
  <c r="H47" i="3" l="1"/>
  <c r="J47" s="1"/>
  <c r="P61" i="4"/>
  <c r="Z61"/>
  <c r="U61"/>
  <c r="Z111"/>
  <c r="P111"/>
  <c r="U111"/>
  <c r="Q51"/>
  <c r="R51" s="1"/>
  <c r="P92"/>
  <c r="U92"/>
  <c r="Z92"/>
  <c r="G52"/>
  <c r="H52" s="1"/>
  <c r="P52"/>
  <c r="U52"/>
  <c r="Z52"/>
  <c r="P82"/>
  <c r="U82"/>
  <c r="Z82"/>
  <c r="Z71"/>
  <c r="P71"/>
  <c r="U71"/>
  <c r="U102"/>
  <c r="Z102"/>
  <c r="P102"/>
  <c r="F93"/>
  <c r="F103"/>
  <c r="D113"/>
  <c r="F112"/>
  <c r="D73"/>
  <c r="F72"/>
  <c r="H38" i="3"/>
  <c r="J38" s="1"/>
  <c r="D63" i="4"/>
  <c r="F62"/>
  <c r="H51"/>
  <c r="D28" i="3"/>
  <c r="F83" i="4"/>
  <c r="F53"/>
  <c r="Z112" l="1"/>
  <c r="P112"/>
  <c r="U112"/>
  <c r="B77"/>
  <c r="B80" s="1"/>
  <c r="U83"/>
  <c r="P83"/>
  <c r="Z83"/>
  <c r="G60"/>
  <c r="D37" i="3" s="1"/>
  <c r="P53" i="4"/>
  <c r="U53"/>
  <c r="V59" s="1"/>
  <c r="W59" s="1"/>
  <c r="Z53"/>
  <c r="D29" i="3"/>
  <c r="Q52" i="4"/>
  <c r="R52" s="1"/>
  <c r="B97"/>
  <c r="B100" s="1"/>
  <c r="Z103"/>
  <c r="P103"/>
  <c r="U103"/>
  <c r="V52"/>
  <c r="W52" s="1"/>
  <c r="Z72"/>
  <c r="P72"/>
  <c r="U72"/>
  <c r="U62"/>
  <c r="V62" s="1"/>
  <c r="W62" s="1"/>
  <c r="Z62"/>
  <c r="AA62" s="1"/>
  <c r="AB62" s="1"/>
  <c r="P62"/>
  <c r="AA52"/>
  <c r="AB52" s="1"/>
  <c r="AA59"/>
  <c r="AB59" s="1"/>
  <c r="B87"/>
  <c r="B90" s="1"/>
  <c r="P93"/>
  <c r="Z93"/>
  <c r="U93"/>
  <c r="AA61"/>
  <c r="AB61" s="1"/>
  <c r="G61"/>
  <c r="D38" i="3" s="1"/>
  <c r="G54" i="4"/>
  <c r="D31" i="3" s="1"/>
  <c r="G58" i="4"/>
  <c r="H58" s="1"/>
  <c r="G55"/>
  <c r="D32" i="3" s="1"/>
  <c r="H39"/>
  <c r="J39" s="1"/>
  <c r="B47" i="4"/>
  <c r="B50" s="1"/>
  <c r="G53"/>
  <c r="F63"/>
  <c r="F113"/>
  <c r="G62"/>
  <c r="G57"/>
  <c r="G56"/>
  <c r="H48" i="3"/>
  <c r="J48" s="1"/>
  <c r="F73" i="4"/>
  <c r="G59"/>
  <c r="H60" l="1"/>
  <c r="Z73"/>
  <c r="P73"/>
  <c r="U73"/>
  <c r="V85"/>
  <c r="W85" s="1"/>
  <c r="Q61"/>
  <c r="R61" s="1"/>
  <c r="V61"/>
  <c r="W61" s="1"/>
  <c r="Q60"/>
  <c r="R60" s="1"/>
  <c r="V60"/>
  <c r="W60" s="1"/>
  <c r="Q57"/>
  <c r="R57" s="1"/>
  <c r="Q53"/>
  <c r="R53" s="1"/>
  <c r="Q56"/>
  <c r="R56" s="1"/>
  <c r="Q55"/>
  <c r="R55" s="1"/>
  <c r="Q54"/>
  <c r="R54" s="1"/>
  <c r="Q58"/>
  <c r="R58" s="1"/>
  <c r="Q59"/>
  <c r="R59" s="1"/>
  <c r="V57"/>
  <c r="W57" s="1"/>
  <c r="V55"/>
  <c r="W55" s="1"/>
  <c r="V54"/>
  <c r="W54" s="1"/>
  <c r="V58"/>
  <c r="W58" s="1"/>
  <c r="V56"/>
  <c r="W56" s="1"/>
  <c r="V53"/>
  <c r="W53" s="1"/>
  <c r="AA58"/>
  <c r="AB58" s="1"/>
  <c r="AA56"/>
  <c r="AB56" s="1"/>
  <c r="AA53"/>
  <c r="AB53" s="1"/>
  <c r="AA55"/>
  <c r="AB55" s="1"/>
  <c r="AA54"/>
  <c r="AB54" s="1"/>
  <c r="AA60"/>
  <c r="AB60" s="1"/>
  <c r="AA57"/>
  <c r="AB57" s="1"/>
  <c r="Q62"/>
  <c r="R62" s="1"/>
  <c r="G96"/>
  <c r="D73" i="3" s="1"/>
  <c r="Z63" i="4"/>
  <c r="AA95" s="1"/>
  <c r="AB95" s="1"/>
  <c r="P63"/>
  <c r="Q87" s="1"/>
  <c r="R87" s="1"/>
  <c r="U63"/>
  <c r="B107"/>
  <c r="B110" s="1"/>
  <c r="Z113"/>
  <c r="P113"/>
  <c r="U113"/>
  <c r="G70"/>
  <c r="D47" i="3" s="1"/>
  <c r="G69" i="4"/>
  <c r="D46" i="3" s="1"/>
  <c r="G71" i="4"/>
  <c r="H71" s="1"/>
  <c r="G65"/>
  <c r="H65" s="1"/>
  <c r="G68"/>
  <c r="H68" s="1"/>
  <c r="H55"/>
  <c r="H54"/>
  <c r="G113"/>
  <c r="H113" s="1"/>
  <c r="D35" i="3"/>
  <c r="G97" i="4"/>
  <c r="H97" s="1"/>
  <c r="G64"/>
  <c r="D41" i="3" s="1"/>
  <c r="G72" i="4"/>
  <c r="D49" i="3" s="1"/>
  <c r="H61" i="4"/>
  <c r="H56"/>
  <c r="D33" i="3"/>
  <c r="D39"/>
  <c r="H62" i="4"/>
  <c r="H49" i="3"/>
  <c r="J49" s="1"/>
  <c r="G87" i="4"/>
  <c r="G83"/>
  <c r="G63"/>
  <c r="G67"/>
  <c r="G66"/>
  <c r="G123"/>
  <c r="G85"/>
  <c r="G88"/>
  <c r="G91"/>
  <c r="G95"/>
  <c r="G94"/>
  <c r="G106"/>
  <c r="G76"/>
  <c r="G104"/>
  <c r="G93"/>
  <c r="G99"/>
  <c r="B57"/>
  <c r="B60" s="1"/>
  <c r="G120"/>
  <c r="G102"/>
  <c r="G84"/>
  <c r="G115"/>
  <c r="G111"/>
  <c r="D30" i="3"/>
  <c r="H53" i="4"/>
  <c r="D34" i="3"/>
  <c r="H57" i="4"/>
  <c r="G79"/>
  <c r="G98"/>
  <c r="G117"/>
  <c r="G103"/>
  <c r="G107"/>
  <c r="G118"/>
  <c r="G105"/>
  <c r="G74"/>
  <c r="G124"/>
  <c r="H124" s="1"/>
  <c r="G82"/>
  <c r="B67"/>
  <c r="B70" s="1"/>
  <c r="G73"/>
  <c r="G75"/>
  <c r="G77"/>
  <c r="G78"/>
  <c r="G101"/>
  <c r="G80"/>
  <c r="G86"/>
  <c r="G121"/>
  <c r="G81"/>
  <c r="G108"/>
  <c r="G119"/>
  <c r="D36" i="3"/>
  <c r="H59" i="4"/>
  <c r="G112"/>
  <c r="G122"/>
  <c r="G116"/>
  <c r="G89"/>
  <c r="G110"/>
  <c r="G100"/>
  <c r="G90"/>
  <c r="G92"/>
  <c r="G109"/>
  <c r="G114"/>
  <c r="AA111" l="1"/>
  <c r="AB111" s="1"/>
  <c r="AA103"/>
  <c r="AB103" s="1"/>
  <c r="AA70"/>
  <c r="AB70" s="1"/>
  <c r="V105"/>
  <c r="W105" s="1"/>
  <c r="AA69"/>
  <c r="AB69" s="1"/>
  <c r="AA105"/>
  <c r="AB105" s="1"/>
  <c r="AA98"/>
  <c r="AB98" s="1"/>
  <c r="AA93"/>
  <c r="AB93" s="1"/>
  <c r="H96"/>
  <c r="V106"/>
  <c r="W106" s="1"/>
  <c r="AA96"/>
  <c r="AB96" s="1"/>
  <c r="AA104"/>
  <c r="AB104" s="1"/>
  <c r="AA102"/>
  <c r="AB102" s="1"/>
  <c r="AA72"/>
  <c r="AB72" s="1"/>
  <c r="AA91"/>
  <c r="AB91" s="1"/>
  <c r="V99"/>
  <c r="W99" s="1"/>
  <c r="AA92"/>
  <c r="AB92" s="1"/>
  <c r="AA89"/>
  <c r="AB89" s="1"/>
  <c r="AA83"/>
  <c r="AB83" s="1"/>
  <c r="AA117"/>
  <c r="AB117" s="1"/>
  <c r="AA122"/>
  <c r="AB122" s="1"/>
  <c r="AA115"/>
  <c r="AB115" s="1"/>
  <c r="AA119"/>
  <c r="AB119" s="1"/>
  <c r="AA114"/>
  <c r="AB114" s="1"/>
  <c r="AA120"/>
  <c r="AB120" s="1"/>
  <c r="AA118"/>
  <c r="AB118" s="1"/>
  <c r="AA116"/>
  <c r="AB116" s="1"/>
  <c r="AA124"/>
  <c r="AB124" s="1"/>
  <c r="AA113"/>
  <c r="AB113" s="1"/>
  <c r="AA123"/>
  <c r="AB123" s="1"/>
  <c r="AA121"/>
  <c r="AB121" s="1"/>
  <c r="AA73"/>
  <c r="AB73" s="1"/>
  <c r="AA75"/>
  <c r="AB75" s="1"/>
  <c r="AA77"/>
  <c r="AB77" s="1"/>
  <c r="AA76"/>
  <c r="AB76" s="1"/>
  <c r="AA74"/>
  <c r="AB74" s="1"/>
  <c r="AA81"/>
  <c r="AB81" s="1"/>
  <c r="AA79"/>
  <c r="AB79" s="1"/>
  <c r="AA78"/>
  <c r="AB78" s="1"/>
  <c r="AA90"/>
  <c r="AB90" s="1"/>
  <c r="Q114"/>
  <c r="R114" s="1"/>
  <c r="Q122"/>
  <c r="R122" s="1"/>
  <c r="Q119"/>
  <c r="R119" s="1"/>
  <c r="Q121"/>
  <c r="R121" s="1"/>
  <c r="Q120"/>
  <c r="R120" s="1"/>
  <c r="Q123"/>
  <c r="R123" s="1"/>
  <c r="Q115"/>
  <c r="R115" s="1"/>
  <c r="Q116"/>
  <c r="R116" s="1"/>
  <c r="Q113"/>
  <c r="R113" s="1"/>
  <c r="Q118"/>
  <c r="R118" s="1"/>
  <c r="Q117"/>
  <c r="R117" s="1"/>
  <c r="Q124"/>
  <c r="R124" s="1"/>
  <c r="Q76"/>
  <c r="R76" s="1"/>
  <c r="Q77"/>
  <c r="R77" s="1"/>
  <c r="Q79"/>
  <c r="R79" s="1"/>
  <c r="Q74"/>
  <c r="R74" s="1"/>
  <c r="Q73"/>
  <c r="R73" s="1"/>
  <c r="Q75"/>
  <c r="R75" s="1"/>
  <c r="Q78"/>
  <c r="R78" s="1"/>
  <c r="Q99"/>
  <c r="R99" s="1"/>
  <c r="Q83"/>
  <c r="R83" s="1"/>
  <c r="Q107"/>
  <c r="R107" s="1"/>
  <c r="Q71"/>
  <c r="R71" s="1"/>
  <c r="V97"/>
  <c r="W97" s="1"/>
  <c r="V92"/>
  <c r="W92" s="1"/>
  <c r="Q91"/>
  <c r="R91" s="1"/>
  <c r="Q109"/>
  <c r="R109" s="1"/>
  <c r="V94"/>
  <c r="W94" s="1"/>
  <c r="V107"/>
  <c r="W107" s="1"/>
  <c r="Q86"/>
  <c r="R86" s="1"/>
  <c r="Q104"/>
  <c r="R104" s="1"/>
  <c r="V98"/>
  <c r="W98" s="1"/>
  <c r="AA71"/>
  <c r="AB71" s="1"/>
  <c r="AA112"/>
  <c r="AB112" s="1"/>
  <c r="AA84"/>
  <c r="AB84" s="1"/>
  <c r="Q93"/>
  <c r="R93" s="1"/>
  <c r="Q84"/>
  <c r="R84" s="1"/>
  <c r="Q105"/>
  <c r="R105" s="1"/>
  <c r="V89"/>
  <c r="W89" s="1"/>
  <c r="AA107"/>
  <c r="AB107" s="1"/>
  <c r="AA97"/>
  <c r="AB97" s="1"/>
  <c r="V95"/>
  <c r="W95" s="1"/>
  <c r="Q69"/>
  <c r="R69" s="1"/>
  <c r="Q111"/>
  <c r="R111" s="1"/>
  <c r="AA85"/>
  <c r="AB85" s="1"/>
  <c r="V104"/>
  <c r="W104" s="1"/>
  <c r="Q98"/>
  <c r="R98" s="1"/>
  <c r="V83"/>
  <c r="W83" s="1"/>
  <c r="AA106"/>
  <c r="AB106" s="1"/>
  <c r="AA101"/>
  <c r="AB101" s="1"/>
  <c r="Q67"/>
  <c r="R67" s="1"/>
  <c r="Q65"/>
  <c r="R65" s="1"/>
  <c r="Q64"/>
  <c r="R64" s="1"/>
  <c r="Q66"/>
  <c r="R66" s="1"/>
  <c r="Q63"/>
  <c r="R63" s="1"/>
  <c r="Q68"/>
  <c r="R68" s="1"/>
  <c r="Q92"/>
  <c r="R92" s="1"/>
  <c r="Q90"/>
  <c r="R90" s="1"/>
  <c r="V124"/>
  <c r="W124" s="1"/>
  <c r="V118"/>
  <c r="W118" s="1"/>
  <c r="V120"/>
  <c r="W120" s="1"/>
  <c r="V121"/>
  <c r="W121" s="1"/>
  <c r="V122"/>
  <c r="W122" s="1"/>
  <c r="V123"/>
  <c r="W123" s="1"/>
  <c r="V119"/>
  <c r="W119" s="1"/>
  <c r="V114"/>
  <c r="W114" s="1"/>
  <c r="V116"/>
  <c r="W116" s="1"/>
  <c r="V113"/>
  <c r="W113" s="1"/>
  <c r="V115"/>
  <c r="W115" s="1"/>
  <c r="V117"/>
  <c r="W117" s="1"/>
  <c r="V75"/>
  <c r="W75" s="1"/>
  <c r="V78"/>
  <c r="W78" s="1"/>
  <c r="V77"/>
  <c r="W77" s="1"/>
  <c r="V76"/>
  <c r="W76" s="1"/>
  <c r="V79"/>
  <c r="W79" s="1"/>
  <c r="V74"/>
  <c r="W74" s="1"/>
  <c r="V73"/>
  <c r="W73" s="1"/>
  <c r="V80"/>
  <c r="W80" s="1"/>
  <c r="V90"/>
  <c r="W90" s="1"/>
  <c r="Q97"/>
  <c r="R97" s="1"/>
  <c r="V86"/>
  <c r="W86" s="1"/>
  <c r="Q112"/>
  <c r="R112" s="1"/>
  <c r="Q100"/>
  <c r="R100" s="1"/>
  <c r="V93"/>
  <c r="W93" s="1"/>
  <c r="V91"/>
  <c r="W91" s="1"/>
  <c r="Q81"/>
  <c r="R81" s="1"/>
  <c r="Q72"/>
  <c r="R72" s="1"/>
  <c r="V101"/>
  <c r="W101" s="1"/>
  <c r="V82"/>
  <c r="W82" s="1"/>
  <c r="AA87"/>
  <c r="AB87" s="1"/>
  <c r="Q94"/>
  <c r="R94" s="1"/>
  <c r="Q85"/>
  <c r="R85" s="1"/>
  <c r="Q108"/>
  <c r="R108" s="1"/>
  <c r="AA109"/>
  <c r="AB109" s="1"/>
  <c r="AA99"/>
  <c r="AB99" s="1"/>
  <c r="V65"/>
  <c r="W65" s="1"/>
  <c r="V66"/>
  <c r="W66" s="1"/>
  <c r="V68"/>
  <c r="W68" s="1"/>
  <c r="V67"/>
  <c r="W67" s="1"/>
  <c r="V63"/>
  <c r="W63" s="1"/>
  <c r="V64"/>
  <c r="W64" s="1"/>
  <c r="V100"/>
  <c r="W100" s="1"/>
  <c r="V71"/>
  <c r="W71" s="1"/>
  <c r="V111"/>
  <c r="W111" s="1"/>
  <c r="Q102"/>
  <c r="R102" s="1"/>
  <c r="V109"/>
  <c r="W109" s="1"/>
  <c r="V72"/>
  <c r="W72" s="1"/>
  <c r="V84"/>
  <c r="W84" s="1"/>
  <c r="V70"/>
  <c r="W70" s="1"/>
  <c r="V112"/>
  <c r="W112" s="1"/>
  <c r="V69"/>
  <c r="W69" s="1"/>
  <c r="Q82"/>
  <c r="R82" s="1"/>
  <c r="AA82"/>
  <c r="AB82" s="1"/>
  <c r="Q101"/>
  <c r="R101" s="1"/>
  <c r="AA88"/>
  <c r="AB88" s="1"/>
  <c r="V103"/>
  <c r="W103" s="1"/>
  <c r="Q96"/>
  <c r="R96" s="1"/>
  <c r="Q89"/>
  <c r="R89" s="1"/>
  <c r="Q106"/>
  <c r="R106" s="1"/>
  <c r="V88"/>
  <c r="W88" s="1"/>
  <c r="AA108"/>
  <c r="AB108" s="1"/>
  <c r="AA63"/>
  <c r="AB63" s="1"/>
  <c r="AA67"/>
  <c r="AB67" s="1"/>
  <c r="AA68"/>
  <c r="AB68" s="1"/>
  <c r="AA64"/>
  <c r="AB64" s="1"/>
  <c r="AA66"/>
  <c r="AB66" s="1"/>
  <c r="AA65"/>
  <c r="AB65" s="1"/>
  <c r="AA80"/>
  <c r="AB80" s="1"/>
  <c r="AA100"/>
  <c r="AB100" s="1"/>
  <c r="V110"/>
  <c r="W110" s="1"/>
  <c r="V81"/>
  <c r="W81" s="1"/>
  <c r="V96"/>
  <c r="W96" s="1"/>
  <c r="Q80"/>
  <c r="R80" s="1"/>
  <c r="Q70"/>
  <c r="R70" s="1"/>
  <c r="Q110"/>
  <c r="R110" s="1"/>
  <c r="V102"/>
  <c r="W102" s="1"/>
  <c r="AA86"/>
  <c r="AB86" s="1"/>
  <c r="V108"/>
  <c r="W108" s="1"/>
  <c r="Q95"/>
  <c r="R95" s="1"/>
  <c r="Q88"/>
  <c r="R88" s="1"/>
  <c r="Q103"/>
  <c r="R103" s="1"/>
  <c r="V87"/>
  <c r="W87" s="1"/>
  <c r="AA110"/>
  <c r="AB110" s="1"/>
  <c r="AA94"/>
  <c r="AB94" s="1"/>
  <c r="D42" i="3"/>
  <c r="D45"/>
  <c r="H70" i="4"/>
  <c r="D74" i="3"/>
  <c r="H69" i="4"/>
  <c r="D48" i="3"/>
  <c r="D90"/>
  <c r="H64" i="4"/>
  <c r="H72"/>
  <c r="D53" i="3"/>
  <c r="H76" i="4"/>
  <c r="H89"/>
  <c r="D66" i="3"/>
  <c r="D87"/>
  <c r="H110" i="4"/>
  <c r="H73"/>
  <c r="D50" i="3"/>
  <c r="H104" i="4"/>
  <c r="D81" i="3"/>
  <c r="D65"/>
  <c r="H88" i="4"/>
  <c r="D67" i="3"/>
  <c r="H90" i="4"/>
  <c r="D54" i="3"/>
  <c r="H77" i="4"/>
  <c r="D89" i="3"/>
  <c r="H112" i="4"/>
  <c r="H98"/>
  <c r="D75" i="3"/>
  <c r="D91"/>
  <c r="H114" i="4"/>
  <c r="D99" i="3"/>
  <c r="H122" i="4"/>
  <c r="D85" i="3"/>
  <c r="H108" i="4"/>
  <c r="D94" i="3"/>
  <c r="H117" i="4"/>
  <c r="D79" i="3"/>
  <c r="H102" i="4"/>
  <c r="D83" i="3"/>
  <c r="H106" i="4"/>
  <c r="D44" i="3"/>
  <c r="H67" i="4"/>
  <c r="H116"/>
  <c r="D93" i="3"/>
  <c r="H103" i="4"/>
  <c r="D80" i="3"/>
  <c r="H66" i="4"/>
  <c r="D43" i="3"/>
  <c r="H111" i="4"/>
  <c r="D88" i="3"/>
  <c r="D57"/>
  <c r="H80" i="4"/>
  <c r="D70" i="3"/>
  <c r="H93" i="4"/>
  <c r="D51" i="3"/>
  <c r="H74" i="4"/>
  <c r="H99"/>
  <c r="D76" i="3"/>
  <c r="H91" i="4"/>
  <c r="D68" i="3"/>
  <c r="H87" i="4"/>
  <c r="D64" i="3"/>
  <c r="H107" i="4"/>
  <c r="D84" i="3"/>
  <c r="D100"/>
  <c r="H123" i="4"/>
  <c r="H101"/>
  <c r="D78" i="3"/>
  <c r="D82"/>
  <c r="H105" i="4"/>
  <c r="D63" i="3"/>
  <c r="H86" i="4"/>
  <c r="D69" i="3"/>
  <c r="H92" i="4"/>
  <c r="D98" i="3"/>
  <c r="H121" i="4"/>
  <c r="D55" i="3"/>
  <c r="H78" i="4"/>
  <c r="D56" i="3"/>
  <c r="H79" i="4"/>
  <c r="D72" i="3"/>
  <c r="H95" i="4"/>
  <c r="D60" i="3"/>
  <c r="H83" i="4"/>
  <c r="H119"/>
  <c r="D96" i="3"/>
  <c r="H84" i="4"/>
  <c r="D61" i="3"/>
  <c r="H115" i="4"/>
  <c r="D92" i="3"/>
  <c r="D95"/>
  <c r="H118" i="4"/>
  <c r="H85"/>
  <c r="D62" i="3"/>
  <c r="D77"/>
  <c r="H100" i="4"/>
  <c r="H75"/>
  <c r="D52" i="3"/>
  <c r="D86"/>
  <c r="H109" i="4"/>
  <c r="H81"/>
  <c r="D58" i="3"/>
  <c r="H82" i="4"/>
  <c r="D59" i="3"/>
  <c r="H120" i="4"/>
  <c r="D97" i="3"/>
  <c r="H94" i="4"/>
  <c r="D71" i="3"/>
  <c r="D40"/>
  <c r="H63" i="4"/>
  <c r="J178" i="2"/>
  <c r="J177"/>
  <c r="K177" s="1"/>
  <c r="J176"/>
  <c r="J175"/>
  <c r="J174"/>
  <c r="H167"/>
  <c r="H168"/>
  <c r="H169"/>
  <c r="H170"/>
  <c r="H171"/>
  <c r="H166"/>
  <c r="L174"/>
  <c r="L175"/>
  <c r="L176"/>
  <c r="L177"/>
  <c r="L178"/>
  <c r="L180"/>
  <c r="L179"/>
  <c r="L181"/>
  <c r="L182"/>
  <c r="L183"/>
  <c r="L184"/>
  <c r="L185"/>
  <c r="L186"/>
  <c r="K174"/>
  <c r="K175"/>
  <c r="K176"/>
  <c r="K178"/>
  <c r="K179"/>
  <c r="K180"/>
  <c r="K181"/>
  <c r="K182"/>
  <c r="K183"/>
  <c r="K184"/>
  <c r="K185"/>
  <c r="K186"/>
  <c r="K187"/>
  <c r="L187"/>
  <c r="J187"/>
  <c r="H182"/>
  <c r="H183"/>
  <c r="H184"/>
  <c r="H185"/>
  <c r="H186"/>
  <c r="H187"/>
  <c r="H175"/>
  <c r="H176"/>
  <c r="H177"/>
  <c r="H178"/>
  <c r="H179"/>
  <c r="H180"/>
  <c r="H181"/>
  <c r="H174"/>
  <c r="H198"/>
  <c r="H199"/>
  <c r="H200"/>
  <c r="H201"/>
  <c r="H202"/>
  <c r="H203"/>
  <c r="H197"/>
  <c r="H191"/>
  <c r="H192"/>
  <c r="H193"/>
  <c r="H194"/>
  <c r="H195"/>
  <c r="H196"/>
  <c r="H190"/>
  <c r="S172"/>
  <c r="R172"/>
  <c r="R173"/>
  <c r="R174"/>
  <c r="R175"/>
  <c r="R176"/>
  <c r="R177"/>
  <c r="K167"/>
  <c r="K168"/>
  <c r="K169"/>
  <c r="K170"/>
  <c r="K171"/>
  <c r="K166"/>
  <c r="K191"/>
  <c r="K192"/>
  <c r="K193"/>
  <c r="K195"/>
  <c r="K199"/>
  <c r="K200"/>
  <c r="K201"/>
  <c r="K203"/>
  <c r="L203"/>
  <c r="J203"/>
  <c r="L202"/>
  <c r="J202"/>
  <c r="K202" s="1"/>
  <c r="L201"/>
  <c r="J201"/>
  <c r="L200"/>
  <c r="J200"/>
  <c r="L199"/>
  <c r="J199"/>
  <c r="L198"/>
  <c r="J198"/>
  <c r="K198" s="1"/>
  <c r="L197"/>
  <c r="J197"/>
  <c r="K197" s="1"/>
  <c r="L196"/>
  <c r="J196"/>
  <c r="K196" s="1"/>
  <c r="L195"/>
  <c r="J195"/>
  <c r="L194"/>
  <c r="J194"/>
  <c r="K194" s="1"/>
  <c r="L193"/>
  <c r="J193"/>
  <c r="L192"/>
  <c r="J192"/>
  <c r="L191"/>
  <c r="J191"/>
  <c r="L190"/>
  <c r="J190"/>
  <c r="K190" s="1"/>
  <c r="M59" l="1"/>
  <c r="N59"/>
  <c r="M60"/>
  <c r="N60"/>
  <c r="U60"/>
  <c r="V60"/>
  <c r="N61"/>
  <c r="V61"/>
  <c r="W61"/>
  <c r="M64"/>
  <c r="N64"/>
  <c r="O64"/>
  <c r="N65"/>
  <c r="O65"/>
  <c r="U65"/>
  <c r="V65"/>
  <c r="F51"/>
  <c r="F52"/>
  <c r="P59" s="1"/>
  <c r="F53"/>
  <c r="F54"/>
  <c r="P61" s="1"/>
  <c r="F55"/>
  <c r="F56"/>
  <c r="Q62" s="1"/>
  <c r="F57"/>
  <c r="Q63" s="1"/>
  <c r="F58"/>
  <c r="P64" s="1"/>
  <c r="F59"/>
  <c r="F60"/>
  <c r="F61"/>
  <c r="F62"/>
  <c r="F63"/>
  <c r="F64"/>
  <c r="F50"/>
  <c r="E16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72"/>
  <c r="E8" i="1"/>
  <c r="D11"/>
  <c r="H7"/>
  <c r="D14"/>
  <c r="X268" i="2"/>
  <c r="X267"/>
  <c r="X266"/>
  <c r="X265"/>
  <c r="X264"/>
  <c r="X263"/>
  <c r="S268"/>
  <c r="S267"/>
  <c r="S266"/>
  <c r="S265"/>
  <c r="S264"/>
  <c r="Q269"/>
  <c r="V268"/>
  <c r="T268"/>
  <c r="Q268"/>
  <c r="V267"/>
  <c r="T267"/>
  <c r="Q267"/>
  <c r="V266"/>
  <c r="T266"/>
  <c r="Q266"/>
  <c r="V265"/>
  <c r="T265"/>
  <c r="Q265"/>
  <c r="V264"/>
  <c r="T264"/>
  <c r="Q264"/>
  <c r="T263"/>
  <c r="V263"/>
  <c r="Q263"/>
  <c r="I53"/>
  <c r="I54" s="1"/>
  <c r="I55" s="1"/>
  <c r="K53"/>
  <c r="K54" s="1"/>
  <c r="L53"/>
  <c r="L54" s="1"/>
  <c r="M53"/>
  <c r="M54" s="1"/>
  <c r="N53"/>
  <c r="N54" s="1"/>
  <c r="O53"/>
  <c r="O54" s="1"/>
  <c r="P53"/>
  <c r="P54" s="1"/>
  <c r="Q53"/>
  <c r="Q54" s="1"/>
  <c r="R53"/>
  <c r="R54" s="1"/>
  <c r="S53"/>
  <c r="S54" s="1"/>
  <c r="T53"/>
  <c r="T54" s="1"/>
  <c r="U53"/>
  <c r="U54" s="1"/>
  <c r="V53"/>
  <c r="V54" s="1"/>
  <c r="W53"/>
  <c r="W54" s="1"/>
  <c r="X53"/>
  <c r="X54" s="1"/>
  <c r="Y53"/>
  <c r="Y54" s="1"/>
  <c r="J53"/>
  <c r="J54" s="1"/>
  <c r="E7" i="1"/>
  <c r="E87"/>
  <c r="F87"/>
  <c r="F102"/>
  <c r="E102"/>
  <c r="D102"/>
  <c r="G90"/>
  <c r="E73"/>
  <c r="F73"/>
  <c r="I73"/>
  <c r="D87"/>
  <c r="F117"/>
  <c r="E117"/>
  <c r="D117"/>
  <c r="G105"/>
  <c r="D104"/>
  <c r="D108"/>
  <c r="D109"/>
  <c r="D110"/>
  <c r="D111"/>
  <c r="D112"/>
  <c r="D113"/>
  <c r="D114"/>
  <c r="D115"/>
  <c r="D116"/>
  <c r="D107"/>
  <c r="E105"/>
  <c r="D78"/>
  <c r="D79"/>
  <c r="D80"/>
  <c r="D81"/>
  <c r="D82"/>
  <c r="D83"/>
  <c r="D84"/>
  <c r="D85"/>
  <c r="D86"/>
  <c r="D77"/>
  <c r="N20" i="2"/>
  <c r="N19"/>
  <c r="N18"/>
  <c r="N17"/>
  <c r="N16"/>
  <c r="N15"/>
  <c r="C75" i="1"/>
  <c r="D73"/>
  <c r="E108"/>
  <c r="F108"/>
  <c r="E109"/>
  <c r="F109"/>
  <c r="E110"/>
  <c r="F110"/>
  <c r="E111"/>
  <c r="F111"/>
  <c r="E112"/>
  <c r="F112"/>
  <c r="E113"/>
  <c r="F113"/>
  <c r="E114"/>
  <c r="F114"/>
  <c r="E115"/>
  <c r="F115"/>
  <c r="E116"/>
  <c r="F116"/>
  <c r="E64"/>
  <c r="F64"/>
  <c r="D34"/>
  <c r="D48" s="1"/>
  <c r="F48" s="1"/>
  <c r="D49" s="1"/>
  <c r="D35"/>
  <c r="F126"/>
  <c r="H139"/>
  <c r="C161"/>
  <c r="D161"/>
  <c r="E107"/>
  <c r="F107"/>
  <c r="E63"/>
  <c r="F63"/>
  <c r="F125"/>
  <c r="H138"/>
  <c r="C160"/>
  <c r="D160"/>
  <c r="E65"/>
  <c r="F65"/>
  <c r="F127"/>
  <c r="H140"/>
  <c r="C162"/>
  <c r="D162"/>
  <c r="E66"/>
  <c r="F66"/>
  <c r="F128"/>
  <c r="H141"/>
  <c r="C163"/>
  <c r="D163"/>
  <c r="E67"/>
  <c r="F67"/>
  <c r="F129"/>
  <c r="H142"/>
  <c r="C164"/>
  <c r="D164"/>
  <c r="G160"/>
  <c r="H160"/>
  <c r="G161"/>
  <c r="H161"/>
  <c r="G162"/>
  <c r="H162"/>
  <c r="G163"/>
  <c r="H163"/>
  <c r="G164"/>
  <c r="H164"/>
  <c r="C145"/>
  <c r="D145"/>
  <c r="C153"/>
  <c r="D153"/>
  <c r="C154"/>
  <c r="D154"/>
  <c r="C155"/>
  <c r="D155"/>
  <c r="C156"/>
  <c r="D156"/>
  <c r="C152"/>
  <c r="D152"/>
  <c r="C148"/>
  <c r="D148"/>
  <c r="C149"/>
  <c r="D149"/>
  <c r="C147"/>
  <c r="D147"/>
  <c r="C141"/>
  <c r="C142"/>
  <c r="I141"/>
  <c r="J141"/>
  <c r="K141"/>
  <c r="I142"/>
  <c r="J142"/>
  <c r="K142"/>
  <c r="G128"/>
  <c r="H128"/>
  <c r="F35"/>
  <c r="I127" s="1"/>
  <c r="G129"/>
  <c r="H129"/>
  <c r="C146"/>
  <c r="D146"/>
  <c r="K140"/>
  <c r="J140"/>
  <c r="I140"/>
  <c r="C140"/>
  <c r="K139"/>
  <c r="J139"/>
  <c r="I139"/>
  <c r="C139"/>
  <c r="K138"/>
  <c r="J138"/>
  <c r="I138"/>
  <c r="C138"/>
  <c r="G126"/>
  <c r="H126"/>
  <c r="G127"/>
  <c r="H127"/>
  <c r="H125"/>
  <c r="G125"/>
  <c r="E77"/>
  <c r="F77"/>
  <c r="E78"/>
  <c r="F78"/>
  <c r="E79"/>
  <c r="F79"/>
  <c r="E80"/>
  <c r="F80"/>
  <c r="E81"/>
  <c r="F81"/>
  <c r="E82"/>
  <c r="F82"/>
  <c r="E83"/>
  <c r="F83"/>
  <c r="E84"/>
  <c r="F84"/>
  <c r="E85"/>
  <c r="F85"/>
  <c r="E86"/>
  <c r="F86"/>
  <c r="E68"/>
  <c r="F68"/>
  <c r="E69"/>
  <c r="F69"/>
  <c r="E70"/>
  <c r="F70"/>
  <c r="E71"/>
  <c r="F71"/>
  <c r="E72"/>
  <c r="F72"/>
  <c r="D47"/>
  <c r="D42"/>
  <c r="F42"/>
  <c r="D89"/>
  <c r="E90"/>
  <c r="D101"/>
  <c r="E101"/>
  <c r="F101"/>
  <c r="D100"/>
  <c r="E100"/>
  <c r="F100"/>
  <c r="D99"/>
  <c r="E99"/>
  <c r="F99"/>
  <c r="D98"/>
  <c r="E98"/>
  <c r="F98"/>
  <c r="D97"/>
  <c r="E97"/>
  <c r="F97"/>
  <c r="D96"/>
  <c r="E96"/>
  <c r="F96"/>
  <c r="D95"/>
  <c r="E95"/>
  <c r="F95"/>
  <c r="D94"/>
  <c r="E94"/>
  <c r="F94"/>
  <c r="D93"/>
  <c r="E93"/>
  <c r="F93"/>
  <c r="D92"/>
  <c r="E92"/>
  <c r="F92"/>
  <c r="E78" i="3" l="1"/>
  <c r="E51"/>
  <c r="F51" s="1"/>
  <c r="E85"/>
  <c r="E97"/>
  <c r="E90"/>
  <c r="G110" i="1"/>
  <c r="G65"/>
  <c r="G66"/>
  <c r="G67"/>
  <c r="I163"/>
  <c r="E155"/>
  <c r="E95" i="3"/>
  <c r="E162" i="1"/>
  <c r="G79"/>
  <c r="G68"/>
  <c r="E61" i="3"/>
  <c r="I160" i="1"/>
  <c r="E146"/>
  <c r="F146" s="1"/>
  <c r="E80" i="3"/>
  <c r="E91"/>
  <c r="G86" i="1"/>
  <c r="G99"/>
  <c r="E55" i="3"/>
  <c r="E56"/>
  <c r="E42"/>
  <c r="E94"/>
  <c r="G111" i="1"/>
  <c r="G63"/>
  <c r="E145"/>
  <c r="F145" s="1"/>
  <c r="E147"/>
  <c r="G77"/>
  <c r="G85"/>
  <c r="E62" i="3"/>
  <c r="I162" i="1"/>
  <c r="E50" i="3"/>
  <c r="E160" i="1"/>
  <c r="E149"/>
  <c r="E43" i="3"/>
  <c r="I164" i="1"/>
  <c r="G70"/>
  <c r="E48" i="3"/>
  <c r="G108" i="1"/>
  <c r="E153"/>
  <c r="G95"/>
  <c r="E71" i="3"/>
  <c r="E96"/>
  <c r="E93"/>
  <c r="E59"/>
  <c r="G112" i="1"/>
  <c r="E152"/>
  <c r="G82"/>
  <c r="G71"/>
  <c r="G100"/>
  <c r="G98"/>
  <c r="G96"/>
  <c r="G94"/>
  <c r="E81" i="3"/>
  <c r="G114" i="1"/>
  <c r="E164"/>
  <c r="E76" i="3"/>
  <c r="E45"/>
  <c r="E156" i="1"/>
  <c r="E99" i="3"/>
  <c r="E161" i="1"/>
  <c r="I161"/>
  <c r="G78"/>
  <c r="G101"/>
  <c r="G97"/>
  <c r="G93"/>
  <c r="E84" i="3"/>
  <c r="E83"/>
  <c r="E89"/>
  <c r="E92"/>
  <c r="E75"/>
  <c r="G109" i="1"/>
  <c r="E148"/>
  <c r="F149" s="1"/>
  <c r="G83"/>
  <c r="G72"/>
  <c r="G80"/>
  <c r="G69"/>
  <c r="G92"/>
  <c r="E65" i="3"/>
  <c r="G64" i="1"/>
  <c r="H64" s="1"/>
  <c r="E163"/>
  <c r="H66" s="1"/>
  <c r="E154"/>
  <c r="E86" i="3"/>
  <c r="G115" i="1"/>
  <c r="G84"/>
  <c r="E88" i="3"/>
  <c r="E60"/>
  <c r="G116" i="1"/>
  <c r="G81"/>
  <c r="E67" i="3"/>
  <c r="E52"/>
  <c r="I126" i="1"/>
  <c r="I128"/>
  <c r="F34"/>
  <c r="I129"/>
  <c r="I125"/>
  <c r="G107"/>
  <c r="G113"/>
  <c r="E68" i="3"/>
  <c r="E77"/>
  <c r="E66"/>
  <c r="E53"/>
  <c r="E58"/>
  <c r="E82"/>
  <c r="E87"/>
  <c r="E79"/>
  <c r="E72"/>
  <c r="E98"/>
  <c r="E69"/>
  <c r="E63"/>
  <c r="E54"/>
  <c r="E3"/>
  <c r="E7"/>
  <c r="E10"/>
  <c r="E18"/>
  <c r="E8"/>
  <c r="E19"/>
  <c r="E5"/>
  <c r="E14"/>
  <c r="F14" s="1"/>
  <c r="E12"/>
  <c r="E9"/>
  <c r="E13"/>
  <c r="E6"/>
  <c r="E4"/>
  <c r="E23"/>
  <c r="E16"/>
  <c r="E11"/>
  <c r="F11" s="1"/>
  <c r="E17"/>
  <c r="E21"/>
  <c r="E20"/>
  <c r="E22"/>
  <c r="E15"/>
  <c r="E24"/>
  <c r="F24" s="1"/>
  <c r="E25"/>
  <c r="E26"/>
  <c r="E27"/>
  <c r="E28"/>
  <c r="E29"/>
  <c r="E31"/>
  <c r="E38"/>
  <c r="E37"/>
  <c r="E32"/>
  <c r="F32" s="1"/>
  <c r="K32" s="1"/>
  <c r="E39"/>
  <c r="E49"/>
  <c r="E30"/>
  <c r="E46"/>
  <c r="E35"/>
  <c r="E47"/>
  <c r="E73"/>
  <c r="E34"/>
  <c r="F34" s="1"/>
  <c r="K34" s="1"/>
  <c r="E36"/>
  <c r="F36" s="1"/>
  <c r="K36" s="1"/>
  <c r="E41"/>
  <c r="E33"/>
  <c r="E74"/>
  <c r="E100"/>
  <c r="E70"/>
  <c r="E57"/>
  <c r="E44"/>
  <c r="F44" s="1"/>
  <c r="K44" s="1"/>
  <c r="E40"/>
  <c r="E64"/>
  <c r="M62" i="2"/>
  <c r="W65"/>
  <c r="U64"/>
  <c r="U62"/>
  <c r="Q65"/>
  <c r="V64"/>
  <c r="M63"/>
  <c r="M61"/>
  <c r="O59"/>
  <c r="W64"/>
  <c r="N63"/>
  <c r="U59"/>
  <c r="Q60"/>
  <c r="I81" s="1"/>
  <c r="M65"/>
  <c r="U63"/>
  <c r="O61"/>
  <c r="V59"/>
  <c r="V63"/>
  <c r="U61"/>
  <c r="W59"/>
  <c r="I86"/>
  <c r="I90"/>
  <c r="I88"/>
  <c r="I87"/>
  <c r="I89"/>
  <c r="I93"/>
  <c r="I92"/>
  <c r="I91"/>
  <c r="I95"/>
  <c r="I94"/>
  <c r="I105"/>
  <c r="I113"/>
  <c r="I121"/>
  <c r="I129"/>
  <c r="I137"/>
  <c r="I145"/>
  <c r="I153"/>
  <c r="I161"/>
  <c r="I135"/>
  <c r="I104"/>
  <c r="I112"/>
  <c r="I120"/>
  <c r="I128"/>
  <c r="I136"/>
  <c r="I144"/>
  <c r="I152"/>
  <c r="I160"/>
  <c r="I111"/>
  <c r="I127"/>
  <c r="I151"/>
  <c r="I109"/>
  <c r="I133"/>
  <c r="I149"/>
  <c r="I108"/>
  <c r="I116"/>
  <c r="I124"/>
  <c r="I132"/>
  <c r="I140"/>
  <c r="I148"/>
  <c r="I156"/>
  <c r="I107"/>
  <c r="I115"/>
  <c r="I123"/>
  <c r="I131"/>
  <c r="I139"/>
  <c r="I147"/>
  <c r="I155"/>
  <c r="I125"/>
  <c r="I157"/>
  <c r="I106"/>
  <c r="I114"/>
  <c r="I122"/>
  <c r="I130"/>
  <c r="I138"/>
  <c r="I146"/>
  <c r="I154"/>
  <c r="I101"/>
  <c r="I103"/>
  <c r="I119"/>
  <c r="I143"/>
  <c r="I159"/>
  <c r="I102"/>
  <c r="I110"/>
  <c r="I118"/>
  <c r="I126"/>
  <c r="I134"/>
  <c r="I142"/>
  <c r="I150"/>
  <c r="I158"/>
  <c r="I117"/>
  <c r="I141"/>
  <c r="N62"/>
  <c r="O63"/>
  <c r="W60"/>
  <c r="I59"/>
  <c r="R65"/>
  <c r="J65"/>
  <c r="R64"/>
  <c r="J64"/>
  <c r="R63"/>
  <c r="J63"/>
  <c r="R62"/>
  <c r="J62"/>
  <c r="R61"/>
  <c r="J61"/>
  <c r="R60"/>
  <c r="J60"/>
  <c r="R59"/>
  <c r="J59"/>
  <c r="I62"/>
  <c r="I63"/>
  <c r="I60"/>
  <c r="F81" s="1"/>
  <c r="S65"/>
  <c r="K65"/>
  <c r="S64"/>
  <c r="K64"/>
  <c r="S63"/>
  <c r="K63"/>
  <c r="S62"/>
  <c r="K62"/>
  <c r="S61"/>
  <c r="K61"/>
  <c r="S60"/>
  <c r="K60"/>
  <c r="S59"/>
  <c r="K59"/>
  <c r="I61"/>
  <c r="T65"/>
  <c r="L65"/>
  <c r="T64"/>
  <c r="L64"/>
  <c r="T63"/>
  <c r="L63"/>
  <c r="T62"/>
  <c r="L62"/>
  <c r="T61"/>
  <c r="L61"/>
  <c r="T60"/>
  <c r="L60"/>
  <c r="T59"/>
  <c r="L59"/>
  <c r="V62"/>
  <c r="I64"/>
  <c r="W62"/>
  <c r="I65"/>
  <c r="X65"/>
  <c r="P65"/>
  <c r="X64"/>
  <c r="X63"/>
  <c r="P63"/>
  <c r="X62"/>
  <c r="P62"/>
  <c r="X61"/>
  <c r="X60"/>
  <c r="P60"/>
  <c r="X59"/>
  <c r="W63"/>
  <c r="O62"/>
  <c r="O60"/>
  <c r="Y65"/>
  <c r="Y64"/>
  <c r="Q64"/>
  <c r="Y63"/>
  <c r="Y62"/>
  <c r="Y61"/>
  <c r="Q61"/>
  <c r="Y60"/>
  <c r="Y59"/>
  <c r="Q59"/>
  <c r="N55"/>
  <c r="R55"/>
  <c r="X55"/>
  <c r="Y55"/>
  <c r="Q55"/>
  <c r="K55"/>
  <c r="L55"/>
  <c r="V55"/>
  <c r="J55"/>
  <c r="S55"/>
  <c r="T55"/>
  <c r="U55"/>
  <c r="P55"/>
  <c r="W55"/>
  <c r="O55"/>
  <c r="M55"/>
  <c r="F50" i="3" l="1"/>
  <c r="K50" s="1"/>
  <c r="F43"/>
  <c r="K43" s="1"/>
  <c r="H63" i="1"/>
  <c r="F30" i="3"/>
  <c r="F21"/>
  <c r="F7"/>
  <c r="H65" i="1"/>
  <c r="F49" i="3"/>
  <c r="K49" s="1"/>
  <c r="F48"/>
  <c r="K48" s="1"/>
  <c r="F41"/>
  <c r="K41" s="1"/>
  <c r="F37"/>
  <c r="K37" s="1"/>
  <c r="F23"/>
  <c r="F19"/>
  <c r="J128" i="1"/>
  <c r="J125"/>
  <c r="J129"/>
  <c r="J127"/>
  <c r="J126"/>
  <c r="F46" i="3"/>
  <c r="K46" s="1"/>
  <c r="H67" i="1"/>
  <c r="F5" i="3"/>
  <c r="F147" i="1"/>
  <c r="F9" i="3"/>
  <c r="F39"/>
  <c r="K39" s="1"/>
  <c r="F148" i="1"/>
  <c r="F16" i="3"/>
  <c r="F15"/>
  <c r="F25"/>
  <c r="F27"/>
  <c r="F33"/>
  <c r="K33" s="1"/>
  <c r="F20"/>
  <c r="F35"/>
  <c r="K35" s="1"/>
  <c r="F31"/>
  <c r="K31" s="1"/>
  <c r="F22"/>
  <c r="F6"/>
  <c r="F18"/>
  <c r="F47"/>
  <c r="K47" s="1"/>
  <c r="F38"/>
  <c r="K38" s="1"/>
  <c r="F4"/>
  <c r="F8"/>
  <c r="F45"/>
  <c r="K45" s="1"/>
  <c r="F12"/>
  <c r="F28"/>
  <c r="F17"/>
  <c r="F42"/>
  <c r="K42" s="1"/>
  <c r="F40"/>
  <c r="K40" s="1"/>
  <c r="F29"/>
  <c r="F13"/>
  <c r="F10"/>
  <c r="F26"/>
  <c r="I85" i="2"/>
  <c r="I84"/>
  <c r="I82"/>
  <c r="I83"/>
  <c r="F90"/>
  <c r="F89"/>
  <c r="F88"/>
  <c r="F87"/>
  <c r="F86"/>
  <c r="F97"/>
  <c r="F96"/>
  <c r="F98"/>
  <c r="F100"/>
  <c r="F99"/>
  <c r="F85"/>
  <c r="F84"/>
  <c r="F83"/>
  <c r="F82"/>
  <c r="F92"/>
  <c r="F91"/>
  <c r="F95"/>
  <c r="F94"/>
  <c r="F93"/>
  <c r="F74"/>
  <c r="F72"/>
  <c r="F78"/>
  <c r="F73"/>
  <c r="F77"/>
  <c r="F76"/>
  <c r="F79"/>
  <c r="F75"/>
  <c r="F80"/>
  <c r="I75"/>
  <c r="I73"/>
  <c r="I74"/>
  <c r="I72"/>
  <c r="I78"/>
  <c r="I77"/>
  <c r="I76"/>
  <c r="I80"/>
  <c r="I79"/>
  <c r="F135"/>
  <c r="F143"/>
  <c r="F151"/>
  <c r="F159"/>
  <c r="F107"/>
  <c r="F115"/>
  <c r="F123"/>
  <c r="F131"/>
  <c r="F133"/>
  <c r="F105"/>
  <c r="F129"/>
  <c r="F112"/>
  <c r="F134"/>
  <c r="F142"/>
  <c r="F150"/>
  <c r="F158"/>
  <c r="F106"/>
  <c r="F114"/>
  <c r="F122"/>
  <c r="F130"/>
  <c r="F149"/>
  <c r="F113"/>
  <c r="F140"/>
  <c r="F156"/>
  <c r="F120"/>
  <c r="F155"/>
  <c r="F127"/>
  <c r="F138"/>
  <c r="F146"/>
  <c r="F154"/>
  <c r="F102"/>
  <c r="F110"/>
  <c r="F118"/>
  <c r="F126"/>
  <c r="F137"/>
  <c r="F145"/>
  <c r="F153"/>
  <c r="F161"/>
  <c r="F109"/>
  <c r="F117"/>
  <c r="F125"/>
  <c r="F147"/>
  <c r="F111"/>
  <c r="F136"/>
  <c r="F144"/>
  <c r="F152"/>
  <c r="F160"/>
  <c r="F108"/>
  <c r="F116"/>
  <c r="F124"/>
  <c r="F101"/>
  <c r="F141"/>
  <c r="F157"/>
  <c r="F121"/>
  <c r="F132"/>
  <c r="F148"/>
  <c r="F104"/>
  <c r="F128"/>
  <c r="F139"/>
  <c r="F103"/>
  <c r="F119"/>
  <c r="I96"/>
  <c r="I98"/>
  <c r="I97"/>
  <c r="I100"/>
  <c r="I99"/>
  <c r="G133" l="1"/>
  <c r="G141"/>
  <c r="G149"/>
  <c r="G157"/>
  <c r="G72"/>
  <c r="G146"/>
  <c r="G132"/>
  <c r="G140"/>
  <c r="G148"/>
  <c r="G156"/>
  <c r="G73"/>
  <c r="G147"/>
  <c r="G154"/>
  <c r="G137"/>
  <c r="G161"/>
  <c r="G136"/>
  <c r="G144"/>
  <c r="G152"/>
  <c r="G160"/>
  <c r="G135"/>
  <c r="G143"/>
  <c r="G151"/>
  <c r="G159"/>
  <c r="G153"/>
  <c r="G134"/>
  <c r="G142"/>
  <c r="G150"/>
  <c r="G158"/>
  <c r="G139"/>
  <c r="G155"/>
  <c r="G138"/>
  <c r="G145"/>
  <c r="G103"/>
  <c r="G111"/>
  <c r="G87"/>
  <c r="G126"/>
  <c r="G94"/>
  <c r="G113"/>
  <c r="G106"/>
  <c r="G100"/>
  <c r="G91"/>
  <c r="G76"/>
  <c r="G128"/>
  <c r="G112"/>
  <c r="G121"/>
  <c r="G114"/>
  <c r="G108"/>
  <c r="G99"/>
  <c r="G110"/>
  <c r="G120"/>
  <c r="G86"/>
  <c r="G129"/>
  <c r="G122"/>
  <c r="G116"/>
  <c r="G107"/>
  <c r="G102"/>
  <c r="G78"/>
  <c r="G104"/>
  <c r="G119"/>
  <c r="G130"/>
  <c r="G124"/>
  <c r="G115"/>
  <c r="G93"/>
  <c r="G74"/>
  <c r="G127"/>
  <c r="G88"/>
  <c r="G81"/>
  <c r="G83"/>
  <c r="G123"/>
  <c r="G101"/>
  <c r="G77"/>
  <c r="G85"/>
  <c r="G95"/>
  <c r="G89"/>
  <c r="G82"/>
  <c r="G131"/>
  <c r="G109"/>
  <c r="G75"/>
  <c r="G80"/>
  <c r="G118"/>
  <c r="G97"/>
  <c r="G90"/>
  <c r="G84"/>
  <c r="G117"/>
  <c r="G96"/>
  <c r="G105"/>
  <c r="G98"/>
  <c r="G92"/>
  <c r="G125"/>
  <c r="G79"/>
  <c r="J78"/>
  <c r="J86"/>
  <c r="J94"/>
  <c r="J102"/>
  <c r="J110"/>
  <c r="J118"/>
  <c r="J126"/>
  <c r="J134"/>
  <c r="J142"/>
  <c r="J150"/>
  <c r="J158"/>
  <c r="J84"/>
  <c r="J83"/>
  <c r="J90"/>
  <c r="J77"/>
  <c r="J85"/>
  <c r="J93"/>
  <c r="J101"/>
  <c r="J109"/>
  <c r="J117"/>
  <c r="J125"/>
  <c r="J133"/>
  <c r="J141"/>
  <c r="J149"/>
  <c r="J157"/>
  <c r="J92"/>
  <c r="J100"/>
  <c r="J108"/>
  <c r="J124"/>
  <c r="J140"/>
  <c r="J156"/>
  <c r="J75"/>
  <c r="J74"/>
  <c r="J106"/>
  <c r="J122"/>
  <c r="J146"/>
  <c r="J154"/>
  <c r="J73"/>
  <c r="J81"/>
  <c r="J89"/>
  <c r="J97"/>
  <c r="J105"/>
  <c r="J113"/>
  <c r="J121"/>
  <c r="J129"/>
  <c r="J137"/>
  <c r="J145"/>
  <c r="J153"/>
  <c r="J161"/>
  <c r="J80"/>
  <c r="J88"/>
  <c r="J96"/>
  <c r="J104"/>
  <c r="J112"/>
  <c r="J120"/>
  <c r="J128"/>
  <c r="J136"/>
  <c r="J144"/>
  <c r="J152"/>
  <c r="J160"/>
  <c r="J155"/>
  <c r="J98"/>
  <c r="J114"/>
  <c r="J138"/>
  <c r="J79"/>
  <c r="J87"/>
  <c r="J95"/>
  <c r="J103"/>
  <c r="J111"/>
  <c r="J119"/>
  <c r="J127"/>
  <c r="J135"/>
  <c r="J143"/>
  <c r="J151"/>
  <c r="J159"/>
  <c r="J76"/>
  <c r="J116"/>
  <c r="J132"/>
  <c r="J148"/>
  <c r="J91"/>
  <c r="J99"/>
  <c r="J107"/>
  <c r="J115"/>
  <c r="J123"/>
  <c r="J131"/>
  <c r="J139"/>
  <c r="J147"/>
  <c r="J82"/>
  <c r="J130"/>
  <c r="J72"/>
</calcChain>
</file>

<file path=xl/sharedStrings.xml><?xml version="1.0" encoding="utf-8"?>
<sst xmlns="http://schemas.openxmlformats.org/spreadsheetml/2006/main" count="837" uniqueCount="535">
  <si>
    <t>新版对局时间模板</t>
    <phoneticPr fontId="1" type="noConversion"/>
  </si>
  <si>
    <t>每天时间</t>
    <phoneticPr fontId="1" type="noConversion"/>
  </si>
  <si>
    <t>focus数据表明，每天游戏时间2.5~5小时的玩家较多。</t>
    <phoneticPr fontId="1" type="noConversion"/>
  </si>
  <si>
    <t>分钟</t>
    <phoneticPr fontId="1" type="noConversion"/>
  </si>
  <si>
    <t>小时</t>
    <phoneticPr fontId="1" type="noConversion"/>
  </si>
  <si>
    <t>玩法基础时间模板</t>
    <phoneticPr fontId="1" type="noConversion"/>
  </si>
  <si>
    <t>活动/特殊副本的构成</t>
    <phoneticPr fontId="1" type="noConversion"/>
  </si>
  <si>
    <t>12s</t>
    <phoneticPr fontId="1" type="noConversion"/>
  </si>
  <si>
    <t>普通/精英副本的构成</t>
    <phoneticPr fontId="1" type="noConversion"/>
  </si>
  <si>
    <t>精英副本Boss对局时间</t>
  </si>
  <si>
    <t>普通副本Boss对局时间</t>
    <phoneticPr fontId="1" type="noConversion"/>
  </si>
  <si>
    <t>小怪对局个数</t>
    <phoneticPr fontId="1" type="noConversion"/>
  </si>
  <si>
    <t>boss对局个数</t>
    <phoneticPr fontId="1" type="noConversion"/>
  </si>
  <si>
    <t>活动副本Boss对局时间</t>
    <phoneticPr fontId="1" type="noConversion"/>
  </si>
  <si>
    <t>30s</t>
    <phoneticPr fontId="1" type="noConversion"/>
  </si>
  <si>
    <t>33s</t>
    <phoneticPr fontId="1" type="noConversion"/>
  </si>
  <si>
    <t>51s</t>
    <phoneticPr fontId="1" type="noConversion"/>
  </si>
  <si>
    <t>未释放大招</t>
    <phoneticPr fontId="1" type="noConversion"/>
  </si>
  <si>
    <t>27s</t>
    <phoneticPr fontId="1" type="noConversion"/>
  </si>
  <si>
    <t>自动释放大招</t>
    <phoneticPr fontId="1" type="noConversion"/>
  </si>
  <si>
    <t>22s</t>
    <phoneticPr fontId="1" type="noConversion"/>
  </si>
  <si>
    <t>25s</t>
    <phoneticPr fontId="1" type="noConversion"/>
  </si>
  <si>
    <t>阵亡</t>
    <phoneticPr fontId="1" type="noConversion"/>
  </si>
  <si>
    <t>29s</t>
    <phoneticPr fontId="1" type="noConversion"/>
  </si>
  <si>
    <t>48s</t>
    <phoneticPr fontId="1" type="noConversion"/>
  </si>
  <si>
    <t>13s</t>
    <phoneticPr fontId="1" type="noConversion"/>
  </si>
  <si>
    <t>20s</t>
    <phoneticPr fontId="1" type="noConversion"/>
  </si>
  <si>
    <t>28s</t>
    <phoneticPr fontId="1" type="noConversion"/>
  </si>
  <si>
    <t>dota精英副本对局</t>
    <phoneticPr fontId="1" type="noConversion"/>
  </si>
  <si>
    <t>32s</t>
    <phoneticPr fontId="1" type="noConversion"/>
  </si>
  <si>
    <t>31s</t>
    <phoneticPr fontId="1" type="noConversion"/>
  </si>
  <si>
    <t>26s</t>
    <phoneticPr fontId="1" type="noConversion"/>
  </si>
  <si>
    <t>19s</t>
    <phoneticPr fontId="1" type="noConversion"/>
  </si>
  <si>
    <t>15s</t>
    <phoneticPr fontId="1" type="noConversion"/>
  </si>
  <si>
    <t>4s</t>
    <phoneticPr fontId="1" type="noConversion"/>
  </si>
  <si>
    <t>9s</t>
    <phoneticPr fontId="1" type="noConversion"/>
  </si>
  <si>
    <t>活动本（女武神的对决）</t>
    <phoneticPr fontId="1" type="noConversion"/>
  </si>
  <si>
    <t>7s</t>
    <phoneticPr fontId="1" type="noConversion"/>
  </si>
  <si>
    <t>10s</t>
    <phoneticPr fontId="1" type="noConversion"/>
  </si>
  <si>
    <t>5s</t>
    <phoneticPr fontId="1" type="noConversion"/>
  </si>
  <si>
    <t>6s</t>
    <phoneticPr fontId="1" type="noConversion"/>
  </si>
  <si>
    <t>8s</t>
    <phoneticPr fontId="1" type="noConversion"/>
  </si>
  <si>
    <t>竞技场</t>
    <phoneticPr fontId="1" type="noConversion"/>
  </si>
  <si>
    <t>50s</t>
    <phoneticPr fontId="1" type="noConversion"/>
  </si>
  <si>
    <t>时光之穴</t>
    <phoneticPr fontId="1" type="noConversion"/>
  </si>
  <si>
    <t>34s</t>
    <phoneticPr fontId="1" type="noConversion"/>
  </si>
  <si>
    <t>释放大招</t>
  </si>
  <si>
    <t>dota普通副本对局</t>
    <phoneticPr fontId="1" type="noConversion"/>
  </si>
  <si>
    <t>魔灵召唤普通副本对局</t>
    <phoneticPr fontId="1" type="noConversion"/>
  </si>
  <si>
    <t>25s左右</t>
    <phoneticPr fontId="1" type="noConversion"/>
  </si>
  <si>
    <t>小怪</t>
    <phoneticPr fontId="1" type="noConversion"/>
  </si>
  <si>
    <t>Boss</t>
    <phoneticPr fontId="1" type="noConversion"/>
  </si>
  <si>
    <t>魔灵召唤困难副本对局</t>
    <phoneticPr fontId="1" type="noConversion"/>
  </si>
  <si>
    <t>50s左右</t>
    <phoneticPr fontId="1" type="noConversion"/>
  </si>
  <si>
    <t>90s左右</t>
    <phoneticPr fontId="1" type="noConversion"/>
  </si>
  <si>
    <t>魔灵召唤地下城对局</t>
    <phoneticPr fontId="1" type="noConversion"/>
  </si>
  <si>
    <t>普通副本</t>
  </si>
  <si>
    <t>精英副本小怪对局时间</t>
    <phoneticPr fontId="1" type="noConversion"/>
  </si>
  <si>
    <t>精英副本</t>
  </si>
  <si>
    <t>活动副本</t>
    <phoneticPr fontId="1" type="noConversion"/>
  </si>
  <si>
    <t>普通副本小怪对局时间</t>
    <phoneticPr fontId="1" type="noConversion"/>
  </si>
  <si>
    <t>普通副本百分比</t>
    <phoneticPr fontId="1" type="noConversion"/>
  </si>
  <si>
    <t>精英副本百分比</t>
    <phoneticPr fontId="1" type="noConversion"/>
  </si>
  <si>
    <t>平均耗时</t>
    <phoneticPr fontId="1" type="noConversion"/>
  </si>
  <si>
    <t>竞技场战斗时间</t>
    <phoneticPr fontId="1" type="noConversion"/>
  </si>
  <si>
    <t xml:space="preserve">50s </t>
    <phoneticPr fontId="1" type="noConversion"/>
  </si>
  <si>
    <t>90s</t>
    <phoneticPr fontId="1" type="noConversion"/>
  </si>
  <si>
    <t>等级模板</t>
    <phoneticPr fontId="1" type="noConversion"/>
  </si>
  <si>
    <t>等级时间公式</t>
    <phoneticPr fontId="1" type="noConversion"/>
  </si>
  <si>
    <t>T（lv）=s(lv)*t（level）*n（lv1）*（k0（plv）+k1（plv）+k2（plv）+……+kn(plv))*t（plv）</t>
    <phoneticPr fontId="1" type="noConversion"/>
  </si>
  <si>
    <t>其中t（level）是对局基础时间，</t>
    <phoneticPr fontId="1" type="noConversion"/>
  </si>
  <si>
    <t>t（plv）为预期周期。</t>
    <phoneticPr fontId="1" type="noConversion"/>
  </si>
  <si>
    <t>kn（plv）是根据开启的坑和活动对预期时间的调整，k0（plv）表示单次投放时间系数，plv代表等级段，k1（plv）、k2（plv）……kn(plv)代表每个等级段开放的活动数量</t>
    <phoneticPr fontId="1" type="noConversion"/>
  </si>
  <si>
    <t>s(lv)是随等级变化的对局修正系数是对（k0（plv）+k1（plv）+k2（plv）+……+kn(plv))的整体增量描述</t>
    <phoneticPr fontId="1" type="noConversion"/>
  </si>
  <si>
    <t>所以时间差在公式中体现在不同等级段的：S(plv)*（1+k1（plv）+k2（plv）+……+kn(plv))差</t>
    <phoneticPr fontId="1" type="noConversion"/>
  </si>
  <si>
    <t>其中S(plv)为等级段中所有s（lv）的和</t>
    <phoneticPr fontId="1" type="noConversion"/>
  </si>
  <si>
    <t>n（lv1）是Lv1到lv2预期对局次数，</t>
    <phoneticPr fontId="1" type="noConversion"/>
  </si>
  <si>
    <t>战斗时间等级分段</t>
    <phoneticPr fontId="1" type="noConversion"/>
  </si>
  <si>
    <t>天</t>
    <phoneticPr fontId="1" type="noConversion"/>
  </si>
  <si>
    <t>小时</t>
    <phoneticPr fontId="1" type="noConversion"/>
  </si>
  <si>
    <t>21~30</t>
    <phoneticPr fontId="1" type="noConversion"/>
  </si>
  <si>
    <t>31~40</t>
    <phoneticPr fontId="1" type="noConversion"/>
  </si>
  <si>
    <t>41~50</t>
    <phoneticPr fontId="1" type="noConversion"/>
  </si>
  <si>
    <t>总战斗时间</t>
    <phoneticPr fontId="1" type="noConversion"/>
  </si>
  <si>
    <t>小时</t>
    <phoneticPr fontId="1" type="noConversion"/>
  </si>
  <si>
    <t>1~10</t>
    <phoneticPr fontId="1" type="noConversion"/>
  </si>
  <si>
    <t>11~20</t>
    <phoneticPr fontId="1" type="noConversion"/>
  </si>
  <si>
    <t>51~60</t>
    <phoneticPr fontId="1" type="noConversion"/>
  </si>
  <si>
    <t>61~70</t>
    <phoneticPr fontId="1" type="noConversion"/>
  </si>
  <si>
    <t>71~80</t>
    <phoneticPr fontId="1" type="noConversion"/>
  </si>
  <si>
    <t>81~90</t>
    <phoneticPr fontId="1" type="noConversion"/>
  </si>
  <si>
    <t>预期副本数</t>
    <phoneticPr fontId="1" type="noConversion"/>
  </si>
  <si>
    <t>基于每天的活动分流</t>
    <phoneticPr fontId="1" type="noConversion"/>
  </si>
  <si>
    <t>玩法强度分流</t>
    <phoneticPr fontId="1" type="noConversion"/>
  </si>
  <si>
    <t>每日时间系数</t>
    <phoneticPr fontId="1" type="noConversion"/>
  </si>
  <si>
    <t>高强度系数</t>
    <phoneticPr fontId="1" type="noConversion"/>
  </si>
  <si>
    <t>中强度系数</t>
    <phoneticPr fontId="1" type="noConversion"/>
  </si>
  <si>
    <t>高强度时间</t>
    <phoneticPr fontId="1" type="noConversion"/>
  </si>
  <si>
    <t>中强度时间</t>
    <phoneticPr fontId="1" type="noConversion"/>
  </si>
  <si>
    <t>时间分流系数</t>
    <phoneticPr fontId="1" type="noConversion"/>
  </si>
  <si>
    <t>时间分流</t>
    <phoneticPr fontId="1" type="noConversion"/>
  </si>
  <si>
    <t>活动系数</t>
    <phoneticPr fontId="1" type="noConversion"/>
  </si>
  <si>
    <t>活动数量（等级段）</t>
    <phoneticPr fontId="1" type="noConversion"/>
  </si>
  <si>
    <t>活动对局修正系数</t>
    <phoneticPr fontId="1" type="noConversion"/>
  </si>
  <si>
    <t>主支线系数</t>
    <phoneticPr fontId="1" type="noConversion"/>
  </si>
  <si>
    <t>总权重</t>
    <phoneticPr fontId="1" type="noConversion"/>
  </si>
  <si>
    <t>活动比例</t>
    <phoneticPr fontId="1" type="noConversion"/>
  </si>
  <si>
    <t>主支线比例</t>
    <phoneticPr fontId="1" type="noConversion"/>
  </si>
  <si>
    <t>坑比例</t>
    <phoneticPr fontId="1" type="noConversion"/>
  </si>
  <si>
    <t>坑对局系数</t>
    <phoneticPr fontId="1" type="noConversion"/>
  </si>
  <si>
    <t>小时</t>
    <phoneticPr fontId="1" type="noConversion"/>
  </si>
  <si>
    <t>分钟</t>
    <phoneticPr fontId="1" type="noConversion"/>
  </si>
  <si>
    <t>对局增量</t>
    <phoneticPr fontId="1" type="noConversion"/>
  </si>
  <si>
    <t>中强度副本数</t>
    <phoneticPr fontId="1" type="noConversion"/>
  </si>
  <si>
    <t>期望副本数</t>
    <phoneticPr fontId="1" type="noConversion"/>
  </si>
  <si>
    <t>对应活动</t>
    <phoneticPr fontId="1" type="noConversion"/>
  </si>
  <si>
    <t>每日任务（普通本*10）</t>
    <phoneticPr fontId="1" type="noConversion"/>
  </si>
  <si>
    <t>31~40</t>
    <phoneticPr fontId="1" type="noConversion"/>
  </si>
  <si>
    <t>41~50</t>
    <phoneticPr fontId="1" type="noConversion"/>
  </si>
  <si>
    <t>期望副本数</t>
    <phoneticPr fontId="1" type="noConversion"/>
  </si>
  <si>
    <t>每天</t>
    <phoneticPr fontId="1" type="noConversion"/>
  </si>
  <si>
    <t>总体</t>
    <phoneticPr fontId="1" type="noConversion"/>
  </si>
  <si>
    <t>预计副本数</t>
    <phoneticPr fontId="1" type="noConversion"/>
  </si>
  <si>
    <t>困难日常（3），通天塔（5）</t>
    <phoneticPr fontId="1" type="noConversion"/>
  </si>
  <si>
    <t>高强度副本数</t>
    <phoneticPr fontId="1" type="noConversion"/>
  </si>
  <si>
    <t>月2000玩家极限系数</t>
    <phoneticPr fontId="1" type="noConversion"/>
  </si>
  <si>
    <t>非战斗时间需填补每天游戏时间2.5h以上的玩家时间</t>
    <phoneticPr fontId="1" type="noConversion"/>
  </si>
  <si>
    <t>2.疲劳回复</t>
    <phoneticPr fontId="1" type="noConversion"/>
  </si>
  <si>
    <t>3.装备，宠物，宝石强化</t>
    <phoneticPr fontId="1" type="noConversion"/>
  </si>
  <si>
    <t>4.类coc收集</t>
    <phoneticPr fontId="1" type="noConversion"/>
  </si>
  <si>
    <t>5.挂机刷刷刷</t>
    <phoneticPr fontId="1" type="noConversion"/>
  </si>
  <si>
    <t>6.玩家抽怪</t>
    <phoneticPr fontId="1" type="noConversion"/>
  </si>
  <si>
    <t>7.商店购买道具</t>
    <phoneticPr fontId="1" type="noConversion"/>
  </si>
  <si>
    <t>仍需考虑</t>
    <phoneticPr fontId="1" type="noConversion"/>
  </si>
  <si>
    <t>需要考虑：</t>
    <phoneticPr fontId="1" type="noConversion"/>
  </si>
  <si>
    <t>实现方法：</t>
    <phoneticPr fontId="1" type="noConversion"/>
  </si>
  <si>
    <t>1.前期rmb玩家提升效率手段少同时获得方式单一，无法通过rmb大量提升效率</t>
    <phoneticPr fontId="1" type="noConversion"/>
  </si>
  <si>
    <t>技能升级指引</t>
    <phoneticPr fontId="1" type="noConversion"/>
  </si>
  <si>
    <t>强化装备指引</t>
    <phoneticPr fontId="1" type="noConversion"/>
  </si>
  <si>
    <t>一级坑</t>
    <phoneticPr fontId="1" type="noConversion"/>
  </si>
  <si>
    <t>寿命消耗可以多，玩家等级增长不宜多，战力获取效率可多</t>
    <phoneticPr fontId="1" type="noConversion"/>
  </si>
  <si>
    <t>还要考虑免费玩家战力过低带来的活动过难，或者rmb玩家战力过高带来的新增活动过于简单的问题</t>
    <phoneticPr fontId="1" type="noConversion"/>
  </si>
  <si>
    <t>rmb玩家与非rmb玩家在前3~7天效率与升级时间应木有过多的差异</t>
    <phoneticPr fontId="1" type="noConversion"/>
  </si>
  <si>
    <t>时间修正参数</t>
    <phoneticPr fontId="1" type="noConversion"/>
  </si>
  <si>
    <t>月1000玩家极限系数</t>
    <phoneticPr fontId="1" type="noConversion"/>
  </si>
  <si>
    <t>魔灵召唤汇率</t>
    <phoneticPr fontId="1" type="noConversion"/>
  </si>
  <si>
    <t>rmb</t>
    <phoneticPr fontId="1" type="noConversion"/>
  </si>
  <si>
    <t>汇率</t>
    <phoneticPr fontId="1" type="noConversion"/>
  </si>
  <si>
    <t>公会任务（5）</t>
    <phoneticPr fontId="1" type="noConversion"/>
  </si>
  <si>
    <t>稀有XX（待修改）</t>
    <phoneticPr fontId="1" type="noConversion"/>
  </si>
  <si>
    <t>通天塔-降临boss（1）</t>
    <phoneticPr fontId="1" type="noConversion"/>
  </si>
  <si>
    <t>月消费限制</t>
    <phoneticPr fontId="1" type="noConversion"/>
  </si>
  <si>
    <t>月效率限制</t>
    <phoneticPr fontId="1" type="noConversion"/>
  </si>
  <si>
    <t>普通玩家极限系数</t>
    <phoneticPr fontId="1" type="noConversion"/>
  </si>
  <si>
    <t>效率</t>
    <phoneticPr fontId="1" type="noConversion"/>
  </si>
  <si>
    <t>分钟</t>
    <phoneticPr fontId="1" type="noConversion"/>
  </si>
  <si>
    <t>秒</t>
    <phoneticPr fontId="1" type="noConversion"/>
  </si>
  <si>
    <t>月消费</t>
    <phoneticPr fontId="1" type="noConversion"/>
  </si>
  <si>
    <t>总消费</t>
    <phoneticPr fontId="1" type="noConversion"/>
  </si>
  <si>
    <t>非坑周期投放时间</t>
    <phoneticPr fontId="1" type="noConversion"/>
  </si>
  <si>
    <t>坑周期投放时间</t>
    <phoneticPr fontId="1" type="noConversion"/>
  </si>
  <si>
    <t>单次投放时间</t>
    <phoneticPr fontId="1" type="noConversion"/>
  </si>
  <si>
    <t>期望副本数</t>
    <phoneticPr fontId="1" type="noConversion"/>
  </si>
  <si>
    <t>活动副本小怪对局时间</t>
    <phoneticPr fontId="1" type="noConversion"/>
  </si>
  <si>
    <t>时间修正参数</t>
    <phoneticPr fontId="1" type="noConversion"/>
  </si>
  <si>
    <r>
      <t>20级开始可以投放双倍经验，</t>
    </r>
    <r>
      <rPr>
        <sz val="11"/>
        <color rgb="FFFF0000"/>
        <rFont val="微软雅黑"/>
        <family val="2"/>
        <charset val="134"/>
      </rPr>
      <t>购买体力</t>
    </r>
    <phoneticPr fontId="1" type="noConversion"/>
  </si>
  <si>
    <t>充值指引</t>
    <phoneticPr fontId="1" type="noConversion"/>
  </si>
  <si>
    <t>玩家一段时间充钱数据收集</t>
    <phoneticPr fontId="1" type="noConversion"/>
  </si>
  <si>
    <t>不平稳的时候采取投放指引消费，举例：魔灵，当你没钱的时候商店符文刷的更好一些</t>
    <phoneticPr fontId="1" type="noConversion"/>
  </si>
  <si>
    <t>总价值</t>
    <phoneticPr fontId="1" type="noConversion"/>
  </si>
  <si>
    <t>dota传奇</t>
    <phoneticPr fontId="1" type="noConversion"/>
  </si>
  <si>
    <t>钻</t>
    <phoneticPr fontId="1" type="noConversion"/>
  </si>
  <si>
    <t>礼包影响</t>
    <phoneticPr fontId="1" type="noConversion"/>
  </si>
  <si>
    <t>抽蛋</t>
    <phoneticPr fontId="1" type="noConversion"/>
  </si>
  <si>
    <t>48小时1次免费</t>
    <phoneticPr fontId="1" type="noConversion"/>
  </si>
  <si>
    <t>付费</t>
    <phoneticPr fontId="1" type="noConversion"/>
  </si>
  <si>
    <t>游戏币</t>
    <phoneticPr fontId="1" type="noConversion"/>
  </si>
  <si>
    <t>288钻</t>
    <phoneticPr fontId="1" type="noConversion"/>
  </si>
  <si>
    <t>每天5次免费</t>
    <phoneticPr fontId="1" type="noConversion"/>
  </si>
  <si>
    <t>30%左右</t>
    <phoneticPr fontId="1" type="noConversion"/>
  </si>
  <si>
    <t>副本</t>
    <phoneticPr fontId="1" type="noConversion"/>
  </si>
  <si>
    <t>主追求产出率</t>
    <phoneticPr fontId="1" type="noConversion"/>
  </si>
  <si>
    <t>MT</t>
    <phoneticPr fontId="1" type="noConversion"/>
  </si>
  <si>
    <t>战队经验</t>
    <phoneticPr fontId="1" type="noConversion"/>
  </si>
  <si>
    <t>副本10次</t>
    <phoneticPr fontId="1" type="noConversion"/>
  </si>
  <si>
    <t>时光2次</t>
    <phoneticPr fontId="1" type="noConversion"/>
  </si>
  <si>
    <t>试炼3次</t>
    <phoneticPr fontId="1" type="noConversion"/>
  </si>
  <si>
    <t>每日符石获取</t>
    <phoneticPr fontId="1" type="noConversion"/>
  </si>
  <si>
    <t>技能升级</t>
    <phoneticPr fontId="1" type="noConversion"/>
  </si>
  <si>
    <t>买游戏币</t>
    <phoneticPr fontId="1" type="noConversion"/>
  </si>
  <si>
    <t>抽蛋5次</t>
    <phoneticPr fontId="1" type="noConversion"/>
  </si>
  <si>
    <t>佣兵</t>
    <phoneticPr fontId="1" type="noConversion"/>
  </si>
  <si>
    <t>预言之池1次</t>
    <phoneticPr fontId="1" type="noConversion"/>
  </si>
  <si>
    <t>王座之塔</t>
    <phoneticPr fontId="1" type="noConversion"/>
  </si>
  <si>
    <t>各种餐</t>
    <phoneticPr fontId="1" type="noConversion"/>
  </si>
  <si>
    <t>疲劳经验</t>
    <phoneticPr fontId="1" type="noConversion"/>
  </si>
  <si>
    <t>每点疲劳对应经验</t>
    <phoneticPr fontId="1" type="noConversion"/>
  </si>
  <si>
    <t>Vip1</t>
    <phoneticPr fontId="1" type="noConversion"/>
  </si>
  <si>
    <t>Vip2</t>
  </si>
  <si>
    <t>Vip3</t>
  </si>
  <si>
    <t>Vip4</t>
  </si>
  <si>
    <t>Vip5</t>
  </si>
  <si>
    <t>Vip6</t>
  </si>
  <si>
    <t>Vip7</t>
  </si>
  <si>
    <t>Vip8</t>
  </si>
  <si>
    <t>Vip9</t>
  </si>
  <si>
    <t>Vip10</t>
  </si>
  <si>
    <t>Vip11</t>
  </si>
  <si>
    <t>Vip12</t>
  </si>
  <si>
    <t>Vip13</t>
  </si>
  <si>
    <t>Vip14</t>
  </si>
  <si>
    <t>Vip15</t>
  </si>
  <si>
    <t>战队等级</t>
  </si>
  <si>
    <t>战队升级经验</t>
  </si>
  <si>
    <t>总计</t>
  </si>
  <si>
    <t>膜拜</t>
    <phoneticPr fontId="1" type="noConversion"/>
  </si>
  <si>
    <t>不买药</t>
    <phoneticPr fontId="1" type="noConversion"/>
  </si>
  <si>
    <t>总值</t>
    <phoneticPr fontId="1" type="noConversion"/>
  </si>
  <si>
    <t>效率比</t>
    <phoneticPr fontId="1" type="noConversion"/>
  </si>
  <si>
    <t>1.大冒险</t>
    <phoneticPr fontId="1" type="noConversion"/>
  </si>
  <si>
    <t>Vip0</t>
    <phoneticPr fontId="1" type="noConversion"/>
  </si>
  <si>
    <t>每日疲劳总数</t>
    <phoneticPr fontId="1" type="noConversion"/>
  </si>
  <si>
    <t>疲劳药</t>
    <phoneticPr fontId="1" type="noConversion"/>
  </si>
  <si>
    <t>经验消耗</t>
    <phoneticPr fontId="1" type="noConversion"/>
  </si>
  <si>
    <t>钻石产出</t>
    <phoneticPr fontId="1" type="noConversion"/>
  </si>
  <si>
    <t>名次</t>
    <phoneticPr fontId="1" type="noConversion"/>
  </si>
  <si>
    <t>11~20</t>
    <phoneticPr fontId="1" type="noConversion"/>
  </si>
  <si>
    <t>21~30</t>
    <phoneticPr fontId="1" type="noConversion"/>
  </si>
  <si>
    <t>31~40</t>
    <phoneticPr fontId="1" type="noConversion"/>
  </si>
  <si>
    <t>41~50</t>
    <phoneticPr fontId="1" type="noConversion"/>
  </si>
  <si>
    <t>51~70</t>
    <phoneticPr fontId="1" type="noConversion"/>
  </si>
  <si>
    <t>71~100</t>
    <phoneticPr fontId="1" type="noConversion"/>
  </si>
  <si>
    <t>101~200</t>
    <phoneticPr fontId="1" type="noConversion"/>
  </si>
  <si>
    <t>201~300</t>
    <phoneticPr fontId="1" type="noConversion"/>
  </si>
  <si>
    <t>301~400</t>
    <phoneticPr fontId="1" type="noConversion"/>
  </si>
  <si>
    <t>401~500</t>
    <phoneticPr fontId="1" type="noConversion"/>
  </si>
  <si>
    <t>501~700</t>
    <phoneticPr fontId="1" type="noConversion"/>
  </si>
  <si>
    <t>1001~2000</t>
    <phoneticPr fontId="1" type="noConversion"/>
  </si>
  <si>
    <t>2001~3000</t>
    <phoneticPr fontId="1" type="noConversion"/>
  </si>
  <si>
    <t>3001~4000</t>
    <phoneticPr fontId="1" type="noConversion"/>
  </si>
  <si>
    <t>4001~5000</t>
    <phoneticPr fontId="1" type="noConversion"/>
  </si>
  <si>
    <t>5001~7000</t>
    <phoneticPr fontId="1" type="noConversion"/>
  </si>
  <si>
    <t>7001~10000</t>
    <phoneticPr fontId="1" type="noConversion"/>
  </si>
  <si>
    <t>10001~15000</t>
    <phoneticPr fontId="1" type="noConversion"/>
  </si>
  <si>
    <t>斗士币</t>
    <phoneticPr fontId="1" type="noConversion"/>
  </si>
  <si>
    <t>701~1000</t>
    <phoneticPr fontId="1" type="noConversion"/>
  </si>
  <si>
    <t>金币</t>
    <phoneticPr fontId="1" type="noConversion"/>
  </si>
  <si>
    <t>竞技场每天产出</t>
    <phoneticPr fontId="1" type="noConversion"/>
  </si>
  <si>
    <t>签到每月</t>
    <phoneticPr fontId="1" type="noConversion"/>
  </si>
  <si>
    <t>vip1</t>
    <phoneticPr fontId="1" type="noConversion"/>
  </si>
  <si>
    <t>vip产出</t>
    <phoneticPr fontId="1" type="noConversion"/>
  </si>
  <si>
    <t>宠物</t>
    <phoneticPr fontId="1" type="noConversion"/>
  </si>
  <si>
    <t>金钱</t>
    <phoneticPr fontId="1" type="noConversion"/>
  </si>
  <si>
    <t>宠物经验</t>
    <phoneticPr fontId="1" type="noConversion"/>
  </si>
  <si>
    <t>宠物碎片</t>
    <phoneticPr fontId="1" type="noConversion"/>
  </si>
  <si>
    <t>附魔值</t>
    <phoneticPr fontId="1" type="noConversion"/>
  </si>
  <si>
    <t>宠物/钻石</t>
    <phoneticPr fontId="1" type="noConversion"/>
  </si>
  <si>
    <t>vip限制</t>
    <phoneticPr fontId="1" type="noConversion"/>
  </si>
  <si>
    <t>vip4</t>
    <phoneticPr fontId="1" type="noConversion"/>
  </si>
  <si>
    <t>vip7</t>
    <phoneticPr fontId="1" type="noConversion"/>
  </si>
  <si>
    <t>vip10</t>
    <phoneticPr fontId="1" type="noConversion"/>
  </si>
  <si>
    <t>vip13</t>
    <phoneticPr fontId="1" type="noConversion"/>
  </si>
  <si>
    <t>vip15</t>
    <phoneticPr fontId="1" type="noConversion"/>
  </si>
  <si>
    <t>vip2</t>
    <phoneticPr fontId="1" type="noConversion"/>
  </si>
  <si>
    <t>vip5</t>
    <phoneticPr fontId="1" type="noConversion"/>
  </si>
  <si>
    <t>vip8</t>
    <phoneticPr fontId="1" type="noConversion"/>
  </si>
  <si>
    <t>vip11</t>
    <phoneticPr fontId="1" type="noConversion"/>
  </si>
  <si>
    <t>vip14</t>
    <phoneticPr fontId="1" type="noConversion"/>
  </si>
  <si>
    <t>vip3</t>
    <phoneticPr fontId="1" type="noConversion"/>
  </si>
  <si>
    <t>vip6</t>
    <phoneticPr fontId="1" type="noConversion"/>
  </si>
  <si>
    <t>vip9</t>
    <phoneticPr fontId="1" type="noConversion"/>
  </si>
  <si>
    <t>vip12</t>
    <phoneticPr fontId="1" type="noConversion"/>
  </si>
  <si>
    <t>极限时间</t>
    <phoneticPr fontId="1" type="noConversion"/>
  </si>
  <si>
    <t>每天产出</t>
    <phoneticPr fontId="1" type="noConversion"/>
  </si>
  <si>
    <t>元</t>
    <phoneticPr fontId="1" type="noConversion"/>
  </si>
  <si>
    <t>每小时平均</t>
    <phoneticPr fontId="1" type="noConversion"/>
  </si>
  <si>
    <t>每小时极限产出</t>
    <phoneticPr fontId="1" type="noConversion"/>
  </si>
  <si>
    <t>极限系数（占产出比）</t>
    <phoneticPr fontId="1" type="noConversion"/>
  </si>
  <si>
    <t>折合基础时间</t>
    <phoneticPr fontId="1" type="noConversion"/>
  </si>
  <si>
    <t>高效时间</t>
    <phoneticPr fontId="1" type="noConversion"/>
  </si>
  <si>
    <t>中间计算过程，不用在意</t>
    <phoneticPr fontId="1" type="noConversion"/>
  </si>
  <si>
    <t>后面等级时间计算时按分钟取值用</t>
    <phoneticPr fontId="1" type="noConversion"/>
  </si>
  <si>
    <t>总经验</t>
    <phoneticPr fontId="1" type="noConversion"/>
  </si>
  <si>
    <t>宠物</t>
    <phoneticPr fontId="1" type="noConversion"/>
  </si>
  <si>
    <t>宠物升级经验</t>
    <phoneticPr fontId="1" type="noConversion"/>
  </si>
  <si>
    <t>开启等级</t>
    <phoneticPr fontId="1" type="noConversion"/>
  </si>
  <si>
    <t>经验</t>
    <phoneticPr fontId="1" type="noConversion"/>
  </si>
  <si>
    <t>精英3次</t>
    <phoneticPr fontId="1" type="noConversion"/>
  </si>
  <si>
    <t>竞技场3次</t>
    <phoneticPr fontId="1" type="noConversion"/>
  </si>
  <si>
    <t>宝库猎人1次</t>
    <phoneticPr fontId="1" type="noConversion"/>
  </si>
  <si>
    <t>1~9</t>
    <phoneticPr fontId="1" type="noConversion"/>
  </si>
  <si>
    <t>30+</t>
    <phoneticPr fontId="1" type="noConversion"/>
  </si>
  <si>
    <t>11~14</t>
    <phoneticPr fontId="1" type="noConversion"/>
  </si>
  <si>
    <t>15~19</t>
    <phoneticPr fontId="1" type="noConversion"/>
  </si>
  <si>
    <t>20~24</t>
    <phoneticPr fontId="1" type="noConversion"/>
  </si>
  <si>
    <t>25~29</t>
    <phoneticPr fontId="1" type="noConversion"/>
  </si>
  <si>
    <t>分段时间消耗</t>
    <phoneticPr fontId="1" type="noConversion"/>
  </si>
  <si>
    <t>天数</t>
    <phoneticPr fontId="1" type="noConversion"/>
  </si>
  <si>
    <t>经验总值</t>
    <phoneticPr fontId="1" type="noConversion"/>
  </si>
  <si>
    <t>Vip7分段时间消耗</t>
    <phoneticPr fontId="1" type="noConversion"/>
  </si>
  <si>
    <t>副本产出</t>
    <phoneticPr fontId="1" type="noConversion"/>
  </si>
  <si>
    <t>扫荡经验</t>
    <phoneticPr fontId="1" type="noConversion"/>
  </si>
  <si>
    <t>金钱</t>
    <phoneticPr fontId="1" type="noConversion"/>
  </si>
  <si>
    <t>疲劳</t>
    <phoneticPr fontId="1" type="noConversion"/>
  </si>
  <si>
    <t>1~1</t>
    <phoneticPr fontId="1" type="noConversion"/>
  </si>
  <si>
    <t>1~6</t>
  </si>
  <si>
    <t>1~2</t>
  </si>
  <si>
    <t>1~3</t>
  </si>
  <si>
    <t>1~4</t>
  </si>
  <si>
    <t>1~5</t>
  </si>
  <si>
    <t>11~1</t>
    <phoneticPr fontId="1" type="noConversion"/>
  </si>
  <si>
    <t>11~2</t>
  </si>
  <si>
    <t>11~3</t>
  </si>
  <si>
    <t>11~4</t>
  </si>
  <si>
    <t>11~5</t>
  </si>
  <si>
    <t>11~6</t>
  </si>
  <si>
    <t>11~7</t>
  </si>
  <si>
    <t>10~1</t>
    <phoneticPr fontId="1" type="noConversion"/>
  </si>
  <si>
    <t>10~2</t>
  </si>
  <si>
    <t>10~3</t>
  </si>
  <si>
    <t>10~4</t>
  </si>
  <si>
    <t>10~5</t>
  </si>
  <si>
    <t>10~6</t>
  </si>
  <si>
    <t>10~7</t>
  </si>
  <si>
    <t>9~1</t>
    <phoneticPr fontId="1" type="noConversion"/>
  </si>
  <si>
    <t>9~2</t>
  </si>
  <si>
    <t>9~3</t>
  </si>
  <si>
    <t>9~4</t>
  </si>
  <si>
    <t>9~5</t>
  </si>
  <si>
    <t>9~6</t>
  </si>
  <si>
    <t>9~7</t>
  </si>
  <si>
    <t>8~1</t>
    <phoneticPr fontId="1" type="noConversion"/>
  </si>
  <si>
    <t>8~2</t>
  </si>
  <si>
    <t>8~3</t>
  </si>
  <si>
    <t>8~4</t>
  </si>
  <si>
    <t>8~5</t>
  </si>
  <si>
    <t>8~6</t>
  </si>
  <si>
    <t>8~7</t>
  </si>
  <si>
    <t>单个怪物</t>
    <phoneticPr fontId="1" type="noConversion"/>
  </si>
  <si>
    <t>章节</t>
    <phoneticPr fontId="1" type="noConversion"/>
  </si>
  <si>
    <t>等级限制</t>
    <phoneticPr fontId="1" type="noConversion"/>
  </si>
  <si>
    <t>等级</t>
  </si>
  <si>
    <t>免费玩家战斗累计时间（h）</t>
  </si>
  <si>
    <t>天数</t>
  </si>
  <si>
    <t>战斗累计时间</t>
  </si>
  <si>
    <t>总副本次数</t>
  </si>
  <si>
    <t>每级需要打的副本次数</t>
  </si>
  <si>
    <t>复用系数</t>
  </si>
  <si>
    <t>游戏天数</t>
  </si>
  <si>
    <t>活动副本次数</t>
  </si>
  <si>
    <t>活动副本按照等级个数</t>
  </si>
  <si>
    <t>误差（-的是投多了）</t>
  </si>
  <si>
    <t>开启活动</t>
  </si>
  <si>
    <t>开启普通副本个数</t>
  </si>
  <si>
    <t>普通小怪分布</t>
  </si>
  <si>
    <t>普通大怪/boss分布</t>
  </si>
  <si>
    <t>开启困难副本个数</t>
  </si>
  <si>
    <t>困难副本</t>
  </si>
  <si>
    <t>副本部分备注</t>
  </si>
  <si>
    <t>副本玩法</t>
  </si>
  <si>
    <t>对应时间</t>
  </si>
  <si>
    <t>对局玩法</t>
  </si>
  <si>
    <t>开启对局功能</t>
  </si>
  <si>
    <t>收费点</t>
  </si>
  <si>
    <t>拉留存</t>
  </si>
  <si>
    <t>等级段</t>
    <phoneticPr fontId="1" type="noConversion"/>
  </si>
  <si>
    <t>等级</t>
    <phoneticPr fontId="1" type="noConversion"/>
  </si>
  <si>
    <t>指数系数</t>
    <phoneticPr fontId="1" type="noConversion"/>
  </si>
  <si>
    <t>修正系数</t>
    <phoneticPr fontId="1" type="noConversion"/>
  </si>
  <si>
    <t>战斗时间（Min）</t>
    <phoneticPr fontId="1" type="noConversion"/>
  </si>
  <si>
    <t>21-30</t>
    <phoneticPr fontId="1" type="noConversion"/>
  </si>
  <si>
    <t>31-40</t>
    <phoneticPr fontId="1" type="noConversion"/>
  </si>
  <si>
    <t>41-50</t>
    <phoneticPr fontId="1" type="noConversion"/>
  </si>
  <si>
    <t>51-60</t>
    <phoneticPr fontId="1" type="noConversion"/>
  </si>
  <si>
    <t>61-70</t>
    <phoneticPr fontId="1" type="noConversion"/>
  </si>
  <si>
    <t>71-80</t>
    <phoneticPr fontId="1" type="noConversion"/>
  </si>
  <si>
    <t>81-90</t>
    <phoneticPr fontId="1" type="noConversion"/>
  </si>
  <si>
    <t>91-99</t>
    <phoneticPr fontId="1" type="noConversion"/>
  </si>
  <si>
    <t>1-10</t>
    <phoneticPr fontId="1" type="noConversion"/>
  </si>
  <si>
    <t>单位：元</t>
    <phoneticPr fontId="1" type="noConversion"/>
  </si>
  <si>
    <t>累计战斗时间</t>
    <phoneticPr fontId="1" type="noConversion"/>
  </si>
  <si>
    <t>累计天数</t>
    <phoneticPr fontId="1" type="noConversion"/>
  </si>
  <si>
    <t>不含钻石投放部分</t>
  </si>
  <si>
    <t>不含钻石投放部分</t>
    <phoneticPr fontId="1" type="noConversion"/>
  </si>
  <si>
    <t>等级段每级平均时间</t>
    <phoneticPr fontId="1" type="noConversion"/>
  </si>
  <si>
    <t>签到</t>
  </si>
  <si>
    <t>普通日常任务（每日10次）</t>
  </si>
  <si>
    <t>大冒险（采集任务，只需1个小怪派出去，时间30分钟~8小时）</t>
  </si>
  <si>
    <t>通天塔-经验金钱（每日2次），困难日常（每日3次）</t>
  </si>
  <si>
    <t>竞技场，公会任务（每日5次，公会成员互助），大冒险（打怪任务，3~5小怪派出去，时间1小时~8小时），大冒险（劫镖，0.7没计划）</t>
  </si>
  <si>
    <t>签到7天送宠物，稀有XX（每日1次，好友帮助0.7没计划），通天塔降临boss（平均每日1次）</t>
  </si>
  <si>
    <t>大冒险（打boss任务，5只小怪派出去，时间2~10小时）</t>
  </si>
  <si>
    <t>91-100</t>
    <phoneticPr fontId="1" type="noConversion"/>
  </si>
  <si>
    <t>91~100</t>
    <phoneticPr fontId="1" type="noConversion"/>
  </si>
  <si>
    <t>指数系数间隔</t>
    <phoneticPr fontId="1" type="noConversion"/>
  </si>
  <si>
    <t>成长曲线积分面积系数</t>
    <phoneticPr fontId="1" type="noConversion"/>
  </si>
  <si>
    <t>计划总时间</t>
    <phoneticPr fontId="1" type="noConversion"/>
  </si>
  <si>
    <t>平均时间</t>
    <phoneticPr fontId="1" type="noConversion"/>
  </si>
  <si>
    <t>实际总时间</t>
    <phoneticPr fontId="1" type="noConversion"/>
  </si>
  <si>
    <t>线性系数参考</t>
    <phoneticPr fontId="1" type="noConversion"/>
  </si>
  <si>
    <t>免费玩家</t>
    <phoneticPr fontId="1" type="noConversion"/>
  </si>
  <si>
    <t>1000元付费</t>
    <phoneticPr fontId="1" type="noConversion"/>
  </si>
  <si>
    <t>2000元付费</t>
    <phoneticPr fontId="1" type="noConversion"/>
  </si>
  <si>
    <t>主要成长控制结构</t>
    <phoneticPr fontId="1" type="noConversion"/>
  </si>
  <si>
    <t>周期产出用疲劳值和次数控制</t>
    <phoneticPr fontId="1" type="noConversion"/>
  </si>
  <si>
    <t>活动副本产出均为高效产出，为了更容易控制，需明确区分产出目的。</t>
    <phoneticPr fontId="1" type="noConversion"/>
  </si>
  <si>
    <t>玩家等级控制开启玩法/坑，限制宠物等级</t>
    <phoneticPr fontId="1" type="noConversion"/>
  </si>
  <si>
    <t>投放玩家经验需要考虑：用疲劳值作为主控制，经验值跟疲劳值一次正相关。产出玩家经验玩法的一定要消耗相应疲劳值（日常任务可以不算）。</t>
    <phoneticPr fontId="1" type="noConversion"/>
  </si>
  <si>
    <t>疲劳值投放：3个聚集玩家在线周期各投放10次左右副本所需疲劳值，其余时间投放40次左右副本所需疲劳值。（此为粗略推算，具体值需要根据时间模板反推。还需考虑玩家理解尽量取整。）</t>
    <phoneticPr fontId="1" type="noConversion"/>
  </si>
  <si>
    <t>每36分钟可以打一次副本，疲劳值成长需要考虑新手阶段的特殊设计，使新手阶段疲劳值充足。</t>
    <phoneticPr fontId="1" type="noConversion"/>
  </si>
  <si>
    <t>所以只要对疲劳值购买进行数量限制及随购买数量进行费用上调区分即可不同阶层玩家收益效率。</t>
    <phoneticPr fontId="1" type="noConversion"/>
  </si>
  <si>
    <t>开启的玩法限制了各个成长阶段，玩家的生产效率。</t>
    <phoneticPr fontId="1" type="noConversion"/>
  </si>
  <si>
    <t>区分免费/付费玩家的生产效率，</t>
    <phoneticPr fontId="1" type="noConversion"/>
  </si>
  <si>
    <t>主要用疲劳值购买次数限制，直接限制日常产量。</t>
    <phoneticPr fontId="1" type="noConversion"/>
  </si>
  <si>
    <t>副用次数进行限制主要目的是限制高价值（或者特定用途）道具的产出量。</t>
    <phoneticPr fontId="1" type="noConversion"/>
  </si>
  <si>
    <t>疲劳值和次数可以共同限制</t>
    <phoneticPr fontId="1" type="noConversion"/>
  </si>
  <si>
    <t>玩家等级限制宠物等级可以对不同付费程度玩家设计关卡卡点及效率限制，如：活动副本难度，可以对应不同程度付费玩家设计难度梯度。</t>
    <phoneticPr fontId="1" type="noConversion"/>
  </si>
  <si>
    <t>投放宠物经验需要考虑：</t>
    <phoneticPr fontId="1" type="noConversion"/>
  </si>
  <si>
    <t>1.各个阶段开启的玩法对应需要的宠物数量/质量。</t>
    <phoneticPr fontId="1" type="noConversion"/>
  </si>
  <si>
    <t>2.与副本限制等级（难度）正相关，目的是验证自身战力后有效率体现。</t>
    <phoneticPr fontId="1" type="noConversion"/>
  </si>
  <si>
    <t>3.主投放口通过普通副本、困难副本和活动本产出（目前为设计代号“通天塔-经验”的副本产出）。</t>
    <phoneticPr fontId="1" type="noConversion"/>
  </si>
  <si>
    <t>周期产出比例约为    普通困难：活动=5：1（注：活动获取效率要比普通困难高得多，具体数值靠周期产出比例推算）</t>
    <phoneticPr fontId="1" type="noConversion"/>
  </si>
  <si>
    <t>4.注意产出目的不为宠物经验的产出口需要调低宠物经验周期产出。</t>
    <phoneticPr fontId="1" type="noConversion"/>
  </si>
  <si>
    <t>各阶层玩家控制方法</t>
    <phoneticPr fontId="1" type="noConversion"/>
  </si>
  <si>
    <t>1.免费:保底，足够玩各种玩法所需的宠物经验即可</t>
    <phoneticPr fontId="1" type="noConversion"/>
  </si>
  <si>
    <t>2.目标付费：针对各个玩法需求进行设计，</t>
    <phoneticPr fontId="1" type="noConversion"/>
  </si>
  <si>
    <t>如：高效率活动用次数购买控制，买越多花更多钱（规避vip）</t>
    <phoneticPr fontId="1" type="noConversion"/>
  </si>
  <si>
    <t>再如：大冒险出现时可能需要多组小怪，此时对免费玩家只需投放足够完成周期收益即可；目标付费玩家，则可以投放至宠物基本可以对应所有任务需求（同时作为了效率控制，因为大冒险的设计是根据条件符合度计算产出）。</t>
    <phoneticPr fontId="1" type="noConversion"/>
  </si>
  <si>
    <t>同理其他高效率活动亦可以通过类似方法</t>
    <phoneticPr fontId="1" type="noConversion"/>
  </si>
  <si>
    <t>宠物等级限制了宠物战力提升，包括：强化/进阶</t>
    <phoneticPr fontId="1" type="noConversion"/>
  </si>
  <si>
    <t>又因为玩家等级限制了宠物等级，所以玩家等级即可控制宠物能力上限。</t>
    <phoneticPr fontId="1" type="noConversion"/>
  </si>
  <si>
    <t>投放强化/进阶材料需考虑</t>
    <phoneticPr fontId="1" type="noConversion"/>
  </si>
  <si>
    <t>1.提升战力与所需时间价值消耗比例，进阶前期（绿）需要高于强化。（目的是提升玩家阶段性成长感受）随后逐渐拉平。（注意，是时间价值消耗，实际提升战力肯定是高于强化的。目的是容易控制产出，且后期需要材料较多是，玩家对效率感受会慢慢减弱）</t>
    <phoneticPr fontId="1" type="noConversion"/>
  </si>
  <si>
    <t>2.前期进阶可以作为收费点卡点对应玩家该等级的周期高收益活动，单次收益任务或者活动进行设计。</t>
    <phoneticPr fontId="1" type="noConversion"/>
  </si>
  <si>
    <t>1.免费:保底，足够玩各种玩法所需的基础强化等级和</t>
    <phoneticPr fontId="1" type="noConversion"/>
  </si>
  <si>
    <t>玩家等级还控制了装备系统对宠物的提升。（对玩家来说省去了一部分培养新宠物所需的时间价值）</t>
    <phoneticPr fontId="1" type="noConversion"/>
  </si>
  <si>
    <t>投放装备战力时需考虑：</t>
    <phoneticPr fontId="1" type="noConversion"/>
  </si>
  <si>
    <t>1.参考不同阶层玩家在各个等级段所需宠数量，及玩法对宠物的战力需求。</t>
    <phoneticPr fontId="1" type="noConversion"/>
  </si>
  <si>
    <t>2.装备共用性比较高，基础胚子和成长无法做横向追求目标，所以基础追求标准为5套（每个主战宠物一套）。</t>
    <phoneticPr fontId="1" type="noConversion"/>
  </si>
  <si>
    <t>根据团队设计，后备宠物类型大部分会与前排1个相同，所以理论只需追求2*5=10套装备即可，拆分时间价值时需要考虑此限制（说白了就是坑每件装备坑肯定深）</t>
    <phoneticPr fontId="1" type="noConversion"/>
  </si>
  <si>
    <t>3.宝石提供给玩家对属性的选择和精品的追求，设计上需要考虑随机性。同时成长对时间价值的消耗比起其他坑来说更高。但是可以给付费玩家提供更加便捷的获取手段。如：直接卖低中阶宝石）</t>
    <phoneticPr fontId="1" type="noConversion"/>
  </si>
  <si>
    <t>最直接的Rmb/免费区分投放</t>
    <phoneticPr fontId="1" type="noConversion"/>
  </si>
  <si>
    <t>主要针对的是付费玩家，免费玩家获得的几率非常小，或者消耗的时间会非常长</t>
    <phoneticPr fontId="1" type="noConversion"/>
  </si>
  <si>
    <t>主要有：</t>
    <phoneticPr fontId="1" type="noConversion"/>
  </si>
  <si>
    <t>稀有宠物</t>
    <phoneticPr fontId="1" type="noConversion"/>
  </si>
  <si>
    <t>主要通过高难度玩法产出，门槛高。如：通天塔-boss降临的高难度，及新玩法中比较接近最后的关卡。</t>
    <phoneticPr fontId="1" type="noConversion"/>
  </si>
  <si>
    <t>高阶宝石</t>
    <phoneticPr fontId="1" type="noConversion"/>
  </si>
  <si>
    <t>每天副本数量</t>
    <phoneticPr fontId="1" type="noConversion"/>
  </si>
  <si>
    <t>非休闲实际时间非常少</t>
  </si>
  <si>
    <t>非休闲时间主要设计在卡点，和交互指引上（我们主要会考玩法卡点指引交互）</t>
  </si>
  <si>
    <t>每日非休闲主要体现在</t>
  </si>
  <si>
    <t>1.bossrush模式，每日只需要挑战一局</t>
  </si>
  <si>
    <t>2.新设计的模式比较类似dota传奇远征，属于长期可以作为战力释放的玩法</t>
  </si>
  <si>
    <t>都是碎片时间，只是多碎的问题</t>
  </si>
  <si>
    <t>纯次数每天/每周期的设计是每天的集中时间</t>
  </si>
  <si>
    <t>疲劳值相关设计是为了碎片/集中的动态调整</t>
  </si>
  <si>
    <t>大冒险的为长期碎片加指定留存，设计上可以加入些大奖预期，比如出动时放光芒</t>
  </si>
  <si>
    <t>策略性时间（非时间模型）</t>
  </si>
  <si>
    <t>各个阶段的游戏循环？</t>
  </si>
  <si>
    <t>那些玩法有测试自己战力的释放，可以自己挑选难度</t>
  </si>
  <si>
    <t>那些系统有交互相关功能， 大致是怎么设计</t>
  </si>
  <si>
    <t>不同系统开放时间， 该开放的新系统达到的目的（新玩法， 测试战力， 交友？）</t>
  </si>
  <si>
    <t>大R卡点， 投放， 必须要时间的。</t>
  </si>
  <si>
    <t>新手期（3~7天）只做多投放战力提升的消费设计，不提供玩家经验相关的效率消费</t>
  </si>
  <si>
    <t>对各种提高效率得消费做分段收费处理，买的少时候价格比较低，买的多时价格逐渐成长。并限制每种提高效率物品的日购买额度</t>
  </si>
  <si>
    <t>是否有不同系统对应不同适合的战略搭配。 如有， 是那些系统？</t>
  </si>
  <si>
    <t>日常通天塔经验/金钱，打算分别对应物理和法攻</t>
  </si>
  <si>
    <t>通天塔boss降临则会出几种不同玩法</t>
  </si>
  <si>
    <t>新玩法考虑类似pvp的对应，抓玩家战力数据过来做成关卡为主</t>
  </si>
  <si>
    <t>还在纠结的问题</t>
  </si>
  <si>
    <t>摸摸如何做？ 是否还要？</t>
  </si>
  <si>
    <t>家园表现？</t>
  </si>
  <si>
    <t>村落（主UI）表现？</t>
  </si>
  <si>
    <t>图鉴？ </t>
  </si>
  <si>
    <t>那些投放是帅？出口？宠？</t>
  </si>
  <si>
    <t>宠物</t>
  </si>
  <si>
    <t>之后的进化/觉醒</t>
  </si>
  <si>
    <t>那些是赢， 那是必然有的了。。。。</t>
  </si>
  <si>
    <t>那些是稀有的（不单单一定是数值）,出口？得到方法？</t>
  </si>
  <si>
    <t>宠物稀有构造方式有两种，抽蛋专属低概率。Boss降临高难度低概率</t>
  </si>
  <si>
    <t>Q</t>
    <phoneticPr fontId="1" type="noConversion"/>
  </si>
  <si>
    <t>A</t>
    <phoneticPr fontId="1" type="noConversion"/>
  </si>
  <si>
    <t>碎片/非碎片比例？</t>
    <phoneticPr fontId="1" type="noConversion"/>
  </si>
  <si>
    <t>休闲/非休闲比例？</t>
    <phoneticPr fontId="1" type="noConversion"/>
  </si>
  <si>
    <t>宝石配装</t>
    <phoneticPr fontId="1" type="noConversion"/>
  </si>
  <si>
    <t>升级技能，升级装备</t>
    <phoneticPr fontId="1" type="noConversion"/>
  </si>
  <si>
    <t>思考各个玩法战略对策</t>
    <phoneticPr fontId="1" type="noConversion"/>
  </si>
  <si>
    <t>先不做，后面加，可以作为成长的卡点加回来比较容易（同时需要一个动物园作为3d展现）。</t>
  </si>
  <si>
    <t>同时偷懒在此之前取最高</t>
  </si>
  <si>
    <t>达到加强社交设计目的的方法。</t>
    <phoneticPr fontId="1" type="noConversion"/>
  </si>
  <si>
    <t>先在数值模型制作方式是取1000元rmb/月的消费用户作为基础设，包括卡点，刺激消费等（按照网易经验是以目标用户消费程度设计）。不确定是否合理。</t>
    <phoneticPr fontId="1" type="noConversion"/>
  </si>
  <si>
    <t>每月充值效率上限，如果参考dota是2倍左右</t>
    <phoneticPr fontId="1" type="noConversion"/>
  </si>
  <si>
    <t>目前考虑所有玩法都有</t>
    <phoneticPr fontId="1" type="noConversion"/>
  </si>
  <si>
    <r>
      <t xml:space="preserve">副本10次
</t>
    </r>
    <r>
      <rPr>
        <b/>
        <sz val="11"/>
        <rFont val="微软雅黑"/>
        <family val="2"/>
        <charset val="134"/>
      </rPr>
      <t>抽蛋5次</t>
    </r>
    <phoneticPr fontId="1" type="noConversion"/>
  </si>
  <si>
    <r>
      <t xml:space="preserve">时光2次
</t>
    </r>
    <r>
      <rPr>
        <b/>
        <sz val="11"/>
        <rFont val="微软雅黑"/>
        <family val="2"/>
        <charset val="134"/>
      </rPr>
      <t>买游戏币</t>
    </r>
    <phoneticPr fontId="1" type="noConversion"/>
  </si>
  <si>
    <t>装备附魔</t>
  </si>
  <si>
    <t>装备附魔</t>
    <phoneticPr fontId="1" type="noConversion"/>
  </si>
  <si>
    <t>远征</t>
    <phoneticPr fontId="1" type="noConversion"/>
  </si>
  <si>
    <t>佣兵
膜拜</t>
    <phoneticPr fontId="1" type="noConversion"/>
  </si>
  <si>
    <t>新手阶段（1~3天）单独设计，以引导玩法、推动剧情为设计目的。</t>
    <phoneticPr fontId="1" type="noConversion"/>
  </si>
  <si>
    <t>每月发新宠物，新宠物觉醒，引导不同阶段玩家</t>
    <phoneticPr fontId="1" type="noConversion"/>
  </si>
  <si>
    <t>第3天开启全部玩法，进入周期性循环</t>
    <phoneticPr fontId="1" type="noConversion"/>
  </si>
  <si>
    <t>签到</t>
    <phoneticPr fontId="1" type="noConversion"/>
  </si>
  <si>
    <t>留存</t>
    <phoneticPr fontId="1" type="noConversion"/>
  </si>
  <si>
    <t>指引</t>
    <phoneticPr fontId="1" type="noConversion"/>
  </si>
  <si>
    <t>通天塔-经验</t>
    <phoneticPr fontId="1" type="noConversion"/>
  </si>
  <si>
    <t>通天塔-金钱</t>
    <phoneticPr fontId="1" type="noConversion"/>
  </si>
  <si>
    <t>经验投放</t>
    <phoneticPr fontId="1" type="noConversion"/>
  </si>
  <si>
    <t>金钱投放</t>
    <phoneticPr fontId="1" type="noConversion"/>
  </si>
  <si>
    <t>玩法：法术免伤</t>
    <phoneticPr fontId="1" type="noConversion"/>
  </si>
  <si>
    <t>玩法：物理免伤</t>
    <phoneticPr fontId="1" type="noConversion"/>
  </si>
  <si>
    <t>公会日常</t>
    <phoneticPr fontId="1" type="noConversion"/>
  </si>
  <si>
    <t>交互</t>
    <phoneticPr fontId="1" type="noConversion"/>
  </si>
  <si>
    <t>大冒险-采集</t>
    <phoneticPr fontId="1" type="noConversion"/>
  </si>
  <si>
    <t>投放、留存</t>
    <phoneticPr fontId="1" type="noConversion"/>
  </si>
  <si>
    <t>大冒险-小怪</t>
    <phoneticPr fontId="1" type="noConversion"/>
  </si>
  <si>
    <t>投放、留存、交互</t>
    <phoneticPr fontId="1" type="noConversion"/>
  </si>
  <si>
    <t>大冒险-boss</t>
    <phoneticPr fontId="1" type="noConversion"/>
  </si>
  <si>
    <t>降临boss</t>
    <phoneticPr fontId="1" type="noConversion"/>
  </si>
  <si>
    <t>投放，测试战力</t>
    <phoneticPr fontId="1" type="noConversion"/>
  </si>
  <si>
    <t>新玩法</t>
    <phoneticPr fontId="1" type="noConversion"/>
  </si>
  <si>
    <t>玩法：各个boss不同</t>
    <phoneticPr fontId="1" type="noConversion"/>
  </si>
  <si>
    <t>投放，测试战力、交互</t>
    <phoneticPr fontId="1" type="noConversion"/>
  </si>
  <si>
    <t>具体时间没算完</t>
    <phoneticPr fontId="1" type="noConversion"/>
  </si>
  <si>
    <t>还没有具体设计</t>
    <phoneticPr fontId="1" type="noConversion"/>
  </si>
  <si>
    <t>与我是MT2类似</t>
    <phoneticPr fontId="1" type="noConversion"/>
  </si>
  <si>
    <t>体现宠物收集及合成宠物的界面</t>
    <phoneticPr fontId="1" type="noConversion"/>
  </si>
  <si>
    <t>副本。除了卡点和阶段实力测试，都是赢</t>
    <phoneticPr fontId="1" type="noConversion"/>
  </si>
  <si>
    <t>各个坑的周期产量低的物品皆可以构造成稀有物品，并可作为促销产品。</t>
    <phoneticPr fontId="1" type="noConversion"/>
  </si>
  <si>
    <t>设计目的</t>
    <phoneticPr fontId="1" type="noConversion"/>
  </si>
  <si>
    <t>玩法</t>
    <phoneticPr fontId="1" type="noConversion"/>
  </si>
  <si>
    <t>系统</t>
    <phoneticPr fontId="1" type="noConversion"/>
  </si>
  <si>
    <t>活动指引/任务</t>
    <phoneticPr fontId="1" type="noConversion"/>
  </si>
  <si>
    <t>投放控制方式</t>
    <phoneticPr fontId="1" type="noConversion"/>
  </si>
  <si>
    <t>除工会玩法外，只有商城定期出售，直接区分rmb和免费玩家战力区别。</t>
    <phoneticPr fontId="1" type="noConversion"/>
  </si>
</sst>
</file>

<file path=xl/styles.xml><?xml version="1.0" encoding="utf-8"?>
<styleSheet xmlns="http://schemas.openxmlformats.org/spreadsheetml/2006/main">
  <numFmts count="3">
    <numFmt numFmtId="176" formatCode="0.0_ "/>
    <numFmt numFmtId="177" formatCode="0.00_ "/>
    <numFmt numFmtId="178" formatCode="0.00_);[Red]\(0.00\)"/>
  </numFmts>
  <fonts count="18">
    <font>
      <sz val="11"/>
      <color theme="1"/>
      <name val="宋体"/>
      <family val="2"/>
      <charset val="134"/>
      <scheme val="minor"/>
    </font>
    <font>
      <sz val="9"/>
      <name val="宋体"/>
      <family val="2"/>
      <charset val="134"/>
      <scheme val="minor"/>
    </font>
    <font>
      <sz val="11"/>
      <color theme="1"/>
      <name val="微软雅黑"/>
      <family val="2"/>
      <charset val="134"/>
    </font>
    <font>
      <b/>
      <sz val="11"/>
      <color theme="1"/>
      <name val="微软雅黑"/>
      <family val="2"/>
      <charset val="134"/>
    </font>
    <font>
      <sz val="11"/>
      <color rgb="FFFF0000"/>
      <name val="微软雅黑"/>
      <family val="2"/>
      <charset val="134"/>
    </font>
    <font>
      <sz val="11"/>
      <name val="微软雅黑"/>
      <family val="2"/>
      <charset val="134"/>
    </font>
    <font>
      <b/>
      <sz val="11"/>
      <name val="微软雅黑"/>
      <family val="2"/>
      <charset val="134"/>
    </font>
    <font>
      <sz val="11"/>
      <color theme="0" tint="-0.249977111117893"/>
      <name val="微软雅黑"/>
      <family val="2"/>
      <charset val="134"/>
    </font>
    <font>
      <b/>
      <sz val="11"/>
      <color rgb="FFFF0000"/>
      <name val="微软雅黑"/>
      <family val="2"/>
      <charset val="134"/>
    </font>
    <font>
      <i/>
      <sz val="11"/>
      <color theme="1"/>
      <name val="微软雅黑"/>
      <family val="2"/>
      <charset val="134"/>
    </font>
    <font>
      <sz val="10"/>
      <color theme="1"/>
      <name val="微软雅黑"/>
      <family val="2"/>
      <charset val="134"/>
    </font>
    <font>
      <i/>
      <sz val="10"/>
      <color theme="1"/>
      <name val="微软雅黑"/>
      <family val="2"/>
      <charset val="134"/>
    </font>
    <font>
      <sz val="11"/>
      <color theme="1"/>
      <name val="宋体"/>
      <family val="2"/>
      <charset val="134"/>
      <scheme val="minor"/>
    </font>
    <font>
      <b/>
      <sz val="11"/>
      <color theme="0" tint="-4.9989318521683403E-2"/>
      <name val="微软雅黑"/>
      <family val="2"/>
      <charset val="134"/>
    </font>
    <font>
      <sz val="11"/>
      <color theme="1"/>
      <name val="宋体"/>
      <family val="2"/>
      <scheme val="minor"/>
    </font>
    <font>
      <sz val="12"/>
      <name val="宋体"/>
      <family val="3"/>
      <charset val="134"/>
    </font>
    <font>
      <sz val="11"/>
      <color indexed="8"/>
      <name val="微软雅黑"/>
      <family val="2"/>
      <charset val="134"/>
    </font>
    <font>
      <sz val="11"/>
      <color rgb="FF00B0F0"/>
      <name val="微软雅黑"/>
      <family val="2"/>
      <charset val="134"/>
    </font>
  </fonts>
  <fills count="9">
    <fill>
      <patternFill patternType="none"/>
    </fill>
    <fill>
      <patternFill patternType="gray125"/>
    </fill>
    <fill>
      <patternFill patternType="solid">
        <fgColor theme="4" tint="0.79998168889431442"/>
        <bgColor indexed="64"/>
      </patternFill>
    </fill>
    <fill>
      <patternFill patternType="solid">
        <fgColor rgb="FFFFC000"/>
        <bgColor indexed="64"/>
      </patternFill>
    </fill>
    <fill>
      <patternFill patternType="solid">
        <fgColor rgb="FFFFFF00"/>
        <bgColor indexed="64"/>
      </patternFill>
    </fill>
    <fill>
      <patternFill patternType="solid">
        <fgColor theme="8" tint="0.79998168889431442"/>
        <bgColor indexed="64"/>
      </patternFill>
    </fill>
    <fill>
      <patternFill patternType="solid">
        <fgColor rgb="FF00B0F0"/>
        <bgColor indexed="64"/>
      </patternFill>
    </fill>
    <fill>
      <patternFill patternType="solid">
        <fgColor theme="0" tint="-0.249977111117893"/>
        <bgColor indexed="64"/>
      </patternFill>
    </fill>
    <fill>
      <patternFill patternType="solid">
        <fgColor theme="7" tint="0.59999389629810485"/>
        <bgColor indexed="64"/>
      </patternFill>
    </fill>
  </fills>
  <borders count="4">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s>
  <cellStyleXfs count="4">
    <xf numFmtId="0" fontId="0" fillId="0" borderId="0">
      <alignment vertical="center"/>
    </xf>
    <xf numFmtId="0" fontId="12" fillId="0" borderId="0">
      <alignment vertical="center"/>
    </xf>
    <xf numFmtId="0" fontId="14" fillId="0" borderId="0"/>
    <xf numFmtId="0" fontId="15" fillId="0" borderId="0"/>
  </cellStyleXfs>
  <cellXfs count="144">
    <xf numFmtId="0" fontId="0" fillId="0" borderId="0" xfId="0">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2" fillId="0" borderId="0" xfId="0" applyNumberFormat="1" applyFont="1">
      <alignment vertical="center"/>
    </xf>
    <xf numFmtId="0" fontId="4" fillId="0" borderId="0" xfId="0" applyNumberFormat="1" applyFont="1">
      <alignment vertical="center"/>
    </xf>
    <xf numFmtId="0" fontId="2" fillId="2" borderId="0" xfId="0" applyFont="1" applyFill="1">
      <alignment vertical="center"/>
    </xf>
    <xf numFmtId="0" fontId="2" fillId="0" borderId="0" xfId="0" applyFont="1" applyFill="1">
      <alignment vertical="center"/>
    </xf>
    <xf numFmtId="0" fontId="5" fillId="0" borderId="0" xfId="0" applyFont="1">
      <alignment vertical="center"/>
    </xf>
    <xf numFmtId="0" fontId="6" fillId="0" borderId="0" xfId="0" applyFont="1">
      <alignment vertical="center"/>
    </xf>
    <xf numFmtId="0" fontId="4" fillId="0" borderId="0" xfId="0" applyFont="1" applyFill="1" applyBorder="1">
      <alignment vertical="center"/>
    </xf>
    <xf numFmtId="0" fontId="2" fillId="0" borderId="0" xfId="0" applyFont="1" applyFill="1" applyBorder="1">
      <alignment vertical="center"/>
    </xf>
    <xf numFmtId="0" fontId="7" fillId="0" borderId="0" xfId="0" applyFont="1" applyFill="1" applyBorder="1">
      <alignment vertical="center"/>
    </xf>
    <xf numFmtId="0" fontId="7" fillId="0" borderId="0" xfId="0" applyFont="1" applyFill="1">
      <alignment vertical="center"/>
    </xf>
    <xf numFmtId="10" fontId="2" fillId="0" borderId="0" xfId="0" applyNumberFormat="1" applyFont="1" applyFill="1">
      <alignment vertical="center"/>
    </xf>
    <xf numFmtId="0" fontId="4" fillId="0" borderId="0" xfId="0" applyFont="1" applyFill="1">
      <alignment vertical="center"/>
    </xf>
    <xf numFmtId="0" fontId="7" fillId="2" borderId="0" xfId="0" applyFont="1" applyFill="1">
      <alignment vertical="center"/>
    </xf>
    <xf numFmtId="10" fontId="2" fillId="2" borderId="0" xfId="0" applyNumberFormat="1" applyFont="1" applyFill="1">
      <alignment vertical="center"/>
    </xf>
    <xf numFmtId="177" fontId="2" fillId="2" borderId="0" xfId="0" applyNumberFormat="1" applyFont="1" applyFill="1" applyBorder="1">
      <alignment vertical="center"/>
    </xf>
    <xf numFmtId="0" fontId="2" fillId="2" borderId="0" xfId="0" applyNumberFormat="1" applyFont="1" applyFill="1" applyBorder="1">
      <alignment vertical="center"/>
    </xf>
    <xf numFmtId="0" fontId="2" fillId="2" borderId="0" xfId="0" applyNumberFormat="1" applyFont="1" applyFill="1" applyBorder="1" applyAlignment="1">
      <alignment horizontal="right" vertical="center"/>
    </xf>
    <xf numFmtId="0" fontId="3" fillId="0" borderId="0" xfId="0" applyNumberFormat="1" applyFont="1" applyFill="1" applyBorder="1">
      <alignment vertical="center"/>
    </xf>
    <xf numFmtId="0" fontId="2" fillId="0" borderId="0" xfId="0" applyNumberFormat="1" applyFont="1" applyFill="1" applyBorder="1">
      <alignment vertical="center"/>
    </xf>
    <xf numFmtId="0" fontId="6" fillId="0" borderId="0" xfId="0" applyFont="1" applyAlignment="1">
      <alignment vertical="center"/>
    </xf>
    <xf numFmtId="0" fontId="2" fillId="2" borderId="0" xfId="0" applyFont="1" applyFill="1" applyBorder="1">
      <alignment vertical="center"/>
    </xf>
    <xf numFmtId="0" fontId="5" fillId="2" borderId="0" xfId="0" applyFont="1" applyFill="1" applyBorder="1">
      <alignment vertical="center"/>
    </xf>
    <xf numFmtId="176" fontId="2" fillId="2" borderId="0" xfId="0" applyNumberFormat="1" applyFont="1" applyFill="1">
      <alignment vertical="center"/>
    </xf>
    <xf numFmtId="0" fontId="5" fillId="0" borderId="0" xfId="0" applyFont="1" applyFill="1">
      <alignment vertical="center"/>
    </xf>
    <xf numFmtId="0" fontId="3" fillId="0" borderId="0" xfId="0" applyFont="1" applyFill="1">
      <alignment vertical="center"/>
    </xf>
    <xf numFmtId="0" fontId="6" fillId="0" borderId="0" xfId="0" applyFont="1" applyFill="1">
      <alignment vertical="center"/>
    </xf>
    <xf numFmtId="0" fontId="3" fillId="3" borderId="0" xfId="0" applyFont="1" applyFill="1">
      <alignment vertical="center"/>
    </xf>
    <xf numFmtId="0" fontId="3" fillId="4" borderId="0" xfId="0" applyFont="1" applyFill="1">
      <alignment vertical="center"/>
    </xf>
    <xf numFmtId="0" fontId="6"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3" fontId="5" fillId="0" borderId="0" xfId="0" applyNumberFormat="1" applyFont="1" applyFill="1" applyBorder="1" applyAlignment="1">
      <alignment horizontal="center" vertical="center" wrapText="1"/>
    </xf>
    <xf numFmtId="0" fontId="8" fillId="0" borderId="0" xfId="0" applyFont="1">
      <alignment vertical="center"/>
    </xf>
    <xf numFmtId="0" fontId="4" fillId="2" borderId="0" xfId="0" applyFont="1" applyFill="1">
      <alignment vertical="center"/>
    </xf>
    <xf numFmtId="0" fontId="8" fillId="2" borderId="0" xfId="0" applyFont="1" applyFill="1">
      <alignment vertical="center"/>
    </xf>
    <xf numFmtId="10" fontId="2" fillId="0" borderId="0" xfId="0" applyNumberFormat="1" applyFont="1">
      <alignment vertical="center"/>
    </xf>
    <xf numFmtId="10" fontId="8" fillId="2" borderId="0" xfId="0" applyNumberFormat="1" applyFont="1" applyFill="1">
      <alignment vertical="center"/>
    </xf>
    <xf numFmtId="0" fontId="2" fillId="0" borderId="0" xfId="0" applyNumberFormat="1" applyFont="1" applyAlignment="1">
      <alignment horizontal="right" vertical="center"/>
    </xf>
    <xf numFmtId="0" fontId="3" fillId="0" borderId="0" xfId="0" applyNumberFormat="1" applyFont="1">
      <alignment vertical="center"/>
    </xf>
    <xf numFmtId="0" fontId="9" fillId="0" borderId="0" xfId="0" applyFont="1">
      <alignment vertical="center"/>
    </xf>
    <xf numFmtId="0" fontId="10" fillId="0" borderId="0" xfId="0" applyFont="1">
      <alignment vertical="center"/>
    </xf>
    <xf numFmtId="0" fontId="11" fillId="0" borderId="0" xfId="0" applyFont="1">
      <alignment vertical="center"/>
    </xf>
    <xf numFmtId="10" fontId="4" fillId="0" borderId="0" xfId="0" applyNumberFormat="1" applyFont="1">
      <alignment vertical="center"/>
    </xf>
    <xf numFmtId="0" fontId="5" fillId="2" borderId="0" xfId="0" applyFont="1" applyFill="1">
      <alignment vertical="center"/>
    </xf>
    <xf numFmtId="0" fontId="3" fillId="0" borderId="0" xfId="0" applyFont="1" applyAlignment="1">
      <alignment horizontal="center" vertical="center"/>
    </xf>
    <xf numFmtId="0" fontId="2" fillId="5" borderId="0" xfId="0" applyFont="1" applyFill="1">
      <alignment vertical="center"/>
    </xf>
    <xf numFmtId="0" fontId="3" fillId="0" borderId="0" xfId="0" applyFont="1" applyAlignment="1">
      <alignment vertical="center" wrapText="1"/>
    </xf>
    <xf numFmtId="0" fontId="3" fillId="0" borderId="0" xfId="0" applyFont="1" applyAlignment="1">
      <alignment horizontal="left" vertical="center"/>
    </xf>
    <xf numFmtId="58" fontId="2" fillId="0" borderId="0" xfId="0" applyNumberFormat="1" applyFont="1">
      <alignment vertical="center"/>
    </xf>
    <xf numFmtId="49" fontId="3" fillId="0" borderId="0" xfId="0" applyNumberFormat="1" applyFont="1" applyFill="1">
      <alignment vertical="center"/>
    </xf>
    <xf numFmtId="0" fontId="0" fillId="0" borderId="0" xfId="0">
      <alignment vertical="center"/>
    </xf>
    <xf numFmtId="0" fontId="2" fillId="0" borderId="0" xfId="0" applyFont="1">
      <alignment vertical="center"/>
    </xf>
    <xf numFmtId="0" fontId="3" fillId="0" borderId="0" xfId="0" applyFont="1">
      <alignment vertical="center"/>
    </xf>
    <xf numFmtId="0" fontId="6" fillId="0" borderId="0" xfId="0" applyFont="1">
      <alignment vertical="center"/>
    </xf>
    <xf numFmtId="0" fontId="3" fillId="0" borderId="2" xfId="0" applyFont="1" applyBorder="1">
      <alignment vertical="center"/>
    </xf>
    <xf numFmtId="177" fontId="3" fillId="0" borderId="2" xfId="0" applyNumberFormat="1" applyFont="1" applyBorder="1">
      <alignment vertical="center"/>
    </xf>
    <xf numFmtId="177" fontId="3" fillId="0" borderId="2" xfId="0" applyNumberFormat="1" applyFont="1" applyBorder="1" applyAlignment="1">
      <alignment vertical="center" wrapText="1"/>
    </xf>
    <xf numFmtId="0" fontId="2" fillId="0" borderId="0" xfId="0" applyFont="1" applyFill="1">
      <alignment vertical="center"/>
    </xf>
    <xf numFmtId="177" fontId="3" fillId="0" borderId="2" xfId="0" applyNumberFormat="1" applyFont="1" applyFill="1" applyBorder="1" applyAlignment="1">
      <alignment vertical="center" wrapText="1"/>
    </xf>
    <xf numFmtId="0" fontId="3" fillId="0" borderId="2" xfId="0" applyFont="1" applyBorder="1" applyAlignment="1">
      <alignment vertical="center" wrapText="1"/>
    </xf>
    <xf numFmtId="177" fontId="2" fillId="6" borderId="0" xfId="0" applyNumberFormat="1" applyFont="1" applyFill="1">
      <alignment vertical="center"/>
    </xf>
    <xf numFmtId="58" fontId="2" fillId="0" borderId="0" xfId="0" applyNumberFormat="1" applyFont="1">
      <alignment vertical="center"/>
    </xf>
    <xf numFmtId="0" fontId="3" fillId="0" borderId="0" xfId="0" applyFont="1" applyFill="1">
      <alignment vertical="center"/>
    </xf>
    <xf numFmtId="177" fontId="3" fillId="0" borderId="0" xfId="0" applyNumberFormat="1" applyFont="1" applyFill="1">
      <alignment vertical="center"/>
    </xf>
    <xf numFmtId="49" fontId="2" fillId="6" borderId="0" xfId="0" applyNumberFormat="1" applyFont="1" applyFill="1">
      <alignment vertical="center"/>
    </xf>
    <xf numFmtId="0" fontId="2" fillId="6" borderId="0" xfId="0" applyFont="1" applyFill="1">
      <alignment vertical="center"/>
    </xf>
    <xf numFmtId="178" fontId="2" fillId="6" borderId="0" xfId="0" applyNumberFormat="1" applyFont="1" applyFill="1">
      <alignment vertical="center"/>
    </xf>
    <xf numFmtId="49" fontId="2" fillId="0" borderId="0" xfId="0" applyNumberFormat="1" applyFont="1" applyFill="1">
      <alignment vertical="center"/>
    </xf>
    <xf numFmtId="178" fontId="2" fillId="0" borderId="0" xfId="0" applyNumberFormat="1" applyFont="1" applyFill="1">
      <alignment vertical="center"/>
    </xf>
    <xf numFmtId="0" fontId="2" fillId="0" borderId="0" xfId="1" applyNumberFormat="1" applyFont="1" applyFill="1" applyBorder="1" applyAlignment="1"/>
    <xf numFmtId="0" fontId="2" fillId="6" borderId="0" xfId="1" applyNumberFormat="1" applyFont="1" applyFill="1" applyBorder="1" applyAlignment="1"/>
    <xf numFmtId="0" fontId="5" fillId="6" borderId="0" xfId="0" applyFont="1" applyFill="1" applyBorder="1">
      <alignment vertical="center"/>
    </xf>
    <xf numFmtId="0" fontId="5" fillId="6" borderId="0" xfId="0" applyFont="1" applyFill="1">
      <alignment vertical="center"/>
    </xf>
    <xf numFmtId="0" fontId="5" fillId="0" borderId="0" xfId="0" applyFont="1" applyFill="1" applyBorder="1">
      <alignment vertical="center"/>
    </xf>
    <xf numFmtId="0" fontId="2" fillId="7" borderId="0" xfId="0" applyFont="1" applyFill="1">
      <alignment vertical="center"/>
    </xf>
    <xf numFmtId="0" fontId="5" fillId="7" borderId="0" xfId="0" applyFont="1" applyFill="1">
      <alignment vertical="center"/>
    </xf>
    <xf numFmtId="0" fontId="3" fillId="7" borderId="0" xfId="0" applyFont="1" applyFill="1">
      <alignment vertical="center"/>
    </xf>
    <xf numFmtId="0" fontId="0" fillId="0" borderId="0" xfId="0">
      <alignment vertical="center"/>
    </xf>
    <xf numFmtId="0" fontId="2" fillId="0" borderId="0" xfId="0" applyFont="1">
      <alignment vertical="center"/>
    </xf>
    <xf numFmtId="0" fontId="3" fillId="0" borderId="0" xfId="0" applyFont="1">
      <alignment vertical="center"/>
    </xf>
    <xf numFmtId="0" fontId="2" fillId="0" borderId="0" xfId="0" applyFont="1" applyBorder="1">
      <alignment vertical="center"/>
    </xf>
    <xf numFmtId="0" fontId="6" fillId="0" borderId="0" xfId="0" applyFont="1">
      <alignment vertical="center"/>
    </xf>
    <xf numFmtId="0" fontId="13" fillId="0" borderId="0" xfId="0" applyFont="1">
      <alignment vertical="center"/>
    </xf>
    <xf numFmtId="0" fontId="3" fillId="0" borderId="0" xfId="0" applyFont="1" applyBorder="1">
      <alignment vertical="center"/>
    </xf>
    <xf numFmtId="0" fontId="2" fillId="0" borderId="1" xfId="0" applyFont="1" applyBorder="1">
      <alignment vertical="center"/>
    </xf>
    <xf numFmtId="177" fontId="2" fillId="0" borderId="0" xfId="0" applyNumberFormat="1" applyFont="1" applyBorder="1">
      <alignment vertical="center"/>
    </xf>
    <xf numFmtId="0" fontId="2" fillId="0" borderId="0" xfId="0" applyFont="1" applyFill="1">
      <alignment vertical="center"/>
    </xf>
    <xf numFmtId="0" fontId="2" fillId="0" borderId="0" xfId="0" applyFont="1" applyAlignment="1">
      <alignment vertical="center" wrapText="1"/>
    </xf>
    <xf numFmtId="0" fontId="8" fillId="0" borderId="1" xfId="0" applyFont="1" applyBorder="1">
      <alignment vertical="center"/>
    </xf>
    <xf numFmtId="0" fontId="8" fillId="0" borderId="1" xfId="0" applyFont="1" applyFill="1" applyBorder="1">
      <alignment vertical="center"/>
    </xf>
    <xf numFmtId="177" fontId="2" fillId="6" borderId="0" xfId="0" applyNumberFormat="1" applyFont="1" applyFill="1">
      <alignment vertical="center"/>
    </xf>
    <xf numFmtId="58" fontId="2" fillId="0" borderId="0" xfId="0" applyNumberFormat="1" applyFont="1" applyAlignment="1">
      <alignment vertical="center" wrapText="1"/>
    </xf>
    <xf numFmtId="58" fontId="2" fillId="0" borderId="0" xfId="0" applyNumberFormat="1" applyFont="1">
      <alignment vertical="center"/>
    </xf>
    <xf numFmtId="0" fontId="16" fillId="0" borderId="0" xfId="3" applyFont="1" applyFill="1" applyAlignment="1">
      <alignment horizontal="left"/>
    </xf>
    <xf numFmtId="0" fontId="16" fillId="0" borderId="0" xfId="3" applyFont="1" applyFill="1" applyAlignment="1">
      <alignment horizontal="left" wrapText="1"/>
    </xf>
    <xf numFmtId="0" fontId="2" fillId="0" borderId="0" xfId="0" applyFont="1" applyFill="1" applyBorder="1">
      <alignment vertical="center"/>
    </xf>
    <xf numFmtId="177" fontId="2" fillId="0" borderId="0" xfId="0" applyNumberFormat="1" applyFont="1" applyFill="1" applyBorder="1">
      <alignment vertical="center"/>
    </xf>
    <xf numFmtId="177" fontId="2" fillId="0" borderId="0" xfId="0" applyNumberFormat="1" applyFont="1" applyFill="1">
      <alignment vertical="center"/>
    </xf>
    <xf numFmtId="58" fontId="2" fillId="0" borderId="0" xfId="0" applyNumberFormat="1" applyFont="1" applyFill="1" applyAlignment="1">
      <alignment vertical="center" wrapText="1"/>
    </xf>
    <xf numFmtId="0" fontId="16" fillId="0" borderId="0" xfId="3" applyFont="1" applyFill="1" applyAlignment="1">
      <alignment horizontal="left" vertical="center" wrapText="1"/>
    </xf>
    <xf numFmtId="0" fontId="2" fillId="0" borderId="0" xfId="0" applyFont="1" applyFill="1" applyAlignment="1">
      <alignment vertical="center" wrapText="1"/>
    </xf>
    <xf numFmtId="0" fontId="6" fillId="0" borderId="0" xfId="0" applyFont="1" applyFill="1">
      <alignment vertical="center"/>
    </xf>
    <xf numFmtId="0" fontId="3" fillId="0" borderId="0" xfId="0" applyFont="1" applyFill="1">
      <alignment vertical="center"/>
    </xf>
    <xf numFmtId="0" fontId="4" fillId="0" borderId="0" xfId="0" applyFont="1">
      <alignment vertical="center"/>
    </xf>
    <xf numFmtId="0" fontId="4" fillId="0" borderId="0" xfId="0" applyFont="1" applyFill="1" applyAlignment="1">
      <alignment vertical="center" wrapText="1"/>
    </xf>
    <xf numFmtId="0" fontId="4" fillId="0" borderId="0" xfId="3" applyFont="1" applyAlignment="1">
      <alignment horizontal="center"/>
    </xf>
    <xf numFmtId="0" fontId="17" fillId="0" borderId="0" xfId="3" applyFont="1" applyFill="1" applyAlignment="1">
      <alignment horizontal="left" wrapText="1"/>
    </xf>
    <xf numFmtId="0" fontId="2" fillId="2" borderId="0" xfId="0" applyFont="1" applyFill="1">
      <alignment vertical="center"/>
    </xf>
    <xf numFmtId="177" fontId="2" fillId="2" borderId="0" xfId="0" applyNumberFormat="1" applyFont="1" applyFill="1">
      <alignment vertical="center"/>
    </xf>
    <xf numFmtId="0" fontId="0" fillId="2" borderId="0" xfId="0" applyFill="1">
      <alignment vertical="center"/>
    </xf>
    <xf numFmtId="0" fontId="2" fillId="2" borderId="1" xfId="0" applyFont="1" applyFill="1" applyBorder="1">
      <alignment vertical="center"/>
    </xf>
    <xf numFmtId="49" fontId="2" fillId="2" borderId="0" xfId="0" applyNumberFormat="1" applyFont="1" applyFill="1" applyAlignment="1">
      <alignment horizontal="right" vertical="center"/>
    </xf>
    <xf numFmtId="178" fontId="5" fillId="0" borderId="0" xfId="0" applyNumberFormat="1" applyFont="1" applyFill="1" applyBorder="1">
      <alignment vertical="center"/>
    </xf>
    <xf numFmtId="0" fontId="6" fillId="0" borderId="0" xfId="1" applyNumberFormat="1" applyFont="1" applyFill="1" applyAlignment="1"/>
    <xf numFmtId="0" fontId="2" fillId="2" borderId="0" xfId="1" applyNumberFormat="1" applyFont="1" applyFill="1" applyBorder="1" applyAlignment="1"/>
    <xf numFmtId="0" fontId="6" fillId="8" borderId="0" xfId="1" applyNumberFormat="1" applyFont="1" applyFill="1" applyBorder="1" applyAlignment="1"/>
    <xf numFmtId="178" fontId="6" fillId="0" borderId="0" xfId="1" applyNumberFormat="1" applyFont="1" applyFill="1" applyAlignment="1"/>
    <xf numFmtId="0" fontId="6" fillId="0" borderId="0" xfId="0" applyFont="1" applyFill="1" applyAlignment="1">
      <alignment horizontal="right" vertical="center"/>
    </xf>
    <xf numFmtId="49" fontId="2" fillId="0" borderId="3" xfId="0" applyNumberFormat="1" applyFont="1" applyFill="1" applyBorder="1">
      <alignment vertical="center"/>
    </xf>
    <xf numFmtId="0" fontId="2" fillId="0" borderId="3" xfId="0" applyFont="1" applyFill="1" applyBorder="1">
      <alignment vertical="center"/>
    </xf>
    <xf numFmtId="0" fontId="2" fillId="0" borderId="3" xfId="1" applyNumberFormat="1" applyFont="1" applyFill="1" applyBorder="1" applyAlignment="1"/>
    <xf numFmtId="178" fontId="2" fillId="0" borderId="3" xfId="0" applyNumberFormat="1" applyFont="1" applyFill="1" applyBorder="1">
      <alignment vertical="center"/>
    </xf>
    <xf numFmtId="177" fontId="2" fillId="2" borderId="3" xfId="0" applyNumberFormat="1" applyFont="1" applyFill="1" applyBorder="1">
      <alignment vertical="center"/>
    </xf>
    <xf numFmtId="0" fontId="2" fillId="0" borderId="3" xfId="0" applyFont="1" applyBorder="1">
      <alignment vertical="center"/>
    </xf>
    <xf numFmtId="177" fontId="2" fillId="0" borderId="3" xfId="0" applyNumberFormat="1" applyFont="1" applyFill="1" applyBorder="1">
      <alignment vertical="center"/>
    </xf>
    <xf numFmtId="49" fontId="2" fillId="0" borderId="0" xfId="0" applyNumberFormat="1" applyFont="1" applyFill="1" applyBorder="1">
      <alignment vertical="center"/>
    </xf>
    <xf numFmtId="178" fontId="2" fillId="0" borderId="0" xfId="0" applyNumberFormat="1" applyFont="1" applyFill="1" applyBorder="1">
      <alignment vertical="center"/>
    </xf>
    <xf numFmtId="0" fontId="2" fillId="2" borderId="3" xfId="0" applyFont="1" applyFill="1" applyBorder="1">
      <alignment vertical="center"/>
    </xf>
    <xf numFmtId="0" fontId="3" fillId="0" borderId="0" xfId="0" applyFont="1" applyAlignment="1">
      <alignment vertical="center"/>
    </xf>
    <xf numFmtId="0" fontId="2" fillId="0" borderId="0" xfId="0" applyFont="1" applyAlignment="1">
      <alignment horizontal="center" vertical="center"/>
    </xf>
    <xf numFmtId="0" fontId="3" fillId="0" borderId="0" xfId="0" applyFont="1" applyAlignment="1">
      <alignment horizontal="center" vertical="center"/>
    </xf>
    <xf numFmtId="0" fontId="6" fillId="0" borderId="0" xfId="0" applyFont="1" applyAlignment="1">
      <alignment horizontal="center" vertical="center"/>
    </xf>
    <xf numFmtId="0" fontId="2" fillId="0" borderId="0" xfId="0" applyFont="1">
      <alignment vertical="center"/>
    </xf>
    <xf numFmtId="0" fontId="2" fillId="0" borderId="0" xfId="0" applyFont="1" applyAlignment="1">
      <alignment horizontal="right" vertical="center"/>
    </xf>
    <xf numFmtId="0" fontId="3" fillId="0" borderId="0" xfId="0" applyFont="1" applyAlignment="1">
      <alignment horizontal="right" vertical="center"/>
    </xf>
    <xf numFmtId="177" fontId="2" fillId="2" borderId="1" xfId="0" applyNumberFormat="1" applyFont="1" applyFill="1" applyBorder="1">
      <alignment vertical="center"/>
    </xf>
    <xf numFmtId="0" fontId="0" fillId="2" borderId="0" xfId="0" applyFill="1" applyBorder="1">
      <alignment vertical="center"/>
    </xf>
    <xf numFmtId="0" fontId="2" fillId="0" borderId="0" xfId="0" applyFont="1">
      <alignment vertical="center"/>
    </xf>
    <xf numFmtId="0" fontId="3" fillId="0" borderId="0" xfId="0" applyFont="1">
      <alignment vertical="center"/>
    </xf>
    <xf numFmtId="0" fontId="8" fillId="0" borderId="0" xfId="0" applyFont="1" applyAlignment="1">
      <alignment vertical="center" wrapText="1"/>
    </xf>
    <xf numFmtId="0" fontId="2" fillId="0" borderId="0" xfId="0" applyFont="1" applyAlignment="1">
      <alignment horizontal="right" vertical="center"/>
    </xf>
  </cellXfs>
  <cellStyles count="4">
    <cellStyle name="常规" xfId="0" builtinId="0"/>
    <cellStyle name="常规 2" xfId="1"/>
    <cellStyle name="常规 2 2" xfId="2"/>
    <cellStyle name="常规 3" xfId="3"/>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lang val="zh-CN"/>
  <c:chart>
    <c:title>
      <c:layout/>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plotArea>
      <c:layout/>
      <c:lineChart>
        <c:grouping val="standard"/>
        <c:ser>
          <c:idx val="0"/>
          <c:order val="0"/>
          <c:spPr>
            <a:ln w="28575" cap="rnd">
              <a:solidFill>
                <a:schemeClr val="accent1"/>
              </a:solidFill>
              <a:round/>
            </a:ln>
            <a:effectLst/>
          </c:spPr>
          <c:marker>
            <c:symbol val="none"/>
          </c:marker>
          <c:cat>
            <c:strRef>
              <c:f>副本时间模板!$C$63:$C$72</c:f>
              <c:strCache>
                <c:ptCount val="10"/>
                <c:pt idx="0">
                  <c:v>1~10</c:v>
                </c:pt>
                <c:pt idx="1">
                  <c:v>11~20</c:v>
                </c:pt>
                <c:pt idx="2">
                  <c:v>21~30</c:v>
                </c:pt>
                <c:pt idx="3">
                  <c:v>31~40</c:v>
                </c:pt>
                <c:pt idx="4">
                  <c:v>41~50</c:v>
                </c:pt>
                <c:pt idx="5">
                  <c:v>51~60</c:v>
                </c:pt>
                <c:pt idx="6">
                  <c:v>61~70</c:v>
                </c:pt>
                <c:pt idx="7">
                  <c:v>71~80</c:v>
                </c:pt>
                <c:pt idx="8">
                  <c:v>81~90</c:v>
                </c:pt>
                <c:pt idx="9">
                  <c:v>91~100</c:v>
                </c:pt>
              </c:strCache>
            </c:strRef>
          </c:cat>
          <c:val>
            <c:numRef>
              <c:f>副本时间模板!$D$63:$D$72</c:f>
              <c:numCache>
                <c:formatCode>General</c:formatCode>
                <c:ptCount val="10"/>
                <c:pt idx="0">
                  <c:v>1</c:v>
                </c:pt>
                <c:pt idx="1">
                  <c:v>2</c:v>
                </c:pt>
                <c:pt idx="2">
                  <c:v>5</c:v>
                </c:pt>
                <c:pt idx="3">
                  <c:v>25</c:v>
                </c:pt>
                <c:pt idx="4">
                  <c:v>75</c:v>
                </c:pt>
                <c:pt idx="5">
                  <c:v>135</c:v>
                </c:pt>
                <c:pt idx="6">
                  <c:v>205</c:v>
                </c:pt>
                <c:pt idx="7">
                  <c:v>325</c:v>
                </c:pt>
                <c:pt idx="8">
                  <c:v>455</c:v>
                </c:pt>
                <c:pt idx="9">
                  <c:v>600</c:v>
                </c:pt>
              </c:numCache>
            </c:numRef>
          </c:val>
        </c:ser>
        <c:marker val="1"/>
        <c:axId val="216787200"/>
        <c:axId val="243839744"/>
      </c:lineChart>
      <c:catAx>
        <c:axId val="216787200"/>
        <c:scaling>
          <c:orientation val="minMax"/>
        </c:scaling>
        <c:axPos val="b"/>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43839744"/>
        <c:crosses val="autoZero"/>
        <c:auto val="1"/>
        <c:lblAlgn val="ctr"/>
        <c:lblOffset val="100"/>
      </c:catAx>
      <c:valAx>
        <c:axId val="243839744"/>
        <c:scaling>
          <c:orientation val="minMax"/>
        </c:scaling>
        <c:axPos val="l"/>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16787200"/>
        <c:crosses val="autoZero"/>
        <c:crossBetween val="between"/>
      </c:valAx>
      <c:spPr>
        <a:noFill/>
        <a:ln>
          <a:noFill/>
        </a:ln>
        <a:effectLst/>
      </c:spPr>
    </c:plotArea>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000000000000056" l="0.70000000000000051" r="0.70000000000000051" t="0.75000000000000056" header="0.30000000000000027" footer="0.30000000000000027"/>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zh-CN"/>
  <c:chart>
    <c:title>
      <c:layout/>
    </c:title>
    <c:plotArea>
      <c:layout/>
      <c:lineChart>
        <c:grouping val="standard"/>
        <c:ser>
          <c:idx val="0"/>
          <c:order val="0"/>
          <c:tx>
            <c:strRef>
              <c:f>参考!$J$189</c:f>
              <c:strCache>
                <c:ptCount val="1"/>
                <c:pt idx="0">
                  <c:v>经验</c:v>
                </c:pt>
              </c:strCache>
            </c:strRef>
          </c:tx>
          <c:marker>
            <c:symbol val="none"/>
          </c:marker>
          <c:trendline>
            <c:trendlineType val="linear"/>
            <c:dispEq val="1"/>
            <c:trendlineLbl>
              <c:layout/>
              <c:numFmt formatCode="General" sourceLinked="0"/>
            </c:trendlineLbl>
          </c:trendline>
          <c:cat>
            <c:strRef>
              <c:f>参考!$I$190:$I$203</c:f>
              <c:strCache>
                <c:ptCount val="14"/>
                <c:pt idx="0">
                  <c:v>10~1</c:v>
                </c:pt>
                <c:pt idx="1">
                  <c:v>10~2</c:v>
                </c:pt>
                <c:pt idx="2">
                  <c:v>10~3</c:v>
                </c:pt>
                <c:pt idx="3">
                  <c:v>10~4</c:v>
                </c:pt>
                <c:pt idx="4">
                  <c:v>10~5</c:v>
                </c:pt>
                <c:pt idx="5">
                  <c:v>10~6</c:v>
                </c:pt>
                <c:pt idx="6">
                  <c:v>10~7</c:v>
                </c:pt>
                <c:pt idx="7">
                  <c:v>11~1</c:v>
                </c:pt>
                <c:pt idx="8">
                  <c:v>11~2</c:v>
                </c:pt>
                <c:pt idx="9">
                  <c:v>11~3</c:v>
                </c:pt>
                <c:pt idx="10">
                  <c:v>11~4</c:v>
                </c:pt>
                <c:pt idx="11">
                  <c:v>11~5</c:v>
                </c:pt>
                <c:pt idx="12">
                  <c:v>11~6</c:v>
                </c:pt>
                <c:pt idx="13">
                  <c:v>11~7</c:v>
                </c:pt>
              </c:strCache>
            </c:strRef>
          </c:cat>
          <c:val>
            <c:numRef>
              <c:f>参考!$J$190:$J$203</c:f>
              <c:numCache>
                <c:formatCode>General</c:formatCode>
                <c:ptCount val="14"/>
                <c:pt idx="0">
                  <c:v>620</c:v>
                </c:pt>
                <c:pt idx="1">
                  <c:v>635</c:v>
                </c:pt>
                <c:pt idx="2">
                  <c:v>645</c:v>
                </c:pt>
                <c:pt idx="3">
                  <c:v>655</c:v>
                </c:pt>
                <c:pt idx="4">
                  <c:v>670</c:v>
                </c:pt>
                <c:pt idx="5">
                  <c:v>685</c:v>
                </c:pt>
                <c:pt idx="6">
                  <c:v>705</c:v>
                </c:pt>
                <c:pt idx="7">
                  <c:v>720</c:v>
                </c:pt>
                <c:pt idx="8">
                  <c:v>735</c:v>
                </c:pt>
                <c:pt idx="9">
                  <c:v>745</c:v>
                </c:pt>
                <c:pt idx="10">
                  <c:v>765</c:v>
                </c:pt>
                <c:pt idx="11">
                  <c:v>785</c:v>
                </c:pt>
                <c:pt idx="12">
                  <c:v>800</c:v>
                </c:pt>
                <c:pt idx="13">
                  <c:v>810</c:v>
                </c:pt>
              </c:numCache>
            </c:numRef>
          </c:val>
        </c:ser>
        <c:marker val="1"/>
        <c:axId val="247163904"/>
        <c:axId val="247165696"/>
      </c:lineChart>
      <c:catAx>
        <c:axId val="247163904"/>
        <c:scaling>
          <c:orientation val="minMax"/>
        </c:scaling>
        <c:axPos val="b"/>
        <c:tickLblPos val="nextTo"/>
        <c:crossAx val="247165696"/>
        <c:crosses val="autoZero"/>
        <c:auto val="1"/>
        <c:lblAlgn val="ctr"/>
        <c:lblOffset val="100"/>
      </c:catAx>
      <c:valAx>
        <c:axId val="247165696"/>
        <c:scaling>
          <c:orientation val="minMax"/>
          <c:min val="600"/>
        </c:scaling>
        <c:axPos val="l"/>
        <c:majorGridlines/>
        <c:numFmt formatCode="General" sourceLinked="1"/>
        <c:tickLblPos val="nextTo"/>
        <c:crossAx val="247163904"/>
        <c:crosses val="autoZero"/>
        <c:crossBetween val="between"/>
      </c:valAx>
    </c:plotArea>
    <c:legend>
      <c:legendPos val="r"/>
      <c:layout/>
    </c:legend>
    <c:plotVisOnly val="1"/>
  </c:chart>
  <c:printSettings>
    <c:headerFooter/>
    <c:pageMargins b="0.75000000000000022" l="0.70000000000000018" r="0.70000000000000018" t="0.75000000000000022" header="0.3000000000000001" footer="0.30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zh-CN"/>
  <c:chart>
    <c:plotArea>
      <c:layout/>
      <c:lineChart>
        <c:grouping val="standard"/>
        <c:ser>
          <c:idx val="0"/>
          <c:order val="0"/>
          <c:marker>
            <c:symbol val="none"/>
          </c:marker>
          <c:val>
            <c:numRef>
              <c:f>升级曲线!$F$26:$F$74</c:f>
              <c:numCache>
                <c:formatCode>0.00_ </c:formatCode>
                <c:ptCount val="49"/>
                <c:pt idx="0">
                  <c:v>10.984738803621603</c:v>
                </c:pt>
                <c:pt idx="1">
                  <c:v>12.046385444239691</c:v>
                </c:pt>
                <c:pt idx="2">
                  <c:v>13.210637491293484</c:v>
                </c:pt>
                <c:pt idx="3">
                  <c:v>14.487411492367695</c:v>
                </c:pt>
                <c:pt idx="4">
                  <c:v>15.887582403764622</c:v>
                </c:pt>
                <c:pt idx="5">
                  <c:v>17.423076218231909</c:v>
                </c:pt>
                <c:pt idx="6">
                  <c:v>19.106971544921009</c:v>
                </c:pt>
                <c:pt idx="7">
                  <c:v>20.953611006786314</c:v>
                </c:pt>
                <c:pt idx="8">
                  <c:v>21.063829787234042</c:v>
                </c:pt>
                <c:pt idx="9">
                  <c:v>21.063829787234042</c:v>
                </c:pt>
                <c:pt idx="10">
                  <c:v>22.091248452983045</c:v>
                </c:pt>
                <c:pt idx="11">
                  <c:v>23.578568907690343</c:v>
                </c:pt>
                <c:pt idx="12">
                  <c:v>25.90620224715525</c:v>
                </c:pt>
                <c:pt idx="13">
                  <c:v>28.463615306678626</c:v>
                </c:pt>
                <c:pt idx="14">
                  <c:v>31.273491521342347</c:v>
                </c:pt>
                <c:pt idx="15">
                  <c:v>34.360753593588271</c:v>
                </c:pt>
                <c:pt idx="16">
                  <c:v>37.752784549609913</c:v>
                </c:pt>
                <c:pt idx="17">
                  <c:v>40.666343743164724</c:v>
                </c:pt>
                <c:pt idx="18">
                  <c:v>44.680851063829785</c:v>
                </c:pt>
                <c:pt idx="19">
                  <c:v>44.680851063829813</c:v>
                </c:pt>
                <c:pt idx="20">
                  <c:v>47.270342374978014</c:v>
                </c:pt>
                <c:pt idx="21">
                  <c:v>49.392502108237103</c:v>
                </c:pt>
                <c:pt idx="22">
                  <c:v>54.432352586517808</c:v>
                </c:pt>
                <c:pt idx="23">
                  <c:v>59.71984657920499</c:v>
                </c:pt>
                <c:pt idx="24">
                  <c:v>70.201030124798052</c:v>
                </c:pt>
                <c:pt idx="25">
                  <c:v>82.521722892349985</c:v>
                </c:pt>
                <c:pt idx="26">
                  <c:v>97.004769545628989</c:v>
                </c:pt>
                <c:pt idx="27">
                  <c:v>114.02967588153587</c:v>
                </c:pt>
                <c:pt idx="28">
                  <c:v>134.04255319148933</c:v>
                </c:pt>
                <c:pt idx="29">
                  <c:v>181.91489361702119</c:v>
                </c:pt>
                <c:pt idx="30">
                  <c:v>201.38639013406234</c:v>
                </c:pt>
                <c:pt idx="31">
                  <c:v>230.21189277388291</c:v>
                </c:pt>
                <c:pt idx="32">
                  <c:v>263.16334256378235</c:v>
                </c:pt>
                <c:pt idx="33">
                  <c:v>300.83130821293304</c:v>
                </c:pt>
                <c:pt idx="34">
                  <c:v>343.89088966359566</c:v>
                </c:pt>
                <c:pt idx="35">
                  <c:v>405.93274632642175</c:v>
                </c:pt>
                <c:pt idx="36">
                  <c:v>478.68982445205455</c:v>
                </c:pt>
                <c:pt idx="37">
                  <c:v>569.54222845685786</c:v>
                </c:pt>
                <c:pt idx="38">
                  <c:v>663.82978723404256</c:v>
                </c:pt>
                <c:pt idx="39">
                  <c:v>670.21276595744712</c:v>
                </c:pt>
                <c:pt idx="40">
                  <c:v>693.14730760099087</c:v>
                </c:pt>
                <c:pt idx="41">
                  <c:v>737.65579776630682</c:v>
                </c:pt>
                <c:pt idx="42">
                  <c:v>784.69531811999707</c:v>
                </c:pt>
                <c:pt idx="43">
                  <c:v>843.24850036195676</c:v>
                </c:pt>
                <c:pt idx="44">
                  <c:v>925.34855074458267</c:v>
                </c:pt>
                <c:pt idx="45">
                  <c:v>1004.8644752477015</c:v>
                </c:pt>
                <c:pt idx="46">
                  <c:v>1160.5507748845805</c:v>
                </c:pt>
                <c:pt idx="47">
                  <c:v>1308.417707188519</c:v>
                </c:pt>
                <c:pt idx="48">
                  <c:v>1608.5106382978722</c:v>
                </c:pt>
              </c:numCache>
            </c:numRef>
          </c:val>
        </c:ser>
        <c:marker val="1"/>
        <c:axId val="243850624"/>
        <c:axId val="244388992"/>
      </c:lineChart>
      <c:catAx>
        <c:axId val="243850624"/>
        <c:scaling>
          <c:orientation val="minMax"/>
        </c:scaling>
        <c:axPos val="b"/>
        <c:tickLblPos val="nextTo"/>
        <c:crossAx val="244388992"/>
        <c:crosses val="autoZero"/>
        <c:auto val="1"/>
        <c:lblAlgn val="ctr"/>
        <c:lblOffset val="100"/>
      </c:catAx>
      <c:valAx>
        <c:axId val="244388992"/>
        <c:scaling>
          <c:orientation val="minMax"/>
        </c:scaling>
        <c:axPos val="l"/>
        <c:majorGridlines/>
        <c:numFmt formatCode="0.00_ " sourceLinked="1"/>
        <c:tickLblPos val="nextTo"/>
        <c:crossAx val="243850624"/>
        <c:crosses val="autoZero"/>
        <c:crossBetween val="between"/>
      </c:valAx>
    </c:plotArea>
    <c:legend>
      <c:legendPos val="r"/>
      <c:layout/>
    </c:legend>
    <c:plotVisOnly val="1"/>
  </c:chart>
  <c:printSettings>
    <c:headerFooter/>
    <c:pageMargins b="0.75000000000000011" l="0.70000000000000007" r="0.70000000000000007" t="0.75000000000000011" header="0.30000000000000004" footer="0.30000000000000004"/>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zh-CN"/>
  <c:chart>
    <c:plotArea>
      <c:layout/>
      <c:lineChart>
        <c:grouping val="standard"/>
        <c:ser>
          <c:idx val="0"/>
          <c:order val="0"/>
          <c:marker>
            <c:symbol val="none"/>
          </c:marker>
          <c:val>
            <c:numRef>
              <c:f>升级曲线!$F$26:$F$34</c:f>
              <c:numCache>
                <c:formatCode>0.00_ </c:formatCode>
                <c:ptCount val="9"/>
                <c:pt idx="0">
                  <c:v>10.984738803621603</c:v>
                </c:pt>
                <c:pt idx="1">
                  <c:v>12.046385444239691</c:v>
                </c:pt>
                <c:pt idx="2">
                  <c:v>13.210637491293484</c:v>
                </c:pt>
                <c:pt idx="3">
                  <c:v>14.487411492367695</c:v>
                </c:pt>
                <c:pt idx="4">
                  <c:v>15.887582403764622</c:v>
                </c:pt>
                <c:pt idx="5">
                  <c:v>17.423076218231909</c:v>
                </c:pt>
                <c:pt idx="6">
                  <c:v>19.106971544921009</c:v>
                </c:pt>
                <c:pt idx="7">
                  <c:v>20.953611006786314</c:v>
                </c:pt>
                <c:pt idx="8">
                  <c:v>21.063829787234042</c:v>
                </c:pt>
              </c:numCache>
            </c:numRef>
          </c:val>
        </c:ser>
        <c:marker val="1"/>
        <c:axId val="244412800"/>
        <c:axId val="244414336"/>
      </c:lineChart>
      <c:catAx>
        <c:axId val="244412800"/>
        <c:scaling>
          <c:orientation val="minMax"/>
        </c:scaling>
        <c:axPos val="b"/>
        <c:tickLblPos val="nextTo"/>
        <c:crossAx val="244414336"/>
        <c:crosses val="autoZero"/>
        <c:auto val="1"/>
        <c:lblAlgn val="ctr"/>
        <c:lblOffset val="100"/>
      </c:catAx>
      <c:valAx>
        <c:axId val="244414336"/>
        <c:scaling>
          <c:orientation val="minMax"/>
        </c:scaling>
        <c:axPos val="l"/>
        <c:majorGridlines/>
        <c:numFmt formatCode="0.00_ " sourceLinked="1"/>
        <c:tickLblPos val="nextTo"/>
        <c:crossAx val="244412800"/>
        <c:crosses val="autoZero"/>
        <c:crossBetween val="between"/>
      </c:valAx>
    </c:plotArea>
    <c:legend>
      <c:legendPos val="r"/>
      <c:layout/>
    </c:legend>
    <c:plotVisOnly val="1"/>
  </c:chart>
  <c:printSettings>
    <c:headerFooter/>
    <c:pageMargins b="0.75000000000000033" l="0.70000000000000029" r="0.70000000000000029" t="0.75000000000000033" header="0.30000000000000016" footer="0.30000000000000016"/>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zh-CN"/>
  <c:chart>
    <c:plotArea>
      <c:layout/>
      <c:lineChart>
        <c:grouping val="standard"/>
        <c:ser>
          <c:idx val="0"/>
          <c:order val="0"/>
          <c:marker>
            <c:symbol val="none"/>
          </c:marker>
          <c:val>
            <c:numRef>
              <c:f>升级曲线!$F$35:$F$44</c:f>
              <c:numCache>
                <c:formatCode>0.00_ </c:formatCode>
                <c:ptCount val="10"/>
                <c:pt idx="0">
                  <c:v>21.063829787234042</c:v>
                </c:pt>
                <c:pt idx="1">
                  <c:v>22.091248452983045</c:v>
                </c:pt>
                <c:pt idx="2">
                  <c:v>23.578568907690343</c:v>
                </c:pt>
                <c:pt idx="3">
                  <c:v>25.90620224715525</c:v>
                </c:pt>
                <c:pt idx="4">
                  <c:v>28.463615306678626</c:v>
                </c:pt>
                <c:pt idx="5">
                  <c:v>31.273491521342347</c:v>
                </c:pt>
                <c:pt idx="6">
                  <c:v>34.360753593588271</c:v>
                </c:pt>
                <c:pt idx="7">
                  <c:v>37.752784549609913</c:v>
                </c:pt>
                <c:pt idx="8">
                  <c:v>40.666343743164724</c:v>
                </c:pt>
                <c:pt idx="9">
                  <c:v>44.680851063829785</c:v>
                </c:pt>
              </c:numCache>
            </c:numRef>
          </c:val>
        </c:ser>
        <c:marker val="1"/>
        <c:axId val="244434048"/>
        <c:axId val="244435584"/>
      </c:lineChart>
      <c:catAx>
        <c:axId val="244434048"/>
        <c:scaling>
          <c:orientation val="minMax"/>
        </c:scaling>
        <c:axPos val="b"/>
        <c:tickLblPos val="nextTo"/>
        <c:crossAx val="244435584"/>
        <c:crosses val="autoZero"/>
        <c:auto val="1"/>
        <c:lblAlgn val="ctr"/>
        <c:lblOffset val="100"/>
      </c:catAx>
      <c:valAx>
        <c:axId val="244435584"/>
        <c:scaling>
          <c:orientation val="minMax"/>
        </c:scaling>
        <c:axPos val="l"/>
        <c:majorGridlines/>
        <c:numFmt formatCode="0.00_ " sourceLinked="1"/>
        <c:tickLblPos val="nextTo"/>
        <c:crossAx val="244434048"/>
        <c:crosses val="autoZero"/>
        <c:crossBetween val="between"/>
      </c:valAx>
    </c:plotArea>
    <c:legend>
      <c:legendPos val="r"/>
      <c:layout/>
    </c:legend>
    <c:plotVisOnly val="1"/>
  </c:chart>
  <c:printSettings>
    <c:headerFooter/>
    <c:pageMargins b="0.75000000000000011" l="0.70000000000000007" r="0.70000000000000007" t="0.75000000000000011" header="0.30000000000000004" footer="0.30000000000000004"/>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zh-CN"/>
  <c:chart>
    <c:plotArea>
      <c:layout/>
      <c:lineChart>
        <c:grouping val="standard"/>
        <c:ser>
          <c:idx val="0"/>
          <c:order val="0"/>
          <c:marker>
            <c:symbol val="none"/>
          </c:marker>
          <c:val>
            <c:numRef>
              <c:f>升级曲线!$F$45:$F$54</c:f>
              <c:numCache>
                <c:formatCode>0.00_ </c:formatCode>
                <c:ptCount val="10"/>
                <c:pt idx="0">
                  <c:v>44.680851063829813</c:v>
                </c:pt>
                <c:pt idx="1">
                  <c:v>47.270342374978014</c:v>
                </c:pt>
                <c:pt idx="2">
                  <c:v>49.392502108237103</c:v>
                </c:pt>
                <c:pt idx="3">
                  <c:v>54.432352586517808</c:v>
                </c:pt>
                <c:pt idx="4">
                  <c:v>59.71984657920499</c:v>
                </c:pt>
                <c:pt idx="5">
                  <c:v>70.201030124798052</c:v>
                </c:pt>
                <c:pt idx="6">
                  <c:v>82.521722892349985</c:v>
                </c:pt>
                <c:pt idx="7">
                  <c:v>97.004769545628989</c:v>
                </c:pt>
                <c:pt idx="8">
                  <c:v>114.02967588153587</c:v>
                </c:pt>
                <c:pt idx="9">
                  <c:v>134.04255319148933</c:v>
                </c:pt>
              </c:numCache>
            </c:numRef>
          </c:val>
        </c:ser>
        <c:marker val="1"/>
        <c:axId val="244860800"/>
        <c:axId val="244862336"/>
      </c:lineChart>
      <c:catAx>
        <c:axId val="244860800"/>
        <c:scaling>
          <c:orientation val="minMax"/>
        </c:scaling>
        <c:axPos val="b"/>
        <c:tickLblPos val="nextTo"/>
        <c:crossAx val="244862336"/>
        <c:crosses val="autoZero"/>
        <c:auto val="1"/>
        <c:lblAlgn val="ctr"/>
        <c:lblOffset val="100"/>
      </c:catAx>
      <c:valAx>
        <c:axId val="244862336"/>
        <c:scaling>
          <c:orientation val="minMax"/>
        </c:scaling>
        <c:axPos val="l"/>
        <c:majorGridlines/>
        <c:numFmt formatCode="0.00_ " sourceLinked="1"/>
        <c:tickLblPos val="nextTo"/>
        <c:crossAx val="244860800"/>
        <c:crosses val="autoZero"/>
        <c:crossBetween val="between"/>
      </c:valAx>
    </c:plotArea>
    <c:legend>
      <c:legendPos val="r"/>
      <c:layout/>
    </c:legend>
    <c:plotVisOnly val="1"/>
  </c:chart>
  <c:printSettings>
    <c:headerFooter/>
    <c:pageMargins b="0.75000000000000011" l="0.70000000000000007" r="0.70000000000000007" t="0.75000000000000011" header="0.30000000000000004" footer="0.30000000000000004"/>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zh-CN"/>
  <c:chart>
    <c:plotArea>
      <c:layout/>
      <c:lineChart>
        <c:grouping val="standard"/>
        <c:ser>
          <c:idx val="0"/>
          <c:order val="0"/>
          <c:marker>
            <c:symbol val="none"/>
          </c:marker>
          <c:val>
            <c:numRef>
              <c:f>升级曲线!$F$55:$F$64</c:f>
              <c:numCache>
                <c:formatCode>0.00_ </c:formatCode>
                <c:ptCount val="10"/>
                <c:pt idx="0">
                  <c:v>181.91489361702119</c:v>
                </c:pt>
                <c:pt idx="1">
                  <c:v>201.38639013406234</c:v>
                </c:pt>
                <c:pt idx="2">
                  <c:v>230.21189277388291</c:v>
                </c:pt>
                <c:pt idx="3">
                  <c:v>263.16334256378235</c:v>
                </c:pt>
                <c:pt idx="4">
                  <c:v>300.83130821293304</c:v>
                </c:pt>
                <c:pt idx="5">
                  <c:v>343.89088966359566</c:v>
                </c:pt>
                <c:pt idx="6">
                  <c:v>405.93274632642175</c:v>
                </c:pt>
                <c:pt idx="7">
                  <c:v>478.68982445205455</c:v>
                </c:pt>
                <c:pt idx="8">
                  <c:v>569.54222845685786</c:v>
                </c:pt>
                <c:pt idx="9">
                  <c:v>663.82978723404256</c:v>
                </c:pt>
              </c:numCache>
            </c:numRef>
          </c:val>
        </c:ser>
        <c:marker val="1"/>
        <c:axId val="244877952"/>
        <c:axId val="244887936"/>
      </c:lineChart>
      <c:catAx>
        <c:axId val="244877952"/>
        <c:scaling>
          <c:orientation val="minMax"/>
        </c:scaling>
        <c:axPos val="b"/>
        <c:tickLblPos val="nextTo"/>
        <c:crossAx val="244887936"/>
        <c:crosses val="autoZero"/>
        <c:auto val="1"/>
        <c:lblAlgn val="ctr"/>
        <c:lblOffset val="100"/>
      </c:catAx>
      <c:valAx>
        <c:axId val="244887936"/>
        <c:scaling>
          <c:orientation val="minMax"/>
        </c:scaling>
        <c:axPos val="l"/>
        <c:majorGridlines/>
        <c:numFmt formatCode="0.00_ " sourceLinked="1"/>
        <c:tickLblPos val="nextTo"/>
        <c:crossAx val="244877952"/>
        <c:crosses val="autoZero"/>
        <c:crossBetween val="between"/>
      </c:valAx>
    </c:plotArea>
    <c:legend>
      <c:legendPos val="r"/>
      <c:layout/>
    </c:legend>
    <c:plotVisOnly val="1"/>
  </c:chart>
  <c:printSettings>
    <c:headerFooter/>
    <c:pageMargins b="0.75000000000000011" l="0.70000000000000007" r="0.70000000000000007" t="0.75000000000000011" header="0.30000000000000004" footer="0.30000000000000004"/>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zh-CN"/>
  <c:chart>
    <c:plotArea>
      <c:layout/>
      <c:lineChart>
        <c:grouping val="standard"/>
        <c:ser>
          <c:idx val="0"/>
          <c:order val="0"/>
          <c:marker>
            <c:symbol val="none"/>
          </c:marker>
          <c:val>
            <c:numRef>
              <c:f>升级曲线!$F$65:$F$74</c:f>
              <c:numCache>
                <c:formatCode>0.00_ </c:formatCode>
                <c:ptCount val="10"/>
                <c:pt idx="0">
                  <c:v>670.21276595744712</c:v>
                </c:pt>
                <c:pt idx="1">
                  <c:v>693.14730760099087</c:v>
                </c:pt>
                <c:pt idx="2">
                  <c:v>737.65579776630682</c:v>
                </c:pt>
                <c:pt idx="3">
                  <c:v>784.69531811999707</c:v>
                </c:pt>
                <c:pt idx="4">
                  <c:v>843.24850036195676</c:v>
                </c:pt>
                <c:pt idx="5">
                  <c:v>925.34855074458267</c:v>
                </c:pt>
                <c:pt idx="6">
                  <c:v>1004.8644752477015</c:v>
                </c:pt>
                <c:pt idx="7">
                  <c:v>1160.5507748845805</c:v>
                </c:pt>
                <c:pt idx="8">
                  <c:v>1308.417707188519</c:v>
                </c:pt>
                <c:pt idx="9">
                  <c:v>1608.5106382978722</c:v>
                </c:pt>
              </c:numCache>
            </c:numRef>
          </c:val>
        </c:ser>
        <c:marker val="1"/>
        <c:axId val="245967872"/>
        <c:axId val="245973760"/>
      </c:lineChart>
      <c:catAx>
        <c:axId val="245967872"/>
        <c:scaling>
          <c:orientation val="minMax"/>
        </c:scaling>
        <c:axPos val="b"/>
        <c:tickLblPos val="nextTo"/>
        <c:crossAx val="245973760"/>
        <c:crosses val="autoZero"/>
        <c:auto val="1"/>
        <c:lblAlgn val="ctr"/>
        <c:lblOffset val="100"/>
      </c:catAx>
      <c:valAx>
        <c:axId val="245973760"/>
        <c:scaling>
          <c:orientation val="minMax"/>
        </c:scaling>
        <c:axPos val="l"/>
        <c:majorGridlines/>
        <c:numFmt formatCode="0.00_ " sourceLinked="1"/>
        <c:tickLblPos val="nextTo"/>
        <c:crossAx val="245967872"/>
        <c:crosses val="autoZero"/>
        <c:crossBetween val="between"/>
      </c:valAx>
    </c:plotArea>
    <c:legend>
      <c:legendPos val="r"/>
      <c:layout/>
    </c:legend>
    <c:plotVisOnly val="1"/>
  </c:chart>
  <c:printSettings>
    <c:headerFooter/>
    <c:pageMargins b="0.75000000000000011" l="0.70000000000000007" r="0.70000000000000007" t="0.75000000000000011" header="0.30000000000000004" footer="0.30000000000000004"/>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zh-CN"/>
  <c:chart>
    <c:title>
      <c:layout/>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plotArea>
      <c:layout/>
      <c:lineChart>
        <c:grouping val="standard"/>
        <c:ser>
          <c:idx val="0"/>
          <c:order val="0"/>
          <c:spPr>
            <a:ln w="28575" cap="rnd">
              <a:solidFill>
                <a:schemeClr val="accent1"/>
              </a:solidFill>
              <a:round/>
            </a:ln>
            <a:effectLst/>
          </c:spPr>
          <c:marker>
            <c:symbol val="none"/>
          </c:marker>
          <c:val>
            <c:numRef>
              <c:f>参考!$N$15:$N$20</c:f>
              <c:numCache>
                <c:formatCode>General</c:formatCode>
                <c:ptCount val="6"/>
                <c:pt idx="0">
                  <c:v>4</c:v>
                </c:pt>
                <c:pt idx="1">
                  <c:v>4</c:v>
                </c:pt>
                <c:pt idx="2">
                  <c:v>3.6764705882352939</c:v>
                </c:pt>
                <c:pt idx="3">
                  <c:v>3.90625</c:v>
                </c:pt>
                <c:pt idx="4">
                  <c:v>4.2682926829268295</c:v>
                </c:pt>
                <c:pt idx="5">
                  <c:v>4.6296296296296298</c:v>
                </c:pt>
              </c:numCache>
            </c:numRef>
          </c:val>
        </c:ser>
        <c:marker val="1"/>
        <c:axId val="247236096"/>
        <c:axId val="247237632"/>
      </c:lineChart>
      <c:catAx>
        <c:axId val="247236096"/>
        <c:scaling>
          <c:orientation val="minMax"/>
        </c:scaling>
        <c:axPos val="b"/>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47237632"/>
        <c:crosses val="autoZero"/>
        <c:auto val="1"/>
        <c:lblAlgn val="ctr"/>
        <c:lblOffset val="100"/>
      </c:catAx>
      <c:valAx>
        <c:axId val="247237632"/>
        <c:scaling>
          <c:orientation val="minMax"/>
        </c:scaling>
        <c:axPos val="l"/>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47236096"/>
        <c:crosses val="autoZero"/>
        <c:crossBetween val="between"/>
      </c:valAx>
      <c:spPr>
        <a:noFill/>
        <a:ln>
          <a:noFill/>
        </a:ln>
        <a:effectLst/>
      </c:spPr>
    </c:plotArea>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000000000000089" l="0.70000000000000062" r="0.70000000000000062" t="0.75000000000000089"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zh-CN"/>
  <c:chart>
    <c:plotArea>
      <c:layout/>
      <c:lineChart>
        <c:grouping val="standard"/>
        <c:ser>
          <c:idx val="0"/>
          <c:order val="0"/>
          <c:marker>
            <c:symbol val="none"/>
          </c:marker>
          <c:val>
            <c:numRef>
              <c:f>参考!$F$72:$F$161</c:f>
              <c:numCache>
                <c:formatCode>General</c:formatCode>
                <c:ptCount val="90"/>
                <c:pt idx="0">
                  <c:v>3.6764705882352942E-2</c:v>
                </c:pt>
                <c:pt idx="1">
                  <c:v>3.6764705882352942E-2</c:v>
                </c:pt>
                <c:pt idx="2">
                  <c:v>3.6764705882352942E-2</c:v>
                </c:pt>
                <c:pt idx="3">
                  <c:v>4.4117647058823532E-2</c:v>
                </c:pt>
                <c:pt idx="4">
                  <c:v>4.4117647058823532E-2</c:v>
                </c:pt>
                <c:pt idx="5">
                  <c:v>4.4117647058823532E-2</c:v>
                </c:pt>
                <c:pt idx="6">
                  <c:v>7.3529411764705885E-2</c:v>
                </c:pt>
                <c:pt idx="7">
                  <c:v>0.11764705882352941</c:v>
                </c:pt>
                <c:pt idx="8">
                  <c:v>0.14705882352941177</c:v>
                </c:pt>
                <c:pt idx="9">
                  <c:v>0.16666666666666666</c:v>
                </c:pt>
                <c:pt idx="10">
                  <c:v>0.13978494623655913</c:v>
                </c:pt>
                <c:pt idx="11">
                  <c:v>0.13978494623655913</c:v>
                </c:pt>
                <c:pt idx="12">
                  <c:v>0.13978494623655913</c:v>
                </c:pt>
                <c:pt idx="13">
                  <c:v>0.13978494623655913</c:v>
                </c:pt>
                <c:pt idx="14">
                  <c:v>0.12149532710280374</c:v>
                </c:pt>
                <c:pt idx="15">
                  <c:v>0.12149532710280374</c:v>
                </c:pt>
                <c:pt idx="16">
                  <c:v>0.12149532710280374</c:v>
                </c:pt>
                <c:pt idx="17">
                  <c:v>0.12149532710280374</c:v>
                </c:pt>
                <c:pt idx="18">
                  <c:v>0.12149532710280374</c:v>
                </c:pt>
                <c:pt idx="19">
                  <c:v>0.11607142857142858</c:v>
                </c:pt>
                <c:pt idx="20">
                  <c:v>0.11607142857142858</c:v>
                </c:pt>
                <c:pt idx="21">
                  <c:v>0.13392857142857142</c:v>
                </c:pt>
                <c:pt idx="22">
                  <c:v>0.14285714285714285</c:v>
                </c:pt>
                <c:pt idx="23">
                  <c:v>0.16071428571428573</c:v>
                </c:pt>
                <c:pt idx="24">
                  <c:v>0.15573770491803279</c:v>
                </c:pt>
                <c:pt idx="25">
                  <c:v>0.16393442622950818</c:v>
                </c:pt>
                <c:pt idx="26">
                  <c:v>0.19672131147540983</c:v>
                </c:pt>
                <c:pt idx="27">
                  <c:v>0.22950819672131148</c:v>
                </c:pt>
                <c:pt idx="28">
                  <c:v>0.24590163934426229</c:v>
                </c:pt>
                <c:pt idx="29">
                  <c:v>0.26515151515151514</c:v>
                </c:pt>
                <c:pt idx="30">
                  <c:v>0.30303030303030304</c:v>
                </c:pt>
                <c:pt idx="31">
                  <c:v>0.34090909090909088</c:v>
                </c:pt>
                <c:pt idx="32">
                  <c:v>0.37878787878787878</c:v>
                </c:pt>
                <c:pt idx="33">
                  <c:v>0.4621212121212121</c:v>
                </c:pt>
                <c:pt idx="34">
                  <c:v>0.54545454545454541</c:v>
                </c:pt>
                <c:pt idx="35">
                  <c:v>0.62878787878787878</c:v>
                </c:pt>
                <c:pt idx="36">
                  <c:v>0.83333333333333337</c:v>
                </c:pt>
                <c:pt idx="37">
                  <c:v>0.90909090909090906</c:v>
                </c:pt>
                <c:pt idx="38">
                  <c:v>0.90909090909090906</c:v>
                </c:pt>
                <c:pt idx="39">
                  <c:v>1.1363636363636365</c:v>
                </c:pt>
                <c:pt idx="40">
                  <c:v>1.1363636363636365</c:v>
                </c:pt>
                <c:pt idx="41">
                  <c:v>1.2878787878787878</c:v>
                </c:pt>
                <c:pt idx="42">
                  <c:v>1.2878787878787878</c:v>
                </c:pt>
                <c:pt idx="43">
                  <c:v>1.2878787878787878</c:v>
                </c:pt>
                <c:pt idx="44">
                  <c:v>1.3636363636363635</c:v>
                </c:pt>
                <c:pt idx="45">
                  <c:v>1.5151515151515151</c:v>
                </c:pt>
                <c:pt idx="46">
                  <c:v>1.5151515151515151</c:v>
                </c:pt>
                <c:pt idx="47">
                  <c:v>1.6666666666666667</c:v>
                </c:pt>
                <c:pt idx="48">
                  <c:v>1.6666666666666667</c:v>
                </c:pt>
                <c:pt idx="49">
                  <c:v>1.7424242424242424</c:v>
                </c:pt>
                <c:pt idx="50">
                  <c:v>1.7424242424242424</c:v>
                </c:pt>
                <c:pt idx="51">
                  <c:v>1.7424242424242424</c:v>
                </c:pt>
                <c:pt idx="52">
                  <c:v>1.893939393939394</c:v>
                </c:pt>
                <c:pt idx="53">
                  <c:v>2.0454545454545454</c:v>
                </c:pt>
                <c:pt idx="54">
                  <c:v>2.0454545454545454</c:v>
                </c:pt>
                <c:pt idx="55">
                  <c:v>2.1212121212121211</c:v>
                </c:pt>
                <c:pt idx="56">
                  <c:v>2.2727272727272729</c:v>
                </c:pt>
                <c:pt idx="57">
                  <c:v>2.4242424242424243</c:v>
                </c:pt>
                <c:pt idx="58">
                  <c:v>2.5</c:v>
                </c:pt>
                <c:pt idx="59">
                  <c:v>2.5</c:v>
                </c:pt>
                <c:pt idx="60">
                  <c:v>2.5</c:v>
                </c:pt>
                <c:pt idx="61">
                  <c:v>2.6515151515151514</c:v>
                </c:pt>
                <c:pt idx="62">
                  <c:v>2.6515151515151514</c:v>
                </c:pt>
                <c:pt idx="63">
                  <c:v>2.8030303030303032</c:v>
                </c:pt>
                <c:pt idx="64">
                  <c:v>2.8787878787878789</c:v>
                </c:pt>
                <c:pt idx="65">
                  <c:v>3.0303030303030303</c:v>
                </c:pt>
                <c:pt idx="66">
                  <c:v>3.1818181818181817</c:v>
                </c:pt>
                <c:pt idx="67">
                  <c:v>3.2575757575757578</c:v>
                </c:pt>
                <c:pt idx="68">
                  <c:v>3.4090909090909092</c:v>
                </c:pt>
                <c:pt idx="69">
                  <c:v>3.5606060606060606</c:v>
                </c:pt>
                <c:pt idx="70">
                  <c:v>3.5606060606060606</c:v>
                </c:pt>
                <c:pt idx="71">
                  <c:v>3.5606060606060606</c:v>
                </c:pt>
                <c:pt idx="72">
                  <c:v>3.5606060606060606</c:v>
                </c:pt>
                <c:pt idx="73">
                  <c:v>3.5606060606060606</c:v>
                </c:pt>
                <c:pt idx="74">
                  <c:v>3.5606060606060606</c:v>
                </c:pt>
                <c:pt idx="75">
                  <c:v>3.5606060606060606</c:v>
                </c:pt>
                <c:pt idx="76">
                  <c:v>3.5606060606060606</c:v>
                </c:pt>
                <c:pt idx="77">
                  <c:v>3.5606060606060606</c:v>
                </c:pt>
                <c:pt idx="78">
                  <c:v>3.6363636363636362</c:v>
                </c:pt>
                <c:pt idx="79">
                  <c:v>4.5454545454545459</c:v>
                </c:pt>
                <c:pt idx="80">
                  <c:v>6.0606060606060606</c:v>
                </c:pt>
                <c:pt idx="81">
                  <c:v>7.5757575757575761</c:v>
                </c:pt>
                <c:pt idx="82">
                  <c:v>9.0909090909090917</c:v>
                </c:pt>
                <c:pt idx="83">
                  <c:v>10.606060606060606</c:v>
                </c:pt>
                <c:pt idx="84">
                  <c:v>12.121212121212121</c:v>
                </c:pt>
                <c:pt idx="85">
                  <c:v>13.636363636363637</c:v>
                </c:pt>
                <c:pt idx="86">
                  <c:v>15.151515151515152</c:v>
                </c:pt>
                <c:pt idx="87">
                  <c:v>16.666666666666668</c:v>
                </c:pt>
                <c:pt idx="88">
                  <c:v>18.181818181818183</c:v>
                </c:pt>
                <c:pt idx="89">
                  <c:v>19.696969696969695</c:v>
                </c:pt>
              </c:numCache>
            </c:numRef>
          </c:val>
        </c:ser>
        <c:marker val="1"/>
        <c:axId val="247145984"/>
        <c:axId val="247147520"/>
      </c:lineChart>
      <c:catAx>
        <c:axId val="247145984"/>
        <c:scaling>
          <c:orientation val="minMax"/>
        </c:scaling>
        <c:axPos val="b"/>
        <c:tickLblPos val="nextTo"/>
        <c:crossAx val="247147520"/>
        <c:crosses val="autoZero"/>
        <c:auto val="1"/>
        <c:lblAlgn val="ctr"/>
        <c:lblOffset val="100"/>
      </c:catAx>
      <c:valAx>
        <c:axId val="247147520"/>
        <c:scaling>
          <c:orientation val="minMax"/>
        </c:scaling>
        <c:axPos val="l"/>
        <c:majorGridlines/>
        <c:numFmt formatCode="General" sourceLinked="1"/>
        <c:tickLblPos val="nextTo"/>
        <c:crossAx val="247145984"/>
        <c:crosses val="autoZero"/>
        <c:crossBetween val="between"/>
      </c:valAx>
    </c:plotArea>
    <c:legend>
      <c:legendPos val="r"/>
      <c:layout/>
    </c:legend>
    <c:plotVisOnly val="1"/>
  </c:chart>
  <c:printSettings>
    <c:headerFooter/>
    <c:pageMargins b="0.75000000000000022" l="0.70000000000000018" r="0.70000000000000018" t="0.75000000000000022" header="0.3000000000000001" footer="0.3000000000000001"/>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12</xdr:col>
      <xdr:colOff>504825</xdr:colOff>
      <xdr:row>59</xdr:row>
      <xdr:rowOff>76200</xdr:rowOff>
    </xdr:from>
    <xdr:to>
      <xdr:col>19</xdr:col>
      <xdr:colOff>276225</xdr:colOff>
      <xdr:row>72</xdr:row>
      <xdr:rowOff>95250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619125</xdr:colOff>
      <xdr:row>0</xdr:row>
      <xdr:rowOff>95250</xdr:rowOff>
    </xdr:from>
    <xdr:to>
      <xdr:col>17</xdr:col>
      <xdr:colOff>609600</xdr:colOff>
      <xdr:row>18</xdr:row>
      <xdr:rowOff>38100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428626</xdr:colOff>
      <xdr:row>24</xdr:row>
      <xdr:rowOff>123826</xdr:rowOff>
    </xdr:from>
    <xdr:to>
      <xdr:col>13</xdr:col>
      <xdr:colOff>241301</xdr:colOff>
      <xdr:row>34</xdr:row>
      <xdr:rowOff>47626</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447675</xdr:colOff>
      <xdr:row>34</xdr:row>
      <xdr:rowOff>131444</xdr:rowOff>
    </xdr:from>
    <xdr:to>
      <xdr:col>13</xdr:col>
      <xdr:colOff>295275</xdr:colOff>
      <xdr:row>44</xdr:row>
      <xdr:rowOff>76199</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447675</xdr:colOff>
      <xdr:row>44</xdr:row>
      <xdr:rowOff>104775</xdr:rowOff>
    </xdr:from>
    <xdr:to>
      <xdr:col>13</xdr:col>
      <xdr:colOff>307975</xdr:colOff>
      <xdr:row>54</xdr:row>
      <xdr:rowOff>57150</xdr:rowOff>
    </xdr:to>
    <xdr:graphicFrame macro="">
      <xdr:nvGraphicFramePr>
        <xdr:cNvPr id="6" name="图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466725</xdr:colOff>
      <xdr:row>54</xdr:row>
      <xdr:rowOff>104775</xdr:rowOff>
    </xdr:from>
    <xdr:to>
      <xdr:col>13</xdr:col>
      <xdr:colOff>295275</xdr:colOff>
      <xdr:row>64</xdr:row>
      <xdr:rowOff>38100</xdr:rowOff>
    </xdr:to>
    <xdr:graphicFrame macro="">
      <xdr:nvGraphicFramePr>
        <xdr:cNvPr id="7" name="图表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476250</xdr:colOff>
      <xdr:row>64</xdr:row>
      <xdr:rowOff>85724</xdr:rowOff>
    </xdr:from>
    <xdr:to>
      <xdr:col>13</xdr:col>
      <xdr:colOff>273050</xdr:colOff>
      <xdr:row>73</xdr:row>
      <xdr:rowOff>209549</xdr:rowOff>
    </xdr:to>
    <xdr:graphicFrame macro="">
      <xdr:nvGraphicFramePr>
        <xdr:cNvPr id="8" name="图表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14</xdr:col>
      <xdr:colOff>47625</xdr:colOff>
      <xdr:row>14</xdr:row>
      <xdr:rowOff>38100</xdr:rowOff>
    </xdr:from>
    <xdr:to>
      <xdr:col>20</xdr:col>
      <xdr:colOff>504825</xdr:colOff>
      <xdr:row>27</xdr:row>
      <xdr:rowOff>57150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171450</xdr:colOff>
      <xdr:row>82</xdr:row>
      <xdr:rowOff>76200</xdr:rowOff>
    </xdr:from>
    <xdr:to>
      <xdr:col>23</xdr:col>
      <xdr:colOff>590550</xdr:colOff>
      <xdr:row>95</xdr:row>
      <xdr:rowOff>95250</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19050</xdr:colOff>
      <xdr:row>189</xdr:row>
      <xdr:rowOff>57150</xdr:rowOff>
    </xdr:from>
    <xdr:to>
      <xdr:col>23</xdr:col>
      <xdr:colOff>438150</xdr:colOff>
      <xdr:row>202</xdr:row>
      <xdr:rowOff>76200</xdr:rowOff>
    </xdr:to>
    <xdr:graphicFrame macro="">
      <xdr:nvGraphicFramePr>
        <xdr:cNvPr id="8" name="图表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N164"/>
  <sheetViews>
    <sheetView tabSelected="1" workbookViewId="0">
      <selection activeCell="I102" sqref="I102"/>
    </sheetView>
  </sheetViews>
  <sheetFormatPr defaultRowHeight="16.5"/>
  <cols>
    <col min="1" max="2" width="9" style="1"/>
    <col min="3" max="3" width="17.75" style="1" customWidth="1"/>
    <col min="4" max="4" width="9.625" style="1" bestFit="1" customWidth="1"/>
    <col min="5" max="5" width="9.875" style="1" bestFit="1" customWidth="1"/>
    <col min="6" max="7" width="10" style="1" bestFit="1" customWidth="1"/>
    <col min="8" max="8" width="9.75" style="1" bestFit="1" customWidth="1"/>
    <col min="9" max="10" width="9.625" style="1" bestFit="1" customWidth="1"/>
    <col min="11" max="16384" width="9" style="1"/>
  </cols>
  <sheetData>
    <row r="1" spans="1:9">
      <c r="A1" s="2" t="s">
        <v>0</v>
      </c>
    </row>
    <row r="3" spans="1:9">
      <c r="B3" s="1" t="s">
        <v>1</v>
      </c>
    </row>
    <row r="4" spans="1:9">
      <c r="C4" s="1" t="s">
        <v>2</v>
      </c>
    </row>
    <row r="6" spans="1:9">
      <c r="C6" s="2"/>
      <c r="D6" s="1" t="s">
        <v>3</v>
      </c>
      <c r="E6" s="1" t="s">
        <v>4</v>
      </c>
    </row>
    <row r="7" spans="1:9">
      <c r="C7" s="2" t="s">
        <v>279</v>
      </c>
      <c r="D7" s="3">
        <v>150</v>
      </c>
      <c r="E7" s="6">
        <f>D7/60</f>
        <v>2.5</v>
      </c>
      <c r="G7" s="1" t="s">
        <v>278</v>
      </c>
      <c r="H7" s="36">
        <f>D11/D7</f>
        <v>0.48</v>
      </c>
      <c r="I7" s="42" t="s">
        <v>281</v>
      </c>
    </row>
    <row r="8" spans="1:9">
      <c r="C8" s="2" t="s">
        <v>272</v>
      </c>
      <c r="D8" s="3">
        <v>360</v>
      </c>
      <c r="E8" s="46">
        <f>D8/60</f>
        <v>6</v>
      </c>
      <c r="H8" s="7"/>
      <c r="I8" s="42" t="s">
        <v>280</v>
      </c>
    </row>
    <row r="9" spans="1:9">
      <c r="C9" s="2"/>
      <c r="D9" s="1" t="s">
        <v>274</v>
      </c>
      <c r="E9" s="7"/>
    </row>
    <row r="10" spans="1:9">
      <c r="C10" s="2" t="s">
        <v>275</v>
      </c>
      <c r="D10" s="3">
        <v>12</v>
      </c>
    </row>
    <row r="11" spans="1:9">
      <c r="C11" s="2" t="s">
        <v>273</v>
      </c>
      <c r="D11" s="6">
        <f>D10*E8</f>
        <v>72</v>
      </c>
    </row>
    <row r="12" spans="1:9">
      <c r="C12" s="2"/>
      <c r="D12" s="7"/>
      <c r="G12" s="2"/>
      <c r="I12" s="7"/>
    </row>
    <row r="13" spans="1:9">
      <c r="C13" s="2" t="s">
        <v>277</v>
      </c>
      <c r="D13" s="45">
        <v>0.7</v>
      </c>
      <c r="G13" s="2"/>
      <c r="I13" s="7"/>
    </row>
    <row r="14" spans="1:9">
      <c r="C14" s="2" t="s">
        <v>276</v>
      </c>
      <c r="D14" s="6">
        <f>H7*60*D13</f>
        <v>20.159999999999997</v>
      </c>
      <c r="E14" s="1" t="s">
        <v>274</v>
      </c>
      <c r="G14" s="2"/>
      <c r="I14" s="7"/>
    </row>
    <row r="15" spans="1:9">
      <c r="C15" s="2"/>
      <c r="D15" s="7"/>
      <c r="G15" s="2"/>
      <c r="I15" s="7"/>
    </row>
    <row r="16" spans="1:9">
      <c r="B16" s="1" t="s">
        <v>126</v>
      </c>
      <c r="C16" s="2"/>
      <c r="D16" s="3"/>
      <c r="I16" s="7"/>
    </row>
    <row r="17" spans="1:5">
      <c r="C17" s="1" t="s">
        <v>219</v>
      </c>
      <c r="D17" s="3"/>
    </row>
    <row r="18" spans="1:5">
      <c r="C18" s="1" t="s">
        <v>127</v>
      </c>
      <c r="D18" s="3"/>
    </row>
    <row r="19" spans="1:5">
      <c r="C19" s="1" t="s">
        <v>128</v>
      </c>
      <c r="D19" s="3"/>
    </row>
    <row r="20" spans="1:5">
      <c r="C20" s="1" t="s">
        <v>129</v>
      </c>
      <c r="D20" s="3"/>
    </row>
    <row r="21" spans="1:5">
      <c r="C21" s="1" t="s">
        <v>130</v>
      </c>
      <c r="D21" s="3"/>
    </row>
    <row r="22" spans="1:5">
      <c r="C22" s="1" t="s">
        <v>131</v>
      </c>
      <c r="D22" s="3"/>
    </row>
    <row r="23" spans="1:5">
      <c r="C23" s="1" t="s">
        <v>132</v>
      </c>
      <c r="D23" s="3"/>
    </row>
    <row r="24" spans="1:5">
      <c r="C24" s="30" t="s">
        <v>133</v>
      </c>
      <c r="D24" s="3"/>
    </row>
    <row r="26" spans="1:5">
      <c r="A26" s="2" t="s">
        <v>5</v>
      </c>
    </row>
    <row r="27" spans="1:5">
      <c r="B27" s="1" t="s">
        <v>8</v>
      </c>
    </row>
    <row r="28" spans="1:5">
      <c r="C28" s="1" t="s">
        <v>11</v>
      </c>
      <c r="D28" s="4">
        <v>2</v>
      </c>
    </row>
    <row r="29" spans="1:5">
      <c r="C29" s="1" t="s">
        <v>12</v>
      </c>
      <c r="D29" s="1">
        <v>1</v>
      </c>
    </row>
    <row r="30" spans="1:5">
      <c r="C30" s="1" t="s">
        <v>60</v>
      </c>
      <c r="D30" s="3">
        <v>20</v>
      </c>
      <c r="E30" s="1" t="s">
        <v>156</v>
      </c>
    </row>
    <row r="31" spans="1:5">
      <c r="C31" s="1" t="s">
        <v>10</v>
      </c>
      <c r="D31" s="3">
        <v>90</v>
      </c>
      <c r="E31" s="1" t="s">
        <v>156</v>
      </c>
    </row>
    <row r="32" spans="1:5">
      <c r="C32" s="1" t="s">
        <v>57</v>
      </c>
      <c r="D32" s="3">
        <v>40</v>
      </c>
      <c r="E32" s="1" t="s">
        <v>156</v>
      </c>
    </row>
    <row r="33" spans="2:7">
      <c r="C33" s="1" t="s">
        <v>9</v>
      </c>
      <c r="D33" s="3">
        <v>90</v>
      </c>
      <c r="E33" s="1" t="s">
        <v>156</v>
      </c>
    </row>
    <row r="34" spans="2:7">
      <c r="C34" s="1" t="s">
        <v>56</v>
      </c>
      <c r="D34" s="6">
        <f>D30*D28+D31*D29</f>
        <v>130</v>
      </c>
      <c r="E34" s="1" t="s">
        <v>156</v>
      </c>
      <c r="F34" s="26">
        <f>D34/60</f>
        <v>2.1666666666666665</v>
      </c>
      <c r="G34" s="1" t="s">
        <v>155</v>
      </c>
    </row>
    <row r="35" spans="2:7">
      <c r="C35" s="1" t="s">
        <v>58</v>
      </c>
      <c r="D35" s="6">
        <f>D32*D28+D33*D29</f>
        <v>170</v>
      </c>
      <c r="E35" s="1" t="s">
        <v>156</v>
      </c>
      <c r="F35" s="26">
        <f>D35/60</f>
        <v>2.8333333333333335</v>
      </c>
      <c r="G35" s="1" t="s">
        <v>155</v>
      </c>
    </row>
    <row r="37" spans="2:7">
      <c r="B37" s="1" t="s">
        <v>6</v>
      </c>
    </row>
    <row r="38" spans="2:7">
      <c r="C38" s="1" t="s">
        <v>11</v>
      </c>
      <c r="D38" s="5">
        <v>3</v>
      </c>
      <c r="E38" s="3"/>
      <c r="F38" s="3"/>
    </row>
    <row r="39" spans="2:7">
      <c r="C39" s="1" t="s">
        <v>12</v>
      </c>
      <c r="D39" s="3">
        <v>1</v>
      </c>
    </row>
    <row r="40" spans="2:7">
      <c r="C40" s="1" t="s">
        <v>163</v>
      </c>
      <c r="D40" s="3">
        <v>50</v>
      </c>
      <c r="E40" s="1" t="s">
        <v>156</v>
      </c>
    </row>
    <row r="41" spans="2:7">
      <c r="C41" s="1" t="s">
        <v>13</v>
      </c>
      <c r="D41" s="3">
        <v>50</v>
      </c>
      <c r="E41" s="1" t="s">
        <v>156</v>
      </c>
    </row>
    <row r="42" spans="2:7">
      <c r="C42" s="1" t="s">
        <v>59</v>
      </c>
      <c r="D42" s="6">
        <f>D40*D38+D41*D39</f>
        <v>200</v>
      </c>
      <c r="E42" s="1" t="s">
        <v>156</v>
      </c>
      <c r="F42" s="6">
        <f>D42/60</f>
        <v>3.3333333333333335</v>
      </c>
      <c r="G42" s="1" t="s">
        <v>155</v>
      </c>
    </row>
    <row r="44" spans="2:7">
      <c r="B44" s="1" t="s">
        <v>64</v>
      </c>
      <c r="D44" s="3">
        <v>75</v>
      </c>
    </row>
    <row r="46" spans="2:7">
      <c r="B46" s="1" t="s">
        <v>61</v>
      </c>
      <c r="D46" s="1">
        <v>0.7</v>
      </c>
    </row>
    <row r="47" spans="2:7">
      <c r="B47" s="1" t="s">
        <v>62</v>
      </c>
      <c r="D47" s="6">
        <f>1-D46</f>
        <v>0.30000000000000004</v>
      </c>
    </row>
    <row r="48" spans="2:7">
      <c r="B48" s="1" t="s">
        <v>63</v>
      </c>
      <c r="C48" s="7"/>
      <c r="D48" s="6">
        <f>D34*D46+D35*D47</f>
        <v>142</v>
      </c>
      <c r="E48" s="1" t="s">
        <v>156</v>
      </c>
      <c r="F48" s="6">
        <f>D48/60</f>
        <v>2.3666666666666667</v>
      </c>
      <c r="G48" s="1" t="s">
        <v>155</v>
      </c>
    </row>
    <row r="49" spans="1:10" s="81" customFormat="1">
      <c r="B49" s="81" t="s">
        <v>447</v>
      </c>
      <c r="C49" s="89"/>
      <c r="D49" s="110">
        <f>D7/F48</f>
        <v>63.380281690140848</v>
      </c>
      <c r="F49" s="110"/>
    </row>
    <row r="51" spans="1:10">
      <c r="A51" s="2" t="s">
        <v>67</v>
      </c>
      <c r="F51" s="2"/>
    </row>
    <row r="52" spans="1:10">
      <c r="B52" s="1" t="s">
        <v>68</v>
      </c>
      <c r="F52" s="2"/>
    </row>
    <row r="53" spans="1:10">
      <c r="B53" s="1" t="s">
        <v>69</v>
      </c>
      <c r="F53" s="2"/>
    </row>
    <row r="54" spans="1:10">
      <c r="B54" s="1" t="s">
        <v>70</v>
      </c>
      <c r="F54" s="2"/>
    </row>
    <row r="55" spans="1:10">
      <c r="B55" s="1" t="s">
        <v>71</v>
      </c>
      <c r="F55" s="2"/>
    </row>
    <row r="56" spans="1:10">
      <c r="B56" s="1" t="s">
        <v>76</v>
      </c>
      <c r="F56" s="2"/>
    </row>
    <row r="57" spans="1:10">
      <c r="B57" s="1" t="s">
        <v>72</v>
      </c>
      <c r="F57" s="2"/>
    </row>
    <row r="58" spans="1:10">
      <c r="B58" s="1" t="s">
        <v>73</v>
      </c>
      <c r="F58" s="2"/>
    </row>
    <row r="59" spans="1:10">
      <c r="B59" s="1" t="s">
        <v>74</v>
      </c>
      <c r="F59" s="2"/>
    </row>
    <row r="60" spans="1:10">
      <c r="B60" s="1" t="s">
        <v>75</v>
      </c>
      <c r="F60" s="2"/>
    </row>
    <row r="62" spans="1:10">
      <c r="B62" s="2" t="s">
        <v>77</v>
      </c>
      <c r="C62" s="8"/>
      <c r="D62" s="1" t="s">
        <v>78</v>
      </c>
      <c r="E62" s="1" t="s">
        <v>84</v>
      </c>
      <c r="F62" s="11" t="s">
        <v>3</v>
      </c>
      <c r="G62" s="1" t="s">
        <v>91</v>
      </c>
      <c r="H62" s="27"/>
      <c r="I62" s="27"/>
      <c r="J62" s="27"/>
    </row>
    <row r="63" spans="1:10">
      <c r="B63" s="2"/>
      <c r="C63" s="2" t="s">
        <v>85</v>
      </c>
      <c r="D63" s="10">
        <v>1</v>
      </c>
      <c r="E63" s="24">
        <f>D63*$E$7</f>
        <v>2.5</v>
      </c>
      <c r="F63" s="24">
        <f>E63*60</f>
        <v>150</v>
      </c>
      <c r="G63" s="6">
        <f t="shared" ref="G63:G72" si="0">ROUNDUP(F63/$F$48,0)</f>
        <v>64</v>
      </c>
      <c r="H63" s="27">
        <f>G63/(E160*D63)</f>
        <v>1.2951497584541063</v>
      </c>
      <c r="I63" s="27"/>
      <c r="J63" s="27"/>
    </row>
    <row r="64" spans="1:10">
      <c r="B64" s="2"/>
      <c r="C64" s="2" t="s">
        <v>86</v>
      </c>
      <c r="D64" s="10">
        <v>2</v>
      </c>
      <c r="E64" s="24">
        <f t="shared" ref="E64:E72" si="1">D64*$E$7</f>
        <v>5</v>
      </c>
      <c r="F64" s="24">
        <f t="shared" ref="F64:F72" si="2">E64*60</f>
        <v>300</v>
      </c>
      <c r="G64" s="6">
        <f t="shared" si="0"/>
        <v>127</v>
      </c>
      <c r="H64" s="27">
        <f>G64/(E161*D64)</f>
        <v>6.2618055555555552</v>
      </c>
      <c r="I64" s="27"/>
      <c r="J64" s="27"/>
    </row>
    <row r="65" spans="2:14">
      <c r="B65" s="2"/>
      <c r="C65" s="2" t="s">
        <v>80</v>
      </c>
      <c r="D65" s="3">
        <v>5</v>
      </c>
      <c r="E65" s="24">
        <f t="shared" si="1"/>
        <v>12.5</v>
      </c>
      <c r="F65" s="24">
        <f t="shared" si="2"/>
        <v>750</v>
      </c>
      <c r="G65" s="6">
        <f t="shared" si="0"/>
        <v>317</v>
      </c>
      <c r="H65" s="27">
        <f>G65/(E162*D65)</f>
        <v>26.008088888888889</v>
      </c>
      <c r="I65" s="27"/>
      <c r="J65" s="27"/>
    </row>
    <row r="66" spans="2:14">
      <c r="B66" s="2"/>
      <c r="C66" s="2" t="s">
        <v>81</v>
      </c>
      <c r="D66" s="10">
        <v>25</v>
      </c>
      <c r="E66" s="24">
        <f t="shared" si="1"/>
        <v>62.5</v>
      </c>
      <c r="F66" s="24">
        <f t="shared" si="2"/>
        <v>3750</v>
      </c>
      <c r="G66" s="6">
        <f t="shared" si="0"/>
        <v>1585</v>
      </c>
      <c r="H66" s="27">
        <f>G66/(E163*D66)</f>
        <v>199.06191111111113</v>
      </c>
      <c r="I66" s="27"/>
      <c r="J66" s="27"/>
    </row>
    <row r="67" spans="2:14">
      <c r="B67" s="2"/>
      <c r="C67" s="2" t="s">
        <v>82</v>
      </c>
      <c r="D67" s="10">
        <v>75</v>
      </c>
      <c r="E67" s="24">
        <f t="shared" si="1"/>
        <v>187.5</v>
      </c>
      <c r="F67" s="24">
        <f t="shared" si="2"/>
        <v>11250</v>
      </c>
      <c r="G67" s="6">
        <f t="shared" si="0"/>
        <v>4754</v>
      </c>
      <c r="H67" s="27">
        <f>G67/(E164*D67)</f>
        <v>1371.1381155555557</v>
      </c>
      <c r="I67" s="27"/>
      <c r="J67" s="27"/>
    </row>
    <row r="68" spans="2:14">
      <c r="B68" s="2"/>
      <c r="C68" s="2" t="s">
        <v>87</v>
      </c>
      <c r="D68" s="10">
        <v>135</v>
      </c>
      <c r="E68" s="24">
        <f t="shared" si="1"/>
        <v>337.5</v>
      </c>
      <c r="F68" s="24">
        <f t="shared" si="2"/>
        <v>20250</v>
      </c>
      <c r="G68" s="6">
        <f t="shared" si="0"/>
        <v>8557</v>
      </c>
      <c r="H68" s="27"/>
      <c r="I68" s="27"/>
      <c r="J68" s="27"/>
    </row>
    <row r="69" spans="2:14">
      <c r="B69" s="2"/>
      <c r="C69" s="2" t="s">
        <v>88</v>
      </c>
      <c r="D69" s="10">
        <v>205</v>
      </c>
      <c r="E69" s="24">
        <f t="shared" si="1"/>
        <v>512.5</v>
      </c>
      <c r="F69" s="24">
        <f t="shared" si="2"/>
        <v>30750</v>
      </c>
      <c r="G69" s="6">
        <f t="shared" si="0"/>
        <v>12993</v>
      </c>
      <c r="H69" s="27"/>
      <c r="I69" s="27"/>
      <c r="J69" s="27"/>
    </row>
    <row r="70" spans="2:14">
      <c r="B70" s="2"/>
      <c r="C70" s="2" t="s">
        <v>89</v>
      </c>
      <c r="D70" s="10">
        <v>325</v>
      </c>
      <c r="E70" s="24">
        <f t="shared" si="1"/>
        <v>812.5</v>
      </c>
      <c r="F70" s="24">
        <f t="shared" si="2"/>
        <v>48750</v>
      </c>
      <c r="G70" s="6">
        <f t="shared" si="0"/>
        <v>20599</v>
      </c>
      <c r="H70" s="27"/>
      <c r="I70" s="27"/>
      <c r="J70" s="27"/>
    </row>
    <row r="71" spans="2:14">
      <c r="B71" s="2"/>
      <c r="C71" s="2" t="s">
        <v>90</v>
      </c>
      <c r="D71" s="10">
        <v>455</v>
      </c>
      <c r="E71" s="24">
        <f t="shared" si="1"/>
        <v>1137.5</v>
      </c>
      <c r="F71" s="24">
        <f t="shared" si="2"/>
        <v>68250</v>
      </c>
      <c r="G71" s="6">
        <f t="shared" si="0"/>
        <v>28839</v>
      </c>
      <c r="H71" s="27"/>
      <c r="I71" s="27"/>
      <c r="J71" s="27"/>
    </row>
    <row r="72" spans="2:14">
      <c r="B72" s="2"/>
      <c r="C72" s="82" t="s">
        <v>393</v>
      </c>
      <c r="D72" s="10">
        <v>600</v>
      </c>
      <c r="E72" s="24">
        <f t="shared" si="1"/>
        <v>1500</v>
      </c>
      <c r="F72" s="24">
        <f t="shared" si="2"/>
        <v>90000</v>
      </c>
      <c r="G72" s="6">
        <f t="shared" si="0"/>
        <v>38029</v>
      </c>
      <c r="H72" s="27"/>
      <c r="J72" s="27"/>
    </row>
    <row r="73" spans="2:14">
      <c r="B73" s="2"/>
      <c r="C73" s="9" t="s">
        <v>83</v>
      </c>
      <c r="D73" s="6">
        <f>SUM(D63:D72)</f>
        <v>1828</v>
      </c>
      <c r="E73" s="6">
        <f t="shared" ref="E73" si="3">D73*$E$7</f>
        <v>4570</v>
      </c>
      <c r="F73" s="6">
        <f t="shared" ref="F73" si="4">E73*60</f>
        <v>274200</v>
      </c>
      <c r="G73" s="10"/>
      <c r="H73" s="2" t="s">
        <v>169</v>
      </c>
      <c r="I73" s="6">
        <f>F73*H7</f>
        <v>131616</v>
      </c>
      <c r="J73" s="54" t="s">
        <v>379</v>
      </c>
    </row>
    <row r="75" spans="2:14">
      <c r="B75" s="2" t="s">
        <v>153</v>
      </c>
      <c r="C75" s="7">
        <f>2/3</f>
        <v>0.66666666666666663</v>
      </c>
    </row>
    <row r="76" spans="2:14">
      <c r="B76" s="2" t="s">
        <v>77</v>
      </c>
      <c r="C76" s="8"/>
      <c r="D76" s="1" t="s">
        <v>78</v>
      </c>
      <c r="E76" s="1" t="s">
        <v>84</v>
      </c>
      <c r="F76" s="11" t="s">
        <v>3</v>
      </c>
      <c r="G76" s="1" t="s">
        <v>91</v>
      </c>
      <c r="H76" s="7" t="s">
        <v>143</v>
      </c>
      <c r="I76" s="27"/>
      <c r="J76" s="27"/>
      <c r="M76" s="7" t="s">
        <v>134</v>
      </c>
    </row>
    <row r="77" spans="2:14">
      <c r="B77" s="2"/>
      <c r="C77" s="2" t="s">
        <v>85</v>
      </c>
      <c r="D77" s="25">
        <f>D63*($C$75+(1-$C$75)*H77)</f>
        <v>1</v>
      </c>
      <c r="E77" s="24">
        <f>D77*$E$7</f>
        <v>2.5</v>
      </c>
      <c r="F77" s="24">
        <f>E77*60</f>
        <v>150</v>
      </c>
      <c r="G77" s="6">
        <f t="shared" ref="G77:G86" si="5">ROUNDUP(F77/$F$48,0)</f>
        <v>64</v>
      </c>
      <c r="H77" s="7">
        <v>1</v>
      </c>
      <c r="I77" s="7"/>
      <c r="J77" s="7"/>
      <c r="N77" s="1" t="s">
        <v>142</v>
      </c>
    </row>
    <row r="78" spans="2:14">
      <c r="B78" s="2"/>
      <c r="C78" s="2" t="s">
        <v>86</v>
      </c>
      <c r="D78" s="25">
        <f t="shared" ref="D78:D87" si="6">D64*($C$75+(1-$C$75)*H78)</f>
        <v>2</v>
      </c>
      <c r="E78" s="24">
        <f t="shared" ref="E78:E87" si="7">D78*$E$7</f>
        <v>5</v>
      </c>
      <c r="F78" s="24">
        <f t="shared" ref="F78:F87" si="8">E78*60</f>
        <v>300</v>
      </c>
      <c r="G78" s="6">
        <f t="shared" si="5"/>
        <v>127</v>
      </c>
      <c r="H78" s="7">
        <v>1</v>
      </c>
      <c r="I78" s="7"/>
      <c r="J78" s="7"/>
      <c r="N78" s="1" t="s">
        <v>140</v>
      </c>
    </row>
    <row r="79" spans="2:14">
      <c r="B79" s="2"/>
      <c r="C79" s="2" t="s">
        <v>80</v>
      </c>
      <c r="D79" s="25">
        <f t="shared" si="6"/>
        <v>3.333333333333333</v>
      </c>
      <c r="E79" s="24">
        <f t="shared" si="7"/>
        <v>8.3333333333333321</v>
      </c>
      <c r="F79" s="24">
        <f t="shared" si="8"/>
        <v>499.99999999999994</v>
      </c>
      <c r="G79" s="6">
        <f t="shared" si="5"/>
        <v>212</v>
      </c>
      <c r="H79" s="7">
        <v>0</v>
      </c>
      <c r="I79" s="7"/>
      <c r="J79" s="7"/>
      <c r="N79" s="1" t="s">
        <v>141</v>
      </c>
    </row>
    <row r="80" spans="2:14">
      <c r="B80" s="2"/>
      <c r="C80" s="2" t="s">
        <v>81</v>
      </c>
      <c r="D80" s="25">
        <f t="shared" si="6"/>
        <v>16.666666666666664</v>
      </c>
      <c r="E80" s="24">
        <f t="shared" si="7"/>
        <v>41.666666666666657</v>
      </c>
      <c r="F80" s="24">
        <f t="shared" si="8"/>
        <v>2499.9999999999995</v>
      </c>
      <c r="G80" s="6">
        <f t="shared" si="5"/>
        <v>1057</v>
      </c>
      <c r="H80" s="7">
        <v>0</v>
      </c>
      <c r="I80" s="7"/>
      <c r="J80" s="7"/>
      <c r="M80" s="1" t="s">
        <v>135</v>
      </c>
    </row>
    <row r="81" spans="2:14">
      <c r="B81" s="2"/>
      <c r="C81" s="2" t="s">
        <v>82</v>
      </c>
      <c r="D81" s="25">
        <f t="shared" si="6"/>
        <v>50</v>
      </c>
      <c r="E81" s="24">
        <f t="shared" si="7"/>
        <v>125</v>
      </c>
      <c r="F81" s="24">
        <f t="shared" si="8"/>
        <v>7500</v>
      </c>
      <c r="G81" s="6">
        <f t="shared" si="5"/>
        <v>3170</v>
      </c>
      <c r="H81" s="7">
        <v>0</v>
      </c>
      <c r="I81" s="7"/>
      <c r="N81" s="1" t="s">
        <v>136</v>
      </c>
    </row>
    <row r="82" spans="2:14">
      <c r="B82" s="2"/>
      <c r="C82" s="2" t="s">
        <v>87</v>
      </c>
      <c r="D82" s="25">
        <f t="shared" si="6"/>
        <v>90</v>
      </c>
      <c r="E82" s="24">
        <f t="shared" si="7"/>
        <v>225</v>
      </c>
      <c r="F82" s="24">
        <f t="shared" si="8"/>
        <v>13500</v>
      </c>
      <c r="G82" s="6">
        <f t="shared" si="5"/>
        <v>5705</v>
      </c>
      <c r="H82" s="7">
        <v>0</v>
      </c>
      <c r="I82" s="7"/>
      <c r="J82" s="7"/>
    </row>
    <row r="83" spans="2:14">
      <c r="B83" s="2"/>
      <c r="C83" s="2" t="s">
        <v>88</v>
      </c>
      <c r="D83" s="25">
        <f t="shared" si="6"/>
        <v>136.66666666666666</v>
      </c>
      <c r="E83" s="24">
        <f t="shared" si="7"/>
        <v>341.66666666666663</v>
      </c>
      <c r="F83" s="24">
        <f t="shared" si="8"/>
        <v>20499.999999999996</v>
      </c>
      <c r="G83" s="6">
        <f t="shared" si="5"/>
        <v>8662</v>
      </c>
      <c r="H83" s="7">
        <v>0</v>
      </c>
      <c r="I83" s="7"/>
      <c r="J83" s="7"/>
    </row>
    <row r="84" spans="2:14">
      <c r="B84" s="2"/>
      <c r="C84" s="2" t="s">
        <v>89</v>
      </c>
      <c r="D84" s="25">
        <f t="shared" si="6"/>
        <v>216.66666666666666</v>
      </c>
      <c r="E84" s="24">
        <f t="shared" si="7"/>
        <v>541.66666666666663</v>
      </c>
      <c r="F84" s="24">
        <f t="shared" si="8"/>
        <v>32499.999999999996</v>
      </c>
      <c r="G84" s="6">
        <f t="shared" si="5"/>
        <v>13733</v>
      </c>
      <c r="H84" s="7">
        <v>0</v>
      </c>
      <c r="I84" s="7"/>
      <c r="J84" s="7"/>
    </row>
    <row r="85" spans="2:14">
      <c r="B85" s="2"/>
      <c r="C85" s="2" t="s">
        <v>90</v>
      </c>
      <c r="D85" s="25">
        <f t="shared" si="6"/>
        <v>303.33333333333331</v>
      </c>
      <c r="E85" s="24">
        <f t="shared" si="7"/>
        <v>758.33333333333326</v>
      </c>
      <c r="F85" s="24">
        <f t="shared" si="8"/>
        <v>45499.999999999993</v>
      </c>
      <c r="G85" s="6">
        <f t="shared" si="5"/>
        <v>19226</v>
      </c>
      <c r="H85" s="7">
        <v>0</v>
      </c>
      <c r="I85" s="7"/>
      <c r="J85" s="7"/>
    </row>
    <row r="86" spans="2:14">
      <c r="B86" s="2"/>
      <c r="C86" s="82" t="s">
        <v>393</v>
      </c>
      <c r="D86" s="25">
        <f t="shared" si="6"/>
        <v>400</v>
      </c>
      <c r="E86" s="24">
        <f t="shared" si="7"/>
        <v>1000</v>
      </c>
      <c r="F86" s="24">
        <f t="shared" si="8"/>
        <v>60000</v>
      </c>
      <c r="G86" s="6">
        <f t="shared" si="5"/>
        <v>25353</v>
      </c>
      <c r="H86" s="7">
        <v>0</v>
      </c>
      <c r="I86" s="7"/>
      <c r="J86" s="7"/>
    </row>
    <row r="87" spans="2:14">
      <c r="B87" s="2"/>
      <c r="C87" s="9" t="s">
        <v>83</v>
      </c>
      <c r="D87" s="25">
        <f t="shared" si="6"/>
        <v>1218.6666666666665</v>
      </c>
      <c r="E87" s="6">
        <f t="shared" si="7"/>
        <v>3046.6666666666661</v>
      </c>
      <c r="F87" s="6">
        <f t="shared" si="8"/>
        <v>182799.99999999997</v>
      </c>
      <c r="G87" s="10"/>
      <c r="H87" s="7">
        <v>0</v>
      </c>
    </row>
    <row r="88" spans="2:14" s="7" customFormat="1">
      <c r="B88" s="28"/>
      <c r="C88" s="29"/>
      <c r="G88" s="10"/>
    </row>
    <row r="89" spans="2:14" s="7" customFormat="1">
      <c r="B89" s="2" t="s">
        <v>144</v>
      </c>
      <c r="D89" s="6">
        <f>D102/D73</f>
        <v>0.45559810357403352</v>
      </c>
      <c r="F89" s="28" t="s">
        <v>158</v>
      </c>
      <c r="G89" s="1">
        <v>27780</v>
      </c>
      <c r="M89" s="7" t="s">
        <v>139</v>
      </c>
    </row>
    <row r="90" spans="2:14" s="7" customFormat="1">
      <c r="B90" s="2"/>
      <c r="D90" s="2" t="s">
        <v>154</v>
      </c>
      <c r="E90" s="17">
        <f>1/D89</f>
        <v>2.1949169501701022</v>
      </c>
      <c r="F90" s="28" t="s">
        <v>157</v>
      </c>
      <c r="G90" s="6">
        <f>G89/(D102/30)</f>
        <v>1000.680408244947</v>
      </c>
    </row>
    <row r="91" spans="2:14" s="7" customFormat="1">
      <c r="B91" s="2" t="s">
        <v>77</v>
      </c>
      <c r="C91" s="8"/>
      <c r="D91" s="1" t="s">
        <v>78</v>
      </c>
      <c r="E91" s="1" t="s">
        <v>84</v>
      </c>
      <c r="F91" s="11" t="s">
        <v>3</v>
      </c>
      <c r="G91" s="1" t="s">
        <v>91</v>
      </c>
      <c r="H91" s="7" t="s">
        <v>164</v>
      </c>
      <c r="N91" s="7" t="s">
        <v>137</v>
      </c>
    </row>
    <row r="92" spans="2:14" s="7" customFormat="1">
      <c r="B92" s="2"/>
      <c r="C92" s="31" t="s">
        <v>85</v>
      </c>
      <c r="D92" s="25">
        <f t="shared" ref="D92:D101" si="9">D63*($D$89+(1-$D$89)*H92)</f>
        <v>1</v>
      </c>
      <c r="E92" s="24">
        <f>D92*$E$7</f>
        <v>2.5</v>
      </c>
      <c r="F92" s="24">
        <f>E92*60</f>
        <v>150</v>
      </c>
      <c r="G92" s="6">
        <f t="shared" ref="G92:G101" si="10">ROUNDUP(F92/$F$48,0)</f>
        <v>64</v>
      </c>
      <c r="H92" s="7">
        <v>1</v>
      </c>
      <c r="N92" s="7" t="s">
        <v>138</v>
      </c>
    </row>
    <row r="93" spans="2:14" s="7" customFormat="1">
      <c r="B93" s="2"/>
      <c r="C93" s="31" t="s">
        <v>86</v>
      </c>
      <c r="D93" s="25">
        <f t="shared" si="9"/>
        <v>2</v>
      </c>
      <c r="E93" s="24">
        <f t="shared" ref="E93:E101" si="11">D93*$E$7</f>
        <v>5</v>
      </c>
      <c r="F93" s="24">
        <f t="shared" ref="F93:F101" si="12">E93*60</f>
        <v>300</v>
      </c>
      <c r="G93" s="6">
        <f t="shared" si="10"/>
        <v>127</v>
      </c>
      <c r="H93" s="7">
        <v>1</v>
      </c>
    </row>
    <row r="94" spans="2:14" s="7" customFormat="1">
      <c r="B94" s="2"/>
      <c r="C94" s="2" t="s">
        <v>80</v>
      </c>
      <c r="D94" s="25">
        <f t="shared" si="9"/>
        <v>2.2779905178701676</v>
      </c>
      <c r="E94" s="24">
        <f t="shared" si="11"/>
        <v>5.6949762946754188</v>
      </c>
      <c r="F94" s="24">
        <f t="shared" si="12"/>
        <v>341.69857768052515</v>
      </c>
      <c r="G94" s="6">
        <f t="shared" si="10"/>
        <v>145</v>
      </c>
      <c r="H94" s="7">
        <v>0</v>
      </c>
      <c r="M94" s="7" t="s">
        <v>165</v>
      </c>
    </row>
    <row r="95" spans="2:14" s="7" customFormat="1">
      <c r="B95" s="2"/>
      <c r="C95" s="2" t="s">
        <v>81</v>
      </c>
      <c r="D95" s="25">
        <f t="shared" si="9"/>
        <v>11.389952589350838</v>
      </c>
      <c r="E95" s="24">
        <f t="shared" si="11"/>
        <v>28.474881473377096</v>
      </c>
      <c r="F95" s="24">
        <f t="shared" si="12"/>
        <v>1708.4928884026258</v>
      </c>
      <c r="G95" s="6">
        <f t="shared" si="10"/>
        <v>722</v>
      </c>
      <c r="H95" s="7">
        <v>0</v>
      </c>
    </row>
    <row r="96" spans="2:14" s="7" customFormat="1">
      <c r="B96" s="2"/>
      <c r="C96" s="2" t="s">
        <v>82</v>
      </c>
      <c r="D96" s="25">
        <f t="shared" si="9"/>
        <v>34.169857768052516</v>
      </c>
      <c r="E96" s="24">
        <f t="shared" si="11"/>
        <v>85.424644420131287</v>
      </c>
      <c r="F96" s="24">
        <f t="shared" si="12"/>
        <v>5125.4786652078774</v>
      </c>
      <c r="G96" s="6">
        <f t="shared" si="10"/>
        <v>2166</v>
      </c>
      <c r="H96" s="7">
        <v>0</v>
      </c>
    </row>
    <row r="97" spans="2:14" s="7" customFormat="1">
      <c r="B97" s="2"/>
      <c r="C97" s="2" t="s">
        <v>87</v>
      </c>
      <c r="D97" s="25">
        <f t="shared" si="9"/>
        <v>61.505743982494522</v>
      </c>
      <c r="E97" s="24">
        <f t="shared" si="11"/>
        <v>153.76435995623632</v>
      </c>
      <c r="F97" s="24">
        <f t="shared" si="12"/>
        <v>9225.8615973741798</v>
      </c>
      <c r="G97" s="6">
        <f t="shared" si="10"/>
        <v>3899</v>
      </c>
      <c r="H97" s="7">
        <v>0</v>
      </c>
      <c r="M97" s="7" t="s">
        <v>166</v>
      </c>
    </row>
    <row r="98" spans="2:14" s="7" customFormat="1">
      <c r="B98" s="2"/>
      <c r="C98" s="2" t="s">
        <v>88</v>
      </c>
      <c r="D98" s="25">
        <f t="shared" si="9"/>
        <v>93.397611232676866</v>
      </c>
      <c r="E98" s="24">
        <f t="shared" si="11"/>
        <v>233.49402808169216</v>
      </c>
      <c r="F98" s="24">
        <f t="shared" si="12"/>
        <v>14009.64168490153</v>
      </c>
      <c r="G98" s="6">
        <f t="shared" si="10"/>
        <v>5920</v>
      </c>
      <c r="H98" s="7">
        <v>0</v>
      </c>
      <c r="N98" s="7" t="s">
        <v>167</v>
      </c>
    </row>
    <row r="99" spans="2:14" s="7" customFormat="1">
      <c r="B99" s="2"/>
      <c r="C99" s="2" t="s">
        <v>89</v>
      </c>
      <c r="D99" s="25">
        <f t="shared" si="9"/>
        <v>148.06938366156089</v>
      </c>
      <c r="E99" s="24">
        <f t="shared" si="11"/>
        <v>370.17345915390223</v>
      </c>
      <c r="F99" s="24">
        <f t="shared" si="12"/>
        <v>22210.407549234133</v>
      </c>
      <c r="G99" s="6">
        <f t="shared" si="10"/>
        <v>9385</v>
      </c>
      <c r="H99" s="7">
        <v>0</v>
      </c>
      <c r="N99" s="7" t="s">
        <v>168</v>
      </c>
    </row>
    <row r="100" spans="2:14" s="7" customFormat="1">
      <c r="B100" s="2"/>
      <c r="C100" s="2" t="s">
        <v>90</v>
      </c>
      <c r="D100" s="25">
        <f t="shared" si="9"/>
        <v>207.29713712618525</v>
      </c>
      <c r="E100" s="24">
        <f t="shared" si="11"/>
        <v>518.24284281546306</v>
      </c>
      <c r="F100" s="24">
        <f t="shared" si="12"/>
        <v>31094.570568927782</v>
      </c>
      <c r="G100" s="6">
        <f t="shared" si="10"/>
        <v>13139</v>
      </c>
      <c r="H100" s="7">
        <v>0</v>
      </c>
    </row>
    <row r="101" spans="2:14" s="7" customFormat="1">
      <c r="B101" s="2"/>
      <c r="C101" s="82" t="s">
        <v>393</v>
      </c>
      <c r="D101" s="25">
        <f t="shared" si="9"/>
        <v>273.35886214442013</v>
      </c>
      <c r="E101" s="24">
        <f t="shared" si="11"/>
        <v>683.3971553610503</v>
      </c>
      <c r="F101" s="24">
        <f t="shared" si="12"/>
        <v>41003.829321663019</v>
      </c>
      <c r="G101" s="6">
        <f t="shared" si="10"/>
        <v>17326</v>
      </c>
      <c r="H101" s="7">
        <v>0</v>
      </c>
      <c r="N101" s="7" t="s">
        <v>152</v>
      </c>
    </row>
    <row r="102" spans="2:14" s="7" customFormat="1">
      <c r="B102" s="2"/>
      <c r="C102" s="9" t="s">
        <v>83</v>
      </c>
      <c r="D102" s="6">
        <f>E102/E7</f>
        <v>832.83333333333326</v>
      </c>
      <c r="E102" s="6">
        <f>F102/60</f>
        <v>2082.083333333333</v>
      </c>
      <c r="F102" s="6">
        <f>F87-G89/H7</f>
        <v>124924.99999999997</v>
      </c>
      <c r="G102" s="10"/>
      <c r="H102" s="7">
        <v>0</v>
      </c>
      <c r="N102" s="7" t="s">
        <v>151</v>
      </c>
    </row>
    <row r="103" spans="2:14" s="7" customFormat="1">
      <c r="B103" s="28"/>
      <c r="C103" s="29"/>
      <c r="G103" s="10"/>
    </row>
    <row r="104" spans="2:14" s="7" customFormat="1">
      <c r="B104" s="2" t="s">
        <v>125</v>
      </c>
      <c r="D104" s="6">
        <f>D117/D73</f>
        <v>0.34611293459761711</v>
      </c>
      <c r="E104" s="1"/>
      <c r="F104" s="28" t="s">
        <v>158</v>
      </c>
      <c r="G104" s="1">
        <v>42190</v>
      </c>
    </row>
    <row r="105" spans="2:14" s="7" customFormat="1">
      <c r="B105" s="2"/>
      <c r="D105" s="2" t="s">
        <v>154</v>
      </c>
      <c r="E105" s="17">
        <f>1/D104</f>
        <v>2.8892303639636494</v>
      </c>
      <c r="F105" s="28" t="s">
        <v>157</v>
      </c>
      <c r="G105" s="6">
        <f>G104/(D117/30)</f>
        <v>2000.4917241076535</v>
      </c>
    </row>
    <row r="106" spans="2:14" s="7" customFormat="1">
      <c r="B106" s="2" t="s">
        <v>77</v>
      </c>
      <c r="C106" s="8"/>
      <c r="D106" s="1" t="s">
        <v>78</v>
      </c>
      <c r="E106" s="1" t="s">
        <v>84</v>
      </c>
      <c r="F106" s="11" t="s">
        <v>3</v>
      </c>
      <c r="G106" s="1" t="s">
        <v>91</v>
      </c>
      <c r="H106" s="7" t="s">
        <v>143</v>
      </c>
    </row>
    <row r="107" spans="2:14" s="7" customFormat="1">
      <c r="B107" s="2"/>
      <c r="C107" s="2" t="s">
        <v>85</v>
      </c>
      <c r="D107" s="25">
        <f t="shared" ref="D107:D116" si="13">D63*($D$104+(1-$D$104)*H107)</f>
        <v>1</v>
      </c>
      <c r="E107" s="24">
        <f>D107*$E$7</f>
        <v>2.5</v>
      </c>
      <c r="F107" s="24">
        <f>E107*60</f>
        <v>150</v>
      </c>
      <c r="G107" s="6">
        <f t="shared" ref="G107:G116" si="14">ROUNDUP(F107/$F$48,0)</f>
        <v>64</v>
      </c>
      <c r="H107" s="7">
        <v>1</v>
      </c>
    </row>
    <row r="108" spans="2:14" s="7" customFormat="1">
      <c r="B108" s="2"/>
      <c r="C108" s="2" t="s">
        <v>86</v>
      </c>
      <c r="D108" s="25">
        <f t="shared" si="13"/>
        <v>2</v>
      </c>
      <c r="E108" s="24">
        <f t="shared" ref="E108:E116" si="15">D108*$E$7</f>
        <v>5</v>
      </c>
      <c r="F108" s="24">
        <f t="shared" ref="F108:F116" si="16">E108*60</f>
        <v>300</v>
      </c>
      <c r="G108" s="6">
        <f t="shared" si="14"/>
        <v>127</v>
      </c>
      <c r="H108" s="7">
        <v>1</v>
      </c>
    </row>
    <row r="109" spans="2:14" s="7" customFormat="1">
      <c r="B109" s="2"/>
      <c r="C109" s="2" t="s">
        <v>80</v>
      </c>
      <c r="D109" s="25">
        <f t="shared" si="13"/>
        <v>1.7305646729880855</v>
      </c>
      <c r="E109" s="24">
        <f t="shared" si="15"/>
        <v>4.3264116824702139</v>
      </c>
      <c r="F109" s="24">
        <f t="shared" si="16"/>
        <v>259.58470094821286</v>
      </c>
      <c r="G109" s="6">
        <f t="shared" si="14"/>
        <v>110</v>
      </c>
      <c r="H109" s="7">
        <v>0</v>
      </c>
    </row>
    <row r="110" spans="2:14" s="7" customFormat="1">
      <c r="B110" s="2"/>
      <c r="C110" s="2" t="s">
        <v>81</v>
      </c>
      <c r="D110" s="25">
        <f t="shared" si="13"/>
        <v>8.6528233649404278</v>
      </c>
      <c r="E110" s="24">
        <f t="shared" si="15"/>
        <v>21.632058412351071</v>
      </c>
      <c r="F110" s="24">
        <f t="shared" si="16"/>
        <v>1297.9235047410643</v>
      </c>
      <c r="G110" s="6">
        <f t="shared" si="14"/>
        <v>549</v>
      </c>
      <c r="H110" s="7">
        <v>0</v>
      </c>
    </row>
    <row r="111" spans="2:14" s="7" customFormat="1">
      <c r="B111" s="2"/>
      <c r="C111" s="2" t="s">
        <v>82</v>
      </c>
      <c r="D111" s="25">
        <f t="shared" si="13"/>
        <v>25.958470094821283</v>
      </c>
      <c r="E111" s="24">
        <f t="shared" si="15"/>
        <v>64.896175237053214</v>
      </c>
      <c r="F111" s="24">
        <f t="shared" si="16"/>
        <v>3893.770514223193</v>
      </c>
      <c r="G111" s="6">
        <f t="shared" si="14"/>
        <v>1646</v>
      </c>
      <c r="H111" s="7">
        <v>0</v>
      </c>
    </row>
    <row r="112" spans="2:14" s="7" customFormat="1">
      <c r="B112" s="2"/>
      <c r="C112" s="2" t="s">
        <v>87</v>
      </c>
      <c r="D112" s="25">
        <f t="shared" si="13"/>
        <v>46.725246170678311</v>
      </c>
      <c r="E112" s="24">
        <f t="shared" si="15"/>
        <v>116.81311542669577</v>
      </c>
      <c r="F112" s="24">
        <f t="shared" si="16"/>
        <v>7008.7869256017466</v>
      </c>
      <c r="G112" s="6">
        <f t="shared" si="14"/>
        <v>2962</v>
      </c>
      <c r="H112" s="7">
        <v>0</v>
      </c>
    </row>
    <row r="113" spans="2:11" s="7" customFormat="1">
      <c r="B113" s="2"/>
      <c r="C113" s="2" t="s">
        <v>88</v>
      </c>
      <c r="D113" s="25">
        <f t="shared" si="13"/>
        <v>70.953151592511503</v>
      </c>
      <c r="E113" s="24">
        <f t="shared" si="15"/>
        <v>177.38287898127876</v>
      </c>
      <c r="F113" s="24">
        <f t="shared" si="16"/>
        <v>10642.972738876726</v>
      </c>
      <c r="G113" s="6">
        <f t="shared" si="14"/>
        <v>4498</v>
      </c>
      <c r="H113" s="7">
        <v>0</v>
      </c>
    </row>
    <row r="114" spans="2:11" s="7" customFormat="1">
      <c r="B114" s="2"/>
      <c r="C114" s="2" t="s">
        <v>89</v>
      </c>
      <c r="D114" s="25">
        <f t="shared" si="13"/>
        <v>112.48670374422557</v>
      </c>
      <c r="E114" s="24">
        <f t="shared" si="15"/>
        <v>281.21675936056391</v>
      </c>
      <c r="F114" s="24">
        <f t="shared" si="16"/>
        <v>16873.005561633836</v>
      </c>
      <c r="G114" s="6">
        <f t="shared" si="14"/>
        <v>7130</v>
      </c>
      <c r="H114" s="7">
        <v>0</v>
      </c>
    </row>
    <row r="115" spans="2:11" s="7" customFormat="1">
      <c r="B115" s="2"/>
      <c r="C115" s="2" t="s">
        <v>90</v>
      </c>
      <c r="D115" s="25">
        <f t="shared" si="13"/>
        <v>157.48138524191577</v>
      </c>
      <c r="E115" s="24">
        <f t="shared" si="15"/>
        <v>393.70346310478942</v>
      </c>
      <c r="F115" s="24">
        <f t="shared" si="16"/>
        <v>23622.207786287367</v>
      </c>
      <c r="G115" s="6">
        <f t="shared" si="14"/>
        <v>9982</v>
      </c>
      <c r="H115" s="7">
        <v>0</v>
      </c>
    </row>
    <row r="116" spans="2:11" s="7" customFormat="1">
      <c r="B116" s="2"/>
      <c r="C116" s="82" t="s">
        <v>393</v>
      </c>
      <c r="D116" s="25">
        <f t="shared" si="13"/>
        <v>207.66776075857027</v>
      </c>
      <c r="E116" s="24">
        <f t="shared" si="15"/>
        <v>519.16940189642571</v>
      </c>
      <c r="F116" s="24">
        <f t="shared" si="16"/>
        <v>31150.164113785544</v>
      </c>
      <c r="G116" s="6">
        <f t="shared" si="14"/>
        <v>13163</v>
      </c>
      <c r="H116" s="7">
        <v>0</v>
      </c>
    </row>
    <row r="117" spans="2:11">
      <c r="B117" s="2"/>
      <c r="C117" s="9" t="s">
        <v>83</v>
      </c>
      <c r="D117" s="6">
        <f>E117/E7</f>
        <v>632.69444444444412</v>
      </c>
      <c r="E117" s="6">
        <f>F117/60</f>
        <v>1581.7361111111104</v>
      </c>
      <c r="F117" s="6">
        <f>F87-G104/H7</f>
        <v>94904.166666666628</v>
      </c>
      <c r="G117" s="10"/>
      <c r="H117" s="7">
        <v>0</v>
      </c>
      <c r="I117" s="7"/>
      <c r="J117" s="7"/>
      <c r="K117" s="7"/>
    </row>
    <row r="119" spans="2:11">
      <c r="B119" s="2"/>
      <c r="F119" s="7"/>
    </row>
    <row r="120" spans="2:11">
      <c r="B120" s="2"/>
      <c r="C120" s="8"/>
      <c r="F120" s="11"/>
      <c r="H120" s="27"/>
      <c r="I120" s="27"/>
      <c r="J120" s="27"/>
    </row>
    <row r="122" spans="2:11">
      <c r="B122" s="2" t="s">
        <v>92</v>
      </c>
    </row>
    <row r="123" spans="2:11">
      <c r="C123" s="2" t="s">
        <v>93</v>
      </c>
    </row>
    <row r="124" spans="2:11">
      <c r="C124" s="2"/>
      <c r="D124" s="1" t="s">
        <v>94</v>
      </c>
      <c r="E124" s="11" t="s">
        <v>95</v>
      </c>
      <c r="F124" s="11" t="s">
        <v>96</v>
      </c>
      <c r="G124" s="11" t="s">
        <v>97</v>
      </c>
      <c r="H124" s="11" t="s">
        <v>98</v>
      </c>
      <c r="I124" s="11" t="s">
        <v>124</v>
      </c>
      <c r="J124" s="11" t="s">
        <v>113</v>
      </c>
    </row>
    <row r="125" spans="2:11">
      <c r="C125" s="2" t="s">
        <v>85</v>
      </c>
      <c r="D125" s="3">
        <v>1</v>
      </c>
      <c r="E125" s="3">
        <v>0</v>
      </c>
      <c r="F125" s="6">
        <f>1-E125</f>
        <v>1</v>
      </c>
      <c r="G125" s="6">
        <f>$D$7*E125*D125</f>
        <v>0</v>
      </c>
      <c r="H125" s="6">
        <f>$D$7*F125*D125</f>
        <v>150</v>
      </c>
      <c r="I125" s="6">
        <f>ROUNDDOWN(G125/$F$35,0)</f>
        <v>0</v>
      </c>
      <c r="J125" s="6">
        <f>ROUNDUP(H125/$F$34,0)</f>
        <v>70</v>
      </c>
    </row>
    <row r="126" spans="2:11">
      <c r="C126" s="2" t="s">
        <v>86</v>
      </c>
      <c r="D126" s="3">
        <v>1</v>
      </c>
      <c r="E126" s="3">
        <v>0.1</v>
      </c>
      <c r="F126" s="6">
        <f t="shared" ref="F126:F127" si="17">1-E126</f>
        <v>0.9</v>
      </c>
      <c r="G126" s="6">
        <f t="shared" ref="G126:G127" si="18">$D$7*E126*D126</f>
        <v>15</v>
      </c>
      <c r="H126" s="6">
        <f t="shared" ref="H126:H127" si="19">$D$7*F126*D126</f>
        <v>135</v>
      </c>
      <c r="I126" s="6">
        <f>ROUNDDOWN(G126/$F$35,0)</f>
        <v>5</v>
      </c>
      <c r="J126" s="6">
        <f>ROUNDUP(H126/$F$34,0)</f>
        <v>63</v>
      </c>
    </row>
    <row r="127" spans="2:11">
      <c r="C127" s="2" t="s">
        <v>80</v>
      </c>
      <c r="D127" s="3">
        <v>1</v>
      </c>
      <c r="E127" s="3">
        <v>0.4</v>
      </c>
      <c r="F127" s="6">
        <f t="shared" si="17"/>
        <v>0.6</v>
      </c>
      <c r="G127" s="6">
        <f t="shared" si="18"/>
        <v>60</v>
      </c>
      <c r="H127" s="6">
        <f t="shared" si="19"/>
        <v>90</v>
      </c>
      <c r="I127" s="6">
        <f>ROUNDDOWN(G127/$F$35,0)</f>
        <v>21</v>
      </c>
      <c r="J127" s="6">
        <f>ROUNDUP(H127/$F$34,0)</f>
        <v>42</v>
      </c>
    </row>
    <row r="128" spans="2:11">
      <c r="C128" s="2" t="s">
        <v>81</v>
      </c>
      <c r="D128" s="3">
        <v>1</v>
      </c>
      <c r="E128" s="3">
        <v>0.5</v>
      </c>
      <c r="F128" s="6">
        <f t="shared" ref="F128:F129" si="20">1-E128</f>
        <v>0.5</v>
      </c>
      <c r="G128" s="6">
        <f t="shared" ref="G128:G129" si="21">$D$7*E128*D128</f>
        <v>75</v>
      </c>
      <c r="H128" s="6">
        <f t="shared" ref="H128:H129" si="22">$D$7*F128*D128</f>
        <v>75</v>
      </c>
      <c r="I128" s="6">
        <f>ROUNDDOWN(G128/$F$35,0)</f>
        <v>26</v>
      </c>
      <c r="J128" s="6">
        <f>ROUNDUP(H128/$F$34,0)</f>
        <v>35</v>
      </c>
    </row>
    <row r="129" spans="2:11">
      <c r="C129" s="2" t="s">
        <v>82</v>
      </c>
      <c r="D129" s="3">
        <v>1</v>
      </c>
      <c r="E129" s="3">
        <v>0.5</v>
      </c>
      <c r="F129" s="6">
        <f t="shared" si="20"/>
        <v>0.5</v>
      </c>
      <c r="G129" s="6">
        <f t="shared" si="21"/>
        <v>75</v>
      </c>
      <c r="H129" s="6">
        <f t="shared" si="22"/>
        <v>75</v>
      </c>
      <c r="I129" s="6">
        <f>ROUNDDOWN(G129/$F$35,0)</f>
        <v>26</v>
      </c>
      <c r="J129" s="6">
        <f>ROUNDUP(H129/$F$34,0)</f>
        <v>35</v>
      </c>
    </row>
    <row r="130" spans="2:11">
      <c r="C130" s="2" t="s">
        <v>87</v>
      </c>
      <c r="D130" s="3">
        <v>1</v>
      </c>
      <c r="E130" s="3"/>
    </row>
    <row r="131" spans="2:11">
      <c r="C131" s="2" t="s">
        <v>88</v>
      </c>
      <c r="D131" s="3">
        <v>1</v>
      </c>
      <c r="E131" s="3"/>
    </row>
    <row r="132" spans="2:11">
      <c r="C132" s="2" t="s">
        <v>89</v>
      </c>
      <c r="D132" s="3">
        <v>1</v>
      </c>
      <c r="E132" s="3"/>
    </row>
    <row r="133" spans="2:11">
      <c r="C133" s="2" t="s">
        <v>90</v>
      </c>
      <c r="D133" s="3">
        <v>1</v>
      </c>
      <c r="E133" s="3"/>
    </row>
    <row r="134" spans="2:11">
      <c r="C134" s="82" t="s">
        <v>393</v>
      </c>
      <c r="D134" s="3">
        <v>1</v>
      </c>
      <c r="E134" s="3"/>
    </row>
    <row r="136" spans="2:11">
      <c r="D136" s="132" t="s">
        <v>99</v>
      </c>
      <c r="E136" s="132"/>
      <c r="F136" s="132"/>
      <c r="G136" s="132"/>
      <c r="I136" s="132" t="s">
        <v>100</v>
      </c>
      <c r="J136" s="132"/>
      <c r="K136" s="132"/>
    </row>
    <row r="137" spans="2:11">
      <c r="C137" s="11" t="s">
        <v>101</v>
      </c>
      <c r="D137" s="11" t="s">
        <v>102</v>
      </c>
      <c r="E137" s="11" t="s">
        <v>103</v>
      </c>
      <c r="F137" s="11" t="s">
        <v>104</v>
      </c>
      <c r="G137" s="11" t="s">
        <v>109</v>
      </c>
      <c r="H137" s="12" t="s">
        <v>105</v>
      </c>
      <c r="I137" s="11" t="s">
        <v>106</v>
      </c>
      <c r="J137" s="11" t="s">
        <v>107</v>
      </c>
      <c r="K137" s="11" t="s">
        <v>108</v>
      </c>
    </row>
    <row r="138" spans="2:11">
      <c r="B138" s="2" t="s">
        <v>85</v>
      </c>
      <c r="C138" s="6">
        <f>D138*E138</f>
        <v>5.5</v>
      </c>
      <c r="D138" s="3">
        <v>1</v>
      </c>
      <c r="E138" s="3">
        <v>5.5</v>
      </c>
      <c r="F138" s="15">
        <v>23</v>
      </c>
      <c r="G138" s="3">
        <v>1</v>
      </c>
      <c r="H138" s="16">
        <f>F138+D138*E138+G138</f>
        <v>29.5</v>
      </c>
      <c r="I138" s="17">
        <f>D138*E138/H138</f>
        <v>0.1864406779661017</v>
      </c>
      <c r="J138" s="17">
        <f>F138/H138</f>
        <v>0.77966101694915257</v>
      </c>
      <c r="K138" s="17">
        <f>G138/H138</f>
        <v>3.3898305084745763E-2</v>
      </c>
    </row>
    <row r="139" spans="2:11">
      <c r="B139" s="2" t="s">
        <v>86</v>
      </c>
      <c r="C139" s="6">
        <f t="shared" ref="C139:C142" si="23">D139*E139</f>
        <v>13.5</v>
      </c>
      <c r="D139" s="3">
        <v>3</v>
      </c>
      <c r="E139" s="3">
        <v>4.5</v>
      </c>
      <c r="F139" s="3">
        <v>6</v>
      </c>
      <c r="G139" s="3">
        <v>18</v>
      </c>
      <c r="H139" s="16">
        <f>F139+D139*E139+G139</f>
        <v>37.5</v>
      </c>
      <c r="I139" s="17">
        <f>D139*E139/H139</f>
        <v>0.36</v>
      </c>
      <c r="J139" s="17">
        <f>F139/H139</f>
        <v>0.16</v>
      </c>
      <c r="K139" s="17">
        <f>G139/H139</f>
        <v>0.48</v>
      </c>
    </row>
    <row r="140" spans="2:11">
      <c r="B140" s="2" t="s">
        <v>80</v>
      </c>
      <c r="C140" s="6">
        <f t="shared" si="23"/>
        <v>40</v>
      </c>
      <c r="D140" s="3">
        <v>5</v>
      </c>
      <c r="E140" s="3">
        <v>8</v>
      </c>
      <c r="F140" s="3">
        <v>3</v>
      </c>
      <c r="G140" s="3">
        <v>35</v>
      </c>
      <c r="H140" s="16">
        <f>F140+D140*E140+G140</f>
        <v>78</v>
      </c>
      <c r="I140" s="17">
        <f>D140*E140/H140</f>
        <v>0.51282051282051277</v>
      </c>
      <c r="J140" s="17">
        <f>F140/H140</f>
        <v>3.8461538461538464E-2</v>
      </c>
      <c r="K140" s="17">
        <f>G140/H140</f>
        <v>0.44871794871794873</v>
      </c>
    </row>
    <row r="141" spans="2:11">
      <c r="B141" s="2" t="s">
        <v>117</v>
      </c>
      <c r="C141" s="6">
        <f t="shared" si="23"/>
        <v>54</v>
      </c>
      <c r="D141" s="3">
        <v>6</v>
      </c>
      <c r="E141" s="3">
        <v>9</v>
      </c>
      <c r="F141" s="3">
        <v>0.5</v>
      </c>
      <c r="G141" s="3">
        <v>45</v>
      </c>
      <c r="H141" s="16">
        <f>F141+D141*E141+G141</f>
        <v>99.5</v>
      </c>
      <c r="I141" s="17">
        <f>D141*E141/H141</f>
        <v>0.542713567839196</v>
      </c>
      <c r="J141" s="17">
        <f>F141/H141</f>
        <v>5.0251256281407036E-3</v>
      </c>
      <c r="K141" s="17">
        <f>G141/H141</f>
        <v>0.45226130653266333</v>
      </c>
    </row>
    <row r="142" spans="2:11">
      <c r="B142" s="2" t="s">
        <v>118</v>
      </c>
      <c r="C142" s="6">
        <f t="shared" si="23"/>
        <v>77</v>
      </c>
      <c r="D142" s="3">
        <v>7</v>
      </c>
      <c r="E142" s="3">
        <v>11</v>
      </c>
      <c r="F142" s="3">
        <v>0.1</v>
      </c>
      <c r="G142" s="3">
        <v>60</v>
      </c>
      <c r="H142" s="16">
        <f>F142+D142*E142+G142</f>
        <v>137.1</v>
      </c>
      <c r="I142" s="17">
        <f>D142*E142/H142</f>
        <v>0.56163384390955506</v>
      </c>
      <c r="J142" s="17">
        <f>F142/H142</f>
        <v>7.2939460247994177E-4</v>
      </c>
      <c r="K142" s="17">
        <f>G142/H142</f>
        <v>0.43763676148796499</v>
      </c>
    </row>
    <row r="143" spans="2:11">
      <c r="C143" s="7"/>
      <c r="D143" s="7"/>
      <c r="E143" s="7"/>
      <c r="F143" s="7"/>
      <c r="G143" s="7"/>
      <c r="H143" s="13"/>
      <c r="I143" s="14"/>
      <c r="J143" s="14"/>
      <c r="K143" s="14"/>
    </row>
    <row r="144" spans="2:11">
      <c r="B144" s="2" t="s">
        <v>159</v>
      </c>
      <c r="C144" s="8" t="s">
        <v>110</v>
      </c>
      <c r="D144" s="1" t="s">
        <v>111</v>
      </c>
      <c r="E144" s="1" t="s">
        <v>114</v>
      </c>
      <c r="F144" s="11" t="s">
        <v>112</v>
      </c>
      <c r="G144" s="11" t="s">
        <v>115</v>
      </c>
      <c r="I144" s="14"/>
      <c r="J144" s="14"/>
      <c r="K144" s="14"/>
    </row>
    <row r="145" spans="2:10">
      <c r="B145" s="2" t="s">
        <v>85</v>
      </c>
      <c r="C145" s="18">
        <f>($E$7*E125+$E$7*F125)*D125*D138*E138/H138</f>
        <v>0.46610169491525422</v>
      </c>
      <c r="D145" s="18">
        <f>C145*60</f>
        <v>27.966101694915253</v>
      </c>
      <c r="E145" s="19">
        <f>ROUNDUP(D145/$F$48,0)</f>
        <v>12</v>
      </c>
      <c r="F145" s="20">
        <f>E145</f>
        <v>12</v>
      </c>
      <c r="G145" s="22" t="s">
        <v>116</v>
      </c>
    </row>
    <row r="146" spans="2:10">
      <c r="B146" s="2" t="s">
        <v>86</v>
      </c>
      <c r="C146" s="18">
        <f>($E$7*E126+$E$7*F126)*D126*D139*E139/H139</f>
        <v>0.9</v>
      </c>
      <c r="D146" s="18">
        <f t="shared" ref="D146:D149" si="24">C146*60</f>
        <v>54</v>
      </c>
      <c r="E146" s="19">
        <f>ROUNDUP(D146/$F$48,0)</f>
        <v>23</v>
      </c>
      <c r="F146" s="19">
        <f>E146-E145</f>
        <v>11</v>
      </c>
      <c r="G146" s="22" t="s">
        <v>123</v>
      </c>
    </row>
    <row r="147" spans="2:10">
      <c r="B147" s="2" t="s">
        <v>80</v>
      </c>
      <c r="C147" s="18">
        <f>($E$7*E127+$E$7*F127)*D127*D140*E140/H140</f>
        <v>1.2820512820512822</v>
      </c>
      <c r="D147" s="18">
        <f t="shared" si="24"/>
        <v>76.923076923076934</v>
      </c>
      <c r="E147" s="19">
        <f>ROUNDUP(D147/$F$48,0)</f>
        <v>33</v>
      </c>
      <c r="F147" s="19">
        <f>E147-E146</f>
        <v>10</v>
      </c>
      <c r="G147" s="22" t="s">
        <v>148</v>
      </c>
    </row>
    <row r="148" spans="2:10">
      <c r="B148" s="2" t="s">
        <v>117</v>
      </c>
      <c r="C148" s="18">
        <f>($E$7*E128+$E$7*F128)*D128*D141*E141/H141</f>
        <v>1.3567839195979901</v>
      </c>
      <c r="D148" s="18">
        <f>C148*60</f>
        <v>81.4070351758794</v>
      </c>
      <c r="E148" s="19">
        <f>ROUNDUP(D148/$F$48,0)</f>
        <v>35</v>
      </c>
      <c r="F148" s="19">
        <f>E148-E147</f>
        <v>2</v>
      </c>
      <c r="G148" s="1" t="s">
        <v>149</v>
      </c>
    </row>
    <row r="149" spans="2:10">
      <c r="B149" s="2" t="s">
        <v>118</v>
      </c>
      <c r="C149" s="18">
        <f>($E$7*E129+$E$7*F129)*D129*D142*E142/H142</f>
        <v>1.4040846097738877</v>
      </c>
      <c r="D149" s="18">
        <f t="shared" si="24"/>
        <v>84.245076586433257</v>
      </c>
      <c r="E149" s="19">
        <f>ROUNDUP(D149/$F$48,0)</f>
        <v>36</v>
      </c>
      <c r="F149" s="19">
        <f>E149-E148</f>
        <v>1</v>
      </c>
      <c r="G149" s="1" t="s">
        <v>150</v>
      </c>
    </row>
    <row r="151" spans="2:10">
      <c r="B151" s="2" t="s">
        <v>160</v>
      </c>
      <c r="C151" s="8" t="s">
        <v>79</v>
      </c>
      <c r="D151" s="1" t="s">
        <v>3</v>
      </c>
      <c r="E151" s="1" t="s">
        <v>119</v>
      </c>
      <c r="G151" s="11"/>
    </row>
    <row r="152" spans="2:10">
      <c r="B152" s="2" t="s">
        <v>85</v>
      </c>
      <c r="C152" s="18">
        <f>($E$7*E125+$E$7*F125)*D125*G138/H138</f>
        <v>8.4745762711864403E-2</v>
      </c>
      <c r="D152" s="18">
        <f>C152*60</f>
        <v>5.0847457627118642</v>
      </c>
      <c r="E152" s="19">
        <f>ROUNDUP(D152/$F$48,0)</f>
        <v>3</v>
      </c>
      <c r="F152" s="21"/>
      <c r="G152" s="21"/>
    </row>
    <row r="153" spans="2:10">
      <c r="B153" s="2" t="s">
        <v>86</v>
      </c>
      <c r="C153" s="18">
        <f t="shared" ref="C153:C156" si="25">($E$7*E126+$E$7*F126)*D126*G139/H139</f>
        <v>1.2</v>
      </c>
      <c r="D153" s="18">
        <f t="shared" ref="D153:D156" si="26">C153*60</f>
        <v>72</v>
      </c>
      <c r="E153" s="19">
        <f>ROUNDUP(D153/$F$48,0)</f>
        <v>31</v>
      </c>
      <c r="F153" s="21"/>
      <c r="G153" s="21"/>
    </row>
    <row r="154" spans="2:10">
      <c r="B154" s="2" t="s">
        <v>80</v>
      </c>
      <c r="C154" s="18">
        <f t="shared" si="25"/>
        <v>1.1217948717948718</v>
      </c>
      <c r="D154" s="18">
        <f t="shared" si="26"/>
        <v>67.307692307692307</v>
      </c>
      <c r="E154" s="19">
        <f>ROUNDUP(D154/$F$48,0)</f>
        <v>29</v>
      </c>
      <c r="F154" s="21"/>
      <c r="G154" s="21"/>
    </row>
    <row r="155" spans="2:10">
      <c r="B155" s="2" t="s">
        <v>117</v>
      </c>
      <c r="C155" s="18">
        <f t="shared" si="25"/>
        <v>1.1306532663316582</v>
      </c>
      <c r="D155" s="18">
        <f t="shared" si="26"/>
        <v>67.839195979899486</v>
      </c>
      <c r="E155" s="19">
        <f>ROUNDUP(D155/$F$48,0)</f>
        <v>29</v>
      </c>
      <c r="F155" s="21"/>
      <c r="G155" s="21"/>
    </row>
    <row r="156" spans="2:10">
      <c r="B156" s="2" t="s">
        <v>118</v>
      </c>
      <c r="C156" s="18">
        <f t="shared" si="25"/>
        <v>1.0940919037199126</v>
      </c>
      <c r="D156" s="18">
        <f t="shared" si="26"/>
        <v>65.645514223194752</v>
      </c>
      <c r="E156" s="19">
        <f>ROUNDUP(D156/$F$48,0)</f>
        <v>28</v>
      </c>
      <c r="F156" s="21"/>
      <c r="G156" s="21"/>
    </row>
    <row r="158" spans="2:10">
      <c r="C158" s="133" t="s">
        <v>120</v>
      </c>
      <c r="D158" s="133"/>
      <c r="E158" s="133"/>
      <c r="G158" s="134" t="s">
        <v>121</v>
      </c>
      <c r="H158" s="134"/>
      <c r="I158" s="134"/>
      <c r="J158" s="23"/>
    </row>
    <row r="159" spans="2:10">
      <c r="B159" s="2" t="s">
        <v>161</v>
      </c>
      <c r="C159" s="8" t="s">
        <v>110</v>
      </c>
      <c r="D159" s="1" t="s">
        <v>111</v>
      </c>
      <c r="E159" s="1" t="s">
        <v>162</v>
      </c>
      <c r="G159" s="8" t="s">
        <v>110</v>
      </c>
      <c r="H159" s="1" t="s">
        <v>111</v>
      </c>
      <c r="I159" s="1" t="s">
        <v>122</v>
      </c>
    </row>
    <row r="160" spans="2:10">
      <c r="B160" s="2" t="s">
        <v>85</v>
      </c>
      <c r="C160" s="18">
        <f>($E$7*E125+$E$7*F125)*D125*F138/H138</f>
        <v>1.9491525423728813</v>
      </c>
      <c r="D160" s="18">
        <f>C160*60</f>
        <v>116.94915254237287</v>
      </c>
      <c r="E160" s="18">
        <f>D160/$F$48</f>
        <v>49.415134877058961</v>
      </c>
      <c r="G160" s="24">
        <f>($E$7*E125+$E$7*F125)*D125*D63*F138/H138</f>
        <v>1.9491525423728813</v>
      </c>
      <c r="H160" s="24">
        <f>G160*60</f>
        <v>116.94915254237287</v>
      </c>
      <c r="I160" s="24">
        <f>H160/$F$48</f>
        <v>49.415134877058961</v>
      </c>
    </row>
    <row r="161" spans="2:9">
      <c r="B161" s="2" t="s">
        <v>86</v>
      </c>
      <c r="C161" s="18">
        <f t="shared" ref="C161:C164" si="27">($E$7*E126+$E$7*F126)*D126*F139/H139</f>
        <v>0.4</v>
      </c>
      <c r="D161" s="18">
        <f t="shared" ref="D161:D164" si="28">C161*60</f>
        <v>24</v>
      </c>
      <c r="E161" s="18">
        <f>D161/$F$48</f>
        <v>10.140845070422536</v>
      </c>
      <c r="G161" s="24">
        <f>($E$7*E126+$E$7*F126)*D126*D64*F139/H139</f>
        <v>0.8</v>
      </c>
      <c r="H161" s="24">
        <f t="shared" ref="H161:H164" si="29">G161*60</f>
        <v>48</v>
      </c>
      <c r="I161" s="24">
        <f>H161/$F$48</f>
        <v>20.281690140845072</v>
      </c>
    </row>
    <row r="162" spans="2:9">
      <c r="B162" s="2" t="s">
        <v>80</v>
      </c>
      <c r="C162" s="18">
        <f t="shared" si="27"/>
        <v>9.6153846153846159E-2</v>
      </c>
      <c r="D162" s="18">
        <f t="shared" si="28"/>
        <v>5.7692307692307692</v>
      </c>
      <c r="E162" s="18">
        <f>D162/$F$48</f>
        <v>2.4377031419284938</v>
      </c>
      <c r="G162" s="24">
        <f>($E$7*E127+$E$7*F127)*D127*D65*F140/H140</f>
        <v>0.48076923076923078</v>
      </c>
      <c r="H162" s="24">
        <f t="shared" si="29"/>
        <v>28.846153846153847</v>
      </c>
      <c r="I162" s="24">
        <f>H162/$F$48</f>
        <v>12.18851570964247</v>
      </c>
    </row>
    <row r="163" spans="2:9">
      <c r="B163" s="2" t="s">
        <v>117</v>
      </c>
      <c r="C163" s="18">
        <f t="shared" si="27"/>
        <v>1.2562814070351759E-2</v>
      </c>
      <c r="D163" s="18">
        <f t="shared" si="28"/>
        <v>0.75376884422110557</v>
      </c>
      <c r="E163" s="18">
        <f>D163/$F$48</f>
        <v>0.31849387783990374</v>
      </c>
      <c r="G163" s="24">
        <f>($E$7*E128+$E$7*F128)*D128*D66*F141/H141</f>
        <v>0.314070351758794</v>
      </c>
      <c r="H163" s="24">
        <f t="shared" si="29"/>
        <v>18.844221105527641</v>
      </c>
      <c r="I163" s="24">
        <f>H163/$F$48</f>
        <v>7.9623469459975951</v>
      </c>
    </row>
    <row r="164" spans="2:9">
      <c r="B164" s="2" t="s">
        <v>118</v>
      </c>
      <c r="C164" s="18">
        <f t="shared" si="27"/>
        <v>1.8234865061998542E-3</v>
      </c>
      <c r="D164" s="18">
        <f t="shared" si="28"/>
        <v>0.10940919037199125</v>
      </c>
      <c r="E164" s="18">
        <f>D164/$F$48</f>
        <v>4.6229235368447003E-2</v>
      </c>
      <c r="F164" s="11"/>
      <c r="G164" s="24">
        <f>($E$7*E129+$E$7*F129)*D129*D67*F142/H142</f>
        <v>0.13676148796498908</v>
      </c>
      <c r="H164" s="24">
        <f t="shared" si="29"/>
        <v>8.205689277899344</v>
      </c>
      <c r="I164" s="24">
        <f>H164/$F$48</f>
        <v>3.4671926526335257</v>
      </c>
    </row>
  </sheetData>
  <mergeCells count="4">
    <mergeCell ref="D136:G136"/>
    <mergeCell ref="I136:K136"/>
    <mergeCell ref="C158:E158"/>
    <mergeCell ref="G158:I158"/>
  </mergeCells>
  <phoneticPr fontId="1" type="noConversion"/>
  <pageMargins left="0.7" right="0.7" top="0.75" bottom="0.75" header="0.3" footer="0.3"/>
  <pageSetup paperSize="9" orientation="portrait" horizontalDpi="300" verticalDpi="0" copies="0" r:id="rId1"/>
  <drawing r:id="rId2"/>
</worksheet>
</file>

<file path=xl/worksheets/sheet2.xml><?xml version="1.0" encoding="utf-8"?>
<worksheet xmlns="http://schemas.openxmlformats.org/spreadsheetml/2006/main" xmlns:r="http://schemas.openxmlformats.org/officeDocument/2006/relationships">
  <dimension ref="A1:AB124"/>
  <sheetViews>
    <sheetView topLeftCell="E19" workbookViewId="0">
      <selection activeCell="F43" sqref="F43"/>
    </sheetView>
  </sheetViews>
  <sheetFormatPr defaultRowHeight="16.5"/>
  <cols>
    <col min="1" max="1" width="13.125" style="54" customWidth="1"/>
    <col min="2" max="2" width="14" style="54" customWidth="1"/>
    <col min="3" max="3" width="9" style="54"/>
    <col min="4" max="4" width="9.625" style="89" bestFit="1" customWidth="1"/>
    <col min="5" max="5" width="9" style="89"/>
    <col min="6" max="6" width="9.5" style="54" bestFit="1" customWidth="1"/>
    <col min="7" max="7" width="13.25" style="54" customWidth="1"/>
    <col min="8" max="8" width="9" style="54"/>
    <col min="9" max="9" width="10.125" style="54" customWidth="1"/>
    <col min="10" max="10" width="9.5" style="54" bestFit="1" customWidth="1"/>
    <col min="11" max="16" width="9" style="54"/>
    <col min="17" max="17" width="11.875" style="54" bestFit="1" customWidth="1"/>
    <col min="18" max="21" width="9" style="54"/>
    <col min="22" max="22" width="13.25" style="54" bestFit="1" customWidth="1"/>
    <col min="23" max="26" width="9" style="54"/>
    <col min="27" max="27" width="13.25" style="54" bestFit="1" customWidth="1"/>
    <col min="28" max="16384" width="9" style="54"/>
  </cols>
  <sheetData>
    <row r="1" spans="1:11">
      <c r="A1" s="55" t="s">
        <v>383</v>
      </c>
      <c r="H1" s="105"/>
      <c r="I1" s="89"/>
    </row>
    <row r="2" spans="1:11">
      <c r="A2" s="77">
        <f>副本时间模板!F63</f>
        <v>150</v>
      </c>
      <c r="B2" s="78" t="s">
        <v>85</v>
      </c>
      <c r="H2" s="89"/>
      <c r="I2" s="27"/>
    </row>
    <row r="3" spans="1:11">
      <c r="A3" s="77">
        <f>副本时间模板!F64</f>
        <v>300</v>
      </c>
      <c r="B3" s="78" t="s">
        <v>86</v>
      </c>
      <c r="H3" s="89"/>
      <c r="I3" s="27"/>
    </row>
    <row r="4" spans="1:11">
      <c r="A4" s="77">
        <f>副本时间模板!F65</f>
        <v>750</v>
      </c>
      <c r="B4" s="78" t="s">
        <v>80</v>
      </c>
      <c r="H4" s="89"/>
      <c r="I4" s="27"/>
    </row>
    <row r="5" spans="1:11">
      <c r="A5" s="77">
        <f>副本时间模板!F66</f>
        <v>3750</v>
      </c>
      <c r="B5" s="78" t="s">
        <v>81</v>
      </c>
      <c r="C5" s="64"/>
      <c r="H5" s="89"/>
      <c r="I5" s="27"/>
    </row>
    <row r="6" spans="1:11">
      <c r="A6" s="77">
        <f>副本时间模板!F67</f>
        <v>11250</v>
      </c>
      <c r="B6" s="78" t="s">
        <v>82</v>
      </c>
      <c r="H6" s="89"/>
      <c r="I6" s="27"/>
      <c r="K6" s="71"/>
    </row>
    <row r="7" spans="1:11">
      <c r="A7" s="77">
        <f>副本时间模板!F68</f>
        <v>20250</v>
      </c>
      <c r="B7" s="78" t="s">
        <v>87</v>
      </c>
      <c r="H7" s="89"/>
      <c r="I7" s="27"/>
      <c r="K7" s="71"/>
    </row>
    <row r="8" spans="1:11">
      <c r="A8" s="77">
        <f>副本时间模板!F69</f>
        <v>30750</v>
      </c>
      <c r="B8" s="78" t="s">
        <v>374</v>
      </c>
      <c r="H8" s="89"/>
      <c r="I8" s="27"/>
      <c r="K8" s="71"/>
    </row>
    <row r="9" spans="1:11">
      <c r="A9" s="77">
        <f>副本时间模板!F70</f>
        <v>48750</v>
      </c>
      <c r="B9" s="78" t="s">
        <v>375</v>
      </c>
      <c r="H9" s="89"/>
      <c r="I9" s="27"/>
      <c r="K9" s="71"/>
    </row>
    <row r="10" spans="1:11">
      <c r="A10" s="77">
        <f>副本时间模板!F71</f>
        <v>68250</v>
      </c>
      <c r="B10" s="78" t="s">
        <v>376</v>
      </c>
      <c r="H10" s="89"/>
      <c r="I10" s="27"/>
      <c r="K10" s="71"/>
    </row>
    <row r="11" spans="1:11">
      <c r="A11" s="77">
        <f>副本时间模板!F72</f>
        <v>90000</v>
      </c>
      <c r="B11" s="78" t="s">
        <v>392</v>
      </c>
      <c r="H11" s="89"/>
      <c r="I11" s="27"/>
      <c r="K11" s="71"/>
    </row>
    <row r="12" spans="1:11">
      <c r="A12" s="79" t="s">
        <v>384</v>
      </c>
      <c r="B12" s="77"/>
      <c r="H12" s="105"/>
      <c r="I12" s="89"/>
      <c r="K12" s="71"/>
    </row>
    <row r="13" spans="1:11">
      <c r="A13" s="77">
        <f t="shared" ref="A13:A22" si="0">A2/10</f>
        <v>15</v>
      </c>
      <c r="B13" s="78" t="s">
        <v>85</v>
      </c>
      <c r="H13" s="89"/>
      <c r="I13" s="27"/>
      <c r="K13" s="71"/>
    </row>
    <row r="14" spans="1:11">
      <c r="A14" s="77">
        <f t="shared" si="0"/>
        <v>30</v>
      </c>
      <c r="B14" s="78" t="s">
        <v>86</v>
      </c>
      <c r="H14" s="89"/>
      <c r="I14" s="27"/>
      <c r="K14" s="71"/>
    </row>
    <row r="15" spans="1:11">
      <c r="A15" s="77">
        <f t="shared" si="0"/>
        <v>75</v>
      </c>
      <c r="B15" s="78" t="s">
        <v>80</v>
      </c>
      <c r="H15" s="89"/>
      <c r="I15" s="27"/>
      <c r="K15" s="71"/>
    </row>
    <row r="16" spans="1:11">
      <c r="A16" s="77">
        <f t="shared" si="0"/>
        <v>375</v>
      </c>
      <c r="B16" s="78" t="s">
        <v>81</v>
      </c>
      <c r="H16" s="89"/>
      <c r="I16" s="27"/>
      <c r="K16" s="71"/>
    </row>
    <row r="17" spans="1:28">
      <c r="A17" s="77">
        <f t="shared" si="0"/>
        <v>1125</v>
      </c>
      <c r="B17" s="78" t="s">
        <v>82</v>
      </c>
      <c r="H17" s="89"/>
      <c r="I17" s="27"/>
      <c r="K17" s="71"/>
    </row>
    <row r="18" spans="1:28">
      <c r="A18" s="77">
        <f t="shared" si="0"/>
        <v>2025</v>
      </c>
      <c r="B18" s="78" t="s">
        <v>87</v>
      </c>
      <c r="H18" s="89"/>
      <c r="I18" s="27"/>
      <c r="K18" s="71"/>
    </row>
    <row r="19" spans="1:28">
      <c r="A19" s="77">
        <f t="shared" si="0"/>
        <v>3075</v>
      </c>
      <c r="B19" s="78" t="s">
        <v>374</v>
      </c>
      <c r="H19" s="89"/>
      <c r="I19" s="27"/>
      <c r="K19" s="71"/>
    </row>
    <row r="20" spans="1:28">
      <c r="A20" s="77">
        <f t="shared" si="0"/>
        <v>4875</v>
      </c>
      <c r="B20" s="78" t="s">
        <v>375</v>
      </c>
      <c r="H20" s="89"/>
      <c r="I20" s="27"/>
    </row>
    <row r="21" spans="1:28">
      <c r="A21" s="77">
        <f t="shared" si="0"/>
        <v>6825</v>
      </c>
      <c r="B21" s="78" t="s">
        <v>376</v>
      </c>
      <c r="H21" s="89"/>
      <c r="I21" s="27"/>
    </row>
    <row r="22" spans="1:28">
      <c r="A22" s="77">
        <f t="shared" si="0"/>
        <v>9000</v>
      </c>
      <c r="B22" s="78" t="s">
        <v>392</v>
      </c>
      <c r="E22" s="120" t="s">
        <v>395</v>
      </c>
      <c r="F22" s="89">
        <v>2.35</v>
      </c>
      <c r="H22" s="89"/>
      <c r="I22" s="27"/>
    </row>
    <row r="23" spans="1:28">
      <c r="A23" s="60"/>
      <c r="B23" s="60"/>
      <c r="F23" s="133" t="s">
        <v>382</v>
      </c>
      <c r="G23" s="133"/>
      <c r="H23" s="133"/>
      <c r="I23" s="47"/>
      <c r="J23" s="133"/>
      <c r="K23" s="133"/>
      <c r="L23" s="133"/>
      <c r="M23" s="131"/>
      <c r="N23" s="131"/>
      <c r="O23" s="133" t="s">
        <v>400</v>
      </c>
      <c r="P23" s="133"/>
      <c r="Q23" s="133"/>
      <c r="R23" s="133"/>
      <c r="T23" s="133" t="s">
        <v>401</v>
      </c>
      <c r="U23" s="133"/>
      <c r="V23" s="133"/>
      <c r="W23" s="133"/>
      <c r="Y23" s="133" t="s">
        <v>402</v>
      </c>
      <c r="Z23" s="133"/>
      <c r="AA23" s="133"/>
      <c r="AB23" s="133"/>
    </row>
    <row r="24" spans="1:28">
      <c r="A24" s="52" t="s">
        <v>365</v>
      </c>
      <c r="B24" s="65"/>
      <c r="C24" s="65" t="s">
        <v>366</v>
      </c>
      <c r="D24" s="116" t="s">
        <v>367</v>
      </c>
      <c r="E24" s="119" t="s">
        <v>368</v>
      </c>
      <c r="F24" s="66" t="s">
        <v>369</v>
      </c>
      <c r="G24" s="66" t="s">
        <v>380</v>
      </c>
      <c r="H24" s="56" t="s">
        <v>381</v>
      </c>
      <c r="I24" s="65"/>
      <c r="J24" s="66"/>
      <c r="K24" s="66"/>
      <c r="L24" s="56"/>
      <c r="M24" s="66"/>
      <c r="N24" s="66"/>
      <c r="O24" s="105" t="s">
        <v>366</v>
      </c>
      <c r="P24" s="66" t="s">
        <v>369</v>
      </c>
      <c r="Q24" s="66" t="s">
        <v>380</v>
      </c>
      <c r="R24" s="84" t="s">
        <v>381</v>
      </c>
      <c r="T24" s="105" t="s">
        <v>366</v>
      </c>
      <c r="U24" s="66" t="s">
        <v>369</v>
      </c>
      <c r="V24" s="66" t="s">
        <v>380</v>
      </c>
      <c r="W24" s="84" t="s">
        <v>381</v>
      </c>
      <c r="Y24" s="105" t="s">
        <v>366</v>
      </c>
      <c r="Z24" s="66" t="s">
        <v>369</v>
      </c>
      <c r="AA24" s="66" t="s">
        <v>380</v>
      </c>
      <c r="AB24" s="84" t="s">
        <v>381</v>
      </c>
    </row>
    <row r="25" spans="1:28">
      <c r="A25" s="67" t="s">
        <v>378</v>
      </c>
      <c r="B25" s="110"/>
      <c r="C25" s="68">
        <v>1</v>
      </c>
      <c r="D25" s="73"/>
      <c r="E25" s="69"/>
      <c r="F25" s="63"/>
      <c r="G25" s="63"/>
      <c r="H25" s="68"/>
      <c r="I25" s="89"/>
      <c r="J25" s="89"/>
      <c r="K25" s="89"/>
      <c r="L25" s="89"/>
      <c r="O25" s="68">
        <v>1</v>
      </c>
      <c r="P25" s="93"/>
      <c r="Q25" s="93"/>
      <c r="R25" s="68"/>
      <c r="T25" s="68">
        <v>1</v>
      </c>
      <c r="U25" s="93"/>
      <c r="V25" s="93"/>
      <c r="W25" s="68"/>
      <c r="Y25" s="68">
        <v>1</v>
      </c>
      <c r="Z25" s="93"/>
      <c r="AA25" s="93"/>
      <c r="AB25" s="68"/>
    </row>
    <row r="26" spans="1:28">
      <c r="A26" s="70" t="s">
        <v>397</v>
      </c>
      <c r="B26" s="110">
        <f>A13</f>
        <v>15</v>
      </c>
      <c r="C26" s="60">
        <v>2</v>
      </c>
      <c r="D26" s="72">
        <v>0.75</v>
      </c>
      <c r="E26" s="71">
        <v>1.2</v>
      </c>
      <c r="F26" s="111">
        <f t="shared" ref="F26:F34" si="1">$B$35^D26*E26</f>
        <v>10.984738803621603</v>
      </c>
      <c r="G26" s="111">
        <f>SUM($F$26:F26)</f>
        <v>10.984738803621603</v>
      </c>
      <c r="H26" s="110">
        <f>ROUNDUP(G26/副本时间模板!$D$7,0)</f>
        <v>1</v>
      </c>
      <c r="I26" s="89"/>
      <c r="J26" s="100"/>
      <c r="K26" s="89"/>
      <c r="L26" s="89"/>
      <c r="O26" s="89">
        <v>2</v>
      </c>
      <c r="P26" s="110">
        <f>F26*副本时间模板!$C$75</f>
        <v>7.3231592024144021</v>
      </c>
      <c r="Q26" s="111">
        <f>SUM($P$26:P26)</f>
        <v>7.3231592024144021</v>
      </c>
      <c r="R26" s="110">
        <f>ROUNDUP(Q26/副本时间模板!$D$7,0)</f>
        <v>1</v>
      </c>
      <c r="T26" s="89">
        <v>2</v>
      </c>
      <c r="U26" s="110">
        <f>F26*副本时间模板!$D$89</f>
        <v>5.0046261671861005</v>
      </c>
      <c r="V26" s="111">
        <f>SUM($U$26:U26)</f>
        <v>5.0046261671861005</v>
      </c>
      <c r="W26" s="110">
        <f>ROUNDUP(V26/副本时间模板!$D$7,0)</f>
        <v>1</v>
      </c>
      <c r="Y26" s="89">
        <v>2</v>
      </c>
      <c r="Z26" s="110">
        <f>F26*副本时间模板!$D$104</f>
        <v>3.8019601831097907</v>
      </c>
      <c r="AA26" s="111">
        <f>SUM($Z$26:Z26)</f>
        <v>3.8019601831097907</v>
      </c>
      <c r="AB26" s="110">
        <f>ROUNDUP(AA26/副本时间模板!$D$7,0)</f>
        <v>1</v>
      </c>
    </row>
    <row r="27" spans="1:28">
      <c r="A27" s="70" t="s">
        <v>398</v>
      </c>
      <c r="B27" s="111">
        <f>SUM(F26:F34)</f>
        <v>145.16424419246039</v>
      </c>
      <c r="C27" s="60">
        <v>3</v>
      </c>
      <c r="D27" s="117">
        <f t="shared" ref="D27:D33" si="2">D26+$B$29</f>
        <v>0.78125</v>
      </c>
      <c r="E27" s="71">
        <v>1.2</v>
      </c>
      <c r="F27" s="111">
        <f t="shared" si="1"/>
        <v>12.046385444239691</v>
      </c>
      <c r="G27" s="111">
        <f>SUM($F$26:F27)</f>
        <v>23.031124247861293</v>
      </c>
      <c r="H27" s="110">
        <f>ROUNDUP(G27/副本时间模板!$D$7,0)</f>
        <v>1</v>
      </c>
      <c r="I27" s="100"/>
      <c r="J27" s="100"/>
      <c r="K27" s="89"/>
      <c r="L27" s="89"/>
      <c r="O27" s="89">
        <v>3</v>
      </c>
      <c r="P27" s="110">
        <f>F27*副本时间模板!$C$75</f>
        <v>8.0309236294931274</v>
      </c>
      <c r="Q27" s="111">
        <f>SUM($P$26:P27)</f>
        <v>15.35408283190753</v>
      </c>
      <c r="R27" s="110">
        <f>ROUNDUP(Q27/副本时间模板!$D$7,0)</f>
        <v>1</v>
      </c>
      <c r="T27" s="89">
        <v>3</v>
      </c>
      <c r="U27" s="110">
        <f>F27*副本时间模板!$D$89</f>
        <v>5.4883103633174448</v>
      </c>
      <c r="V27" s="111">
        <f>SUM($U$26:U27)</f>
        <v>10.492936530503545</v>
      </c>
      <c r="W27" s="110">
        <f>ROUNDUP(V27/副本时间模板!$D$7,0)</f>
        <v>1</v>
      </c>
      <c r="Y27" s="89">
        <v>3</v>
      </c>
      <c r="Z27" s="110">
        <f>F27*副本时间模板!$D$104</f>
        <v>4.1694098173998189</v>
      </c>
      <c r="AA27" s="111">
        <f>SUM($Z$26:Z27)</f>
        <v>7.9713700005096095</v>
      </c>
      <c r="AB27" s="110">
        <f>ROUNDUP(AA27/副本时间模板!$D$7,0)</f>
        <v>1</v>
      </c>
    </row>
    <row r="28" spans="1:28">
      <c r="A28" s="70" t="s">
        <v>396</v>
      </c>
      <c r="B28" s="110">
        <f>B26*10</f>
        <v>150</v>
      </c>
      <c r="C28" s="60">
        <v>4</v>
      </c>
      <c r="D28" s="117">
        <f t="shared" si="2"/>
        <v>0.8125</v>
      </c>
      <c r="E28" s="71">
        <v>1.2</v>
      </c>
      <c r="F28" s="111">
        <f t="shared" si="1"/>
        <v>13.210637491293484</v>
      </c>
      <c r="G28" s="111">
        <f>SUM($F$26:F28)</f>
        <v>36.241761739154775</v>
      </c>
      <c r="H28" s="110">
        <f>ROUNDUP(G28/副本时间模板!$D$7,0)</f>
        <v>1</v>
      </c>
      <c r="I28" s="89"/>
      <c r="J28" s="100"/>
      <c r="K28" s="89"/>
      <c r="L28" s="89"/>
      <c r="O28" s="89">
        <v>4</v>
      </c>
      <c r="P28" s="110">
        <f>F28*副本时间模板!$C$75</f>
        <v>8.8070916608623229</v>
      </c>
      <c r="Q28" s="111">
        <f>SUM($P$26:P28)</f>
        <v>24.161174492769852</v>
      </c>
      <c r="R28" s="110">
        <f>ROUNDUP(Q28/副本时间模板!$D$7,0)</f>
        <v>1</v>
      </c>
      <c r="T28" s="89">
        <v>4</v>
      </c>
      <c r="U28" s="110">
        <f>F28*副本时间模板!$D$89</f>
        <v>6.0187413880373395</v>
      </c>
      <c r="V28" s="111">
        <f>SUM($U$26:U28)</f>
        <v>16.511677918540883</v>
      </c>
      <c r="W28" s="110">
        <f>ROUNDUP(V28/副本时间模板!$D$7,0)</f>
        <v>1</v>
      </c>
      <c r="Y28" s="89">
        <v>4</v>
      </c>
      <c r="Z28" s="110">
        <f>F28*副本时间模板!$D$104</f>
        <v>4.5723725100168906</v>
      </c>
      <c r="AA28" s="111">
        <f>SUM($Z$26:Z28)</f>
        <v>12.543742510526499</v>
      </c>
      <c r="AB28" s="110">
        <f>ROUNDUP(AA28/副本时间模板!$D$7,0)</f>
        <v>1</v>
      </c>
    </row>
    <row r="29" spans="1:28">
      <c r="A29" s="70" t="s">
        <v>394</v>
      </c>
      <c r="B29" s="110">
        <f>(D34-D26)/8</f>
        <v>3.125E-2</v>
      </c>
      <c r="C29" s="60">
        <v>5</v>
      </c>
      <c r="D29" s="117">
        <f t="shared" si="2"/>
        <v>0.84375</v>
      </c>
      <c r="E29" s="71">
        <v>1.2</v>
      </c>
      <c r="F29" s="111">
        <f t="shared" si="1"/>
        <v>14.487411492367695</v>
      </c>
      <c r="G29" s="111">
        <f>SUM($F$26:F29)</f>
        <v>50.729173231522466</v>
      </c>
      <c r="H29" s="110">
        <f>ROUNDUP(G29/副本时间模板!$D$7,0)</f>
        <v>1</v>
      </c>
      <c r="I29" s="89"/>
      <c r="J29" s="100"/>
      <c r="K29" s="89"/>
      <c r="L29" s="89"/>
      <c r="O29" s="89">
        <v>5</v>
      </c>
      <c r="P29" s="110">
        <f>F29*副本时间模板!$C$75</f>
        <v>9.6582743282451293</v>
      </c>
      <c r="Q29" s="111">
        <f>SUM($P$26:P29)</f>
        <v>33.81944882101498</v>
      </c>
      <c r="R29" s="110">
        <f>ROUNDUP(Q29/副本时间模板!$D$7,0)</f>
        <v>1</v>
      </c>
      <c r="T29" s="89">
        <v>5</v>
      </c>
      <c r="U29" s="110">
        <f>F29*副本时间模板!$D$89</f>
        <v>6.6004372016193802</v>
      </c>
      <c r="V29" s="111">
        <f>SUM($U$26:U29)</f>
        <v>23.112115120160261</v>
      </c>
      <c r="W29" s="110">
        <f>ROUNDUP(V29/副本时间模板!$D$7,0)</f>
        <v>1</v>
      </c>
      <c r="Y29" s="89">
        <v>5</v>
      </c>
      <c r="Z29" s="110">
        <f>F29*副本时间模板!$D$104</f>
        <v>5.0142805063466263</v>
      </c>
      <c r="AA29" s="111">
        <f>SUM($Z$26:Z29)</f>
        <v>17.558023016873125</v>
      </c>
      <c r="AB29" s="110">
        <f>ROUNDUP(AA29/副本时间模板!$D$7,0)</f>
        <v>1</v>
      </c>
    </row>
    <row r="30" spans="1:28">
      <c r="A30" s="70" t="s">
        <v>399</v>
      </c>
      <c r="B30" s="114">
        <f>B28/B27</f>
        <v>1.0333123065837639</v>
      </c>
      <c r="C30" s="60">
        <v>6</v>
      </c>
      <c r="D30" s="117">
        <f t="shared" si="2"/>
        <v>0.875</v>
      </c>
      <c r="E30" s="71">
        <v>1.2</v>
      </c>
      <c r="F30" s="111">
        <f t="shared" si="1"/>
        <v>15.887582403764622</v>
      </c>
      <c r="G30" s="111">
        <f>SUM($F$26:F30)</f>
        <v>66.616755635287092</v>
      </c>
      <c r="H30" s="110">
        <f>ROUNDUP(G30/副本时间模板!$D$7,0)</f>
        <v>1</v>
      </c>
      <c r="I30" s="89"/>
      <c r="J30" s="100"/>
      <c r="K30" s="89"/>
      <c r="L30" s="89"/>
      <c r="O30" s="89">
        <v>6</v>
      </c>
      <c r="P30" s="110">
        <f>F30*副本时间模板!$C$75</f>
        <v>10.591721602509747</v>
      </c>
      <c r="Q30" s="111">
        <f>SUM($P$26:P30)</f>
        <v>44.411170423524723</v>
      </c>
      <c r="R30" s="110">
        <f>ROUNDUP(Q30/副本时间模板!$D$7,0)</f>
        <v>1</v>
      </c>
      <c r="T30" s="89">
        <v>6</v>
      </c>
      <c r="U30" s="110">
        <f>F30*副本时间模板!$D$89</f>
        <v>7.2383524135313468</v>
      </c>
      <c r="V30" s="111">
        <f>SUM($U$26:U30)</f>
        <v>30.350467533691607</v>
      </c>
      <c r="W30" s="110">
        <f>ROUNDUP(V30/副本时间模板!$D$7,0)</f>
        <v>1</v>
      </c>
      <c r="Y30" s="89">
        <v>6</v>
      </c>
      <c r="Z30" s="110">
        <f>F30*副本时间模板!$D$104</f>
        <v>5.4988977694284369</v>
      </c>
      <c r="AA30" s="111">
        <f>SUM($Z$26:Z30)</f>
        <v>23.056920786301561</v>
      </c>
      <c r="AB30" s="110">
        <f>ROUNDUP(AA30/副本时间模板!$D$7,0)</f>
        <v>1</v>
      </c>
    </row>
    <row r="31" spans="1:28">
      <c r="A31" s="70"/>
      <c r="B31" s="60"/>
      <c r="C31" s="60">
        <v>7</v>
      </c>
      <c r="D31" s="117">
        <f t="shared" si="2"/>
        <v>0.90625</v>
      </c>
      <c r="E31" s="71">
        <v>1.2</v>
      </c>
      <c r="F31" s="111">
        <f t="shared" si="1"/>
        <v>17.423076218231909</v>
      </c>
      <c r="G31" s="111">
        <f>SUM($F$26:F31)</f>
        <v>84.039831853519004</v>
      </c>
      <c r="H31" s="110">
        <f>ROUNDUP(G31/副本时间模板!$D$7,0)</f>
        <v>1</v>
      </c>
      <c r="I31" s="89"/>
      <c r="J31" s="100"/>
      <c r="K31" s="89"/>
      <c r="L31" s="89"/>
      <c r="O31" s="89">
        <v>7</v>
      </c>
      <c r="P31" s="110">
        <f>F31*副本时间模板!$C$75</f>
        <v>11.615384145487939</v>
      </c>
      <c r="Q31" s="111">
        <f>SUM($P$26:P31)</f>
        <v>56.02655456901266</v>
      </c>
      <c r="R31" s="110">
        <f>ROUNDUP(Q31/副本时间模板!$D$7,0)</f>
        <v>1</v>
      </c>
      <c r="T31" s="89">
        <v>7</v>
      </c>
      <c r="U31" s="110">
        <f>F31*副本时间模板!$D$89</f>
        <v>7.9379204834523014</v>
      </c>
      <c r="V31" s="111">
        <f>SUM($U$26:U31)</f>
        <v>38.288388017143909</v>
      </c>
      <c r="W31" s="110">
        <f>ROUNDUP(V31/副本时间模板!$D$7,0)</f>
        <v>1</v>
      </c>
      <c r="Y31" s="89">
        <v>7</v>
      </c>
      <c r="Z31" s="110">
        <f>F31*副本时间模板!$D$104</f>
        <v>6.0303520396101984</v>
      </c>
      <c r="AA31" s="111">
        <f>SUM($Z$26:Z31)</f>
        <v>29.087272825911761</v>
      </c>
      <c r="AB31" s="110">
        <f>ROUNDUP(AA31/副本时间模板!$D$7,0)</f>
        <v>1</v>
      </c>
    </row>
    <row r="32" spans="1:28">
      <c r="A32" s="70"/>
      <c r="B32" s="60"/>
      <c r="C32" s="60">
        <v>8</v>
      </c>
      <c r="D32" s="117">
        <f t="shared" si="2"/>
        <v>0.9375</v>
      </c>
      <c r="E32" s="71">
        <v>1.2</v>
      </c>
      <c r="F32" s="111">
        <f t="shared" si="1"/>
        <v>19.106971544921009</v>
      </c>
      <c r="G32" s="111">
        <f>SUM($F$26:F32)</f>
        <v>103.14680339844001</v>
      </c>
      <c r="H32" s="110">
        <f>ROUNDUP(G32/副本时间模板!$D$7,0)</f>
        <v>1</v>
      </c>
      <c r="I32" s="89"/>
      <c r="J32" s="100"/>
      <c r="K32" s="89"/>
      <c r="L32" s="89"/>
      <c r="O32" s="89">
        <v>8</v>
      </c>
      <c r="P32" s="110">
        <f>F32*副本时间模板!$C$75</f>
        <v>12.737981029947338</v>
      </c>
      <c r="Q32" s="111">
        <f>SUM($P$26:P32)</f>
        <v>68.764535598959995</v>
      </c>
      <c r="R32" s="110">
        <f>ROUNDUP(Q32/副本时间模板!$D$7,0)</f>
        <v>1</v>
      </c>
      <c r="T32" s="89">
        <v>8</v>
      </c>
      <c r="U32" s="110">
        <f>F32*副本时间模板!$D$89</f>
        <v>8.7051000009090327</v>
      </c>
      <c r="V32" s="111">
        <f>SUM($U$26:U32)</f>
        <v>46.993488018052943</v>
      </c>
      <c r="W32" s="110">
        <f>ROUNDUP(V32/副本时间模板!$D$7,0)</f>
        <v>1</v>
      </c>
      <c r="Y32" s="89">
        <v>8</v>
      </c>
      <c r="Z32" s="110">
        <f>F32*副本时间模板!$D$104</f>
        <v>6.6131699926857763</v>
      </c>
      <c r="AA32" s="111">
        <f>SUM($Z$26:Z32)</f>
        <v>35.700442818597537</v>
      </c>
      <c r="AB32" s="110">
        <f>ROUNDUP(AA32/副本时间模板!$D$7,0)</f>
        <v>1</v>
      </c>
    </row>
    <row r="33" spans="1:28">
      <c r="A33" s="70"/>
      <c r="B33" s="60"/>
      <c r="C33" s="60">
        <v>9</v>
      </c>
      <c r="D33" s="117">
        <f t="shared" si="2"/>
        <v>0.96875</v>
      </c>
      <c r="E33" s="71">
        <v>1.2</v>
      </c>
      <c r="F33" s="111">
        <f t="shared" si="1"/>
        <v>20.953611006786314</v>
      </c>
      <c r="G33" s="111">
        <f>SUM($F$26:F33)</f>
        <v>124.10041440522633</v>
      </c>
      <c r="H33" s="110">
        <f>ROUNDUP(G33/副本时间模板!$D$7,0)</f>
        <v>1</v>
      </c>
      <c r="I33" s="89"/>
      <c r="J33" s="100"/>
      <c r="K33" s="89"/>
      <c r="L33" s="89"/>
      <c r="O33" s="89">
        <v>9</v>
      </c>
      <c r="P33" s="110">
        <f>F33*副本时间模板!$C$75</f>
        <v>13.969074004524209</v>
      </c>
      <c r="Q33" s="111">
        <f>SUM($P$26:P33)</f>
        <v>82.733609603484211</v>
      </c>
      <c r="R33" s="110">
        <f>ROUNDUP(Q33/副本时间模板!$D$7,0)</f>
        <v>1</v>
      </c>
      <c r="T33" s="89">
        <v>9</v>
      </c>
      <c r="U33" s="110">
        <f>F33*副本时间模板!$D$89</f>
        <v>9.5464254377198401</v>
      </c>
      <c r="V33" s="111">
        <f>SUM($U$26:U33)</f>
        <v>56.539913455772783</v>
      </c>
      <c r="W33" s="110">
        <f>ROUNDUP(V33/副本时间模板!$D$7,0)</f>
        <v>1</v>
      </c>
      <c r="Y33" s="89">
        <v>9</v>
      </c>
      <c r="Z33" s="110">
        <f>F33*副本时间模板!$D$104</f>
        <v>7.2523157959757416</v>
      </c>
      <c r="AA33" s="111">
        <f>SUM($Z$26:Z33)</f>
        <v>42.952758614573277</v>
      </c>
      <c r="AB33" s="110">
        <f>ROUNDUP(AA33/副本时间模板!$D$7,0)</f>
        <v>1</v>
      </c>
    </row>
    <row r="34" spans="1:28">
      <c r="A34" s="70"/>
      <c r="B34" s="60"/>
      <c r="C34" s="60">
        <v>10</v>
      </c>
      <c r="D34" s="72">
        <v>1</v>
      </c>
      <c r="E34" s="71">
        <v>1.1000000000000001</v>
      </c>
      <c r="F34" s="111">
        <f t="shared" si="1"/>
        <v>21.063829787234042</v>
      </c>
      <c r="G34" s="111">
        <f>SUM($F$26:F34)</f>
        <v>145.16424419246039</v>
      </c>
      <c r="H34" s="110">
        <f>ROUNDUP(G34/副本时间模板!$D$7,0)</f>
        <v>1</v>
      </c>
      <c r="I34" s="89"/>
      <c r="J34" s="100"/>
      <c r="K34" s="89"/>
      <c r="L34" s="89"/>
      <c r="O34" s="89">
        <v>10</v>
      </c>
      <c r="P34" s="110">
        <f>F34*副本时间模板!$C$75</f>
        <v>14.042553191489361</v>
      </c>
      <c r="Q34" s="111">
        <f>SUM($P$26:P34)</f>
        <v>96.776162794973573</v>
      </c>
      <c r="R34" s="110">
        <f>ROUNDUP(Q34/副本时间模板!$D$7,0)</f>
        <v>1</v>
      </c>
      <c r="T34" s="89">
        <v>10</v>
      </c>
      <c r="U34" s="110">
        <f>F34*副本时间模板!$D$89</f>
        <v>9.5966409050700676</v>
      </c>
      <c r="V34" s="111">
        <f>SUM($U$26:U34)</f>
        <v>66.136554360842851</v>
      </c>
      <c r="W34" s="110">
        <f>ROUNDUP(V34/副本时间模板!$D$7,0)</f>
        <v>1</v>
      </c>
      <c r="Y34" s="89">
        <v>10</v>
      </c>
      <c r="Z34" s="110">
        <f>F34*副本时间模板!$D$104</f>
        <v>7.2904639415242745</v>
      </c>
      <c r="AA34" s="111">
        <f>SUM($Z$26:Z34)</f>
        <v>50.24322255609755</v>
      </c>
      <c r="AB34" s="110">
        <f>ROUNDUP(AA34/副本时间模板!$D$7,0)</f>
        <v>1</v>
      </c>
    </row>
    <row r="35" spans="1:28">
      <c r="A35" s="67" t="s">
        <v>86</v>
      </c>
      <c r="B35" s="110">
        <f>(B36+B26)/$F$22</f>
        <v>19.148936170212764</v>
      </c>
      <c r="C35" s="68">
        <v>11</v>
      </c>
      <c r="D35" s="118">
        <f>LOG(B35,B45)</f>
        <v>0.77700017884223427</v>
      </c>
      <c r="E35" s="71">
        <v>1.1000000000000001</v>
      </c>
      <c r="F35" s="111">
        <f t="shared" ref="F35:F44" si="3">$B$45^D35*E35</f>
        <v>21.063829787234042</v>
      </c>
      <c r="G35" s="111">
        <f>SUM($F$26:F35)</f>
        <v>166.22807397969444</v>
      </c>
      <c r="H35" s="110">
        <f>ROUNDUP(G35/副本时间模板!$D$7,0)</f>
        <v>2</v>
      </c>
      <c r="I35" s="89"/>
      <c r="J35" s="100"/>
      <c r="K35" s="89"/>
      <c r="L35" s="89"/>
      <c r="O35" s="68">
        <v>11</v>
      </c>
      <c r="P35" s="110">
        <f>F35*副本时间模板!$C$75</f>
        <v>14.042553191489361</v>
      </c>
      <c r="Q35" s="111">
        <f>SUM($P$26:P35)</f>
        <v>110.81871598646293</v>
      </c>
      <c r="R35" s="110">
        <f>ROUNDUP(Q35/副本时间模板!$D$7,0)</f>
        <v>1</v>
      </c>
      <c r="T35" s="68">
        <v>11</v>
      </c>
      <c r="U35" s="110">
        <f>F35*副本时间模板!$D$89</f>
        <v>9.5966409050700676</v>
      </c>
      <c r="V35" s="111">
        <f>SUM($U$26:U35)</f>
        <v>75.733195265912912</v>
      </c>
      <c r="W35" s="110">
        <f>ROUNDUP(V35/副本时间模板!$D$7,0)</f>
        <v>1</v>
      </c>
      <c r="Y35" s="68">
        <v>11</v>
      </c>
      <c r="Z35" s="110">
        <f>F35*副本时间模板!$D$104</f>
        <v>7.2904639415242745</v>
      </c>
      <c r="AA35" s="111">
        <f>SUM($Z$26:Z35)</f>
        <v>57.533686497621822</v>
      </c>
      <c r="AB35" s="110">
        <f>ROUNDUP(AA35/副本时间模板!$D$7,0)</f>
        <v>1</v>
      </c>
    </row>
    <row r="36" spans="1:28">
      <c r="A36" s="70" t="s">
        <v>397</v>
      </c>
      <c r="B36" s="114">
        <f>A14</f>
        <v>30</v>
      </c>
      <c r="C36" s="60">
        <v>12</v>
      </c>
      <c r="D36" s="117">
        <f>D35+$B$39</f>
        <v>0.80177793674865272</v>
      </c>
      <c r="E36" s="71">
        <v>1.05</v>
      </c>
      <c r="F36" s="111">
        <f t="shared" si="3"/>
        <v>22.091248452983045</v>
      </c>
      <c r="G36" s="111">
        <f>SUM($F$26:F36)</f>
        <v>188.3193224326775</v>
      </c>
      <c r="H36" s="110">
        <f>ROUNDUP(G36/副本时间模板!$D$7,0)</f>
        <v>2</v>
      </c>
      <c r="I36" s="89"/>
      <c r="J36" s="100"/>
      <c r="K36" s="89"/>
      <c r="L36" s="89"/>
      <c r="O36" s="89">
        <v>12</v>
      </c>
      <c r="P36" s="110">
        <f>F36*副本时间模板!$C$75</f>
        <v>14.727498968655363</v>
      </c>
      <c r="Q36" s="111">
        <f>SUM($P$26:P36)</f>
        <v>125.5462149551183</v>
      </c>
      <c r="R36" s="110">
        <f>ROUNDUP(Q36/副本时间模板!$D$7,0)</f>
        <v>1</v>
      </c>
      <c r="T36" s="89">
        <v>12</v>
      </c>
      <c r="U36" s="110">
        <f>F36*副本时间模板!$D$89</f>
        <v>10.064730900761877</v>
      </c>
      <c r="V36" s="111">
        <f>SUM($U$26:U36)</f>
        <v>85.797926166674785</v>
      </c>
      <c r="W36" s="110">
        <f>ROUNDUP(V36/副本时间模板!$D$7,0)</f>
        <v>1</v>
      </c>
      <c r="Y36" s="89">
        <v>12</v>
      </c>
      <c r="Z36" s="110">
        <f>F36*副本时间模板!$D$104</f>
        <v>7.6460668309870305</v>
      </c>
      <c r="AA36" s="111">
        <f>SUM($Z$26:Z36)</f>
        <v>65.179753328608854</v>
      </c>
      <c r="AB36" s="110">
        <f>ROUNDUP(AA36/副本时间模板!$D$7,0)</f>
        <v>1</v>
      </c>
    </row>
    <row r="37" spans="1:28">
      <c r="A37" s="70" t="s">
        <v>398</v>
      </c>
      <c r="B37" s="111">
        <f>SUM(F35:F44)</f>
        <v>309.83768917327632</v>
      </c>
      <c r="C37" s="60">
        <v>13</v>
      </c>
      <c r="D37" s="117">
        <f t="shared" ref="D37:D43" si="4">D36+$B$39</f>
        <v>0.82655569465507117</v>
      </c>
      <c r="E37" s="71">
        <v>1.02</v>
      </c>
      <c r="F37" s="111">
        <f t="shared" si="3"/>
        <v>23.578568907690343</v>
      </c>
      <c r="G37" s="111">
        <f>SUM($F$26:F37)</f>
        <v>211.89789134036783</v>
      </c>
      <c r="H37" s="110">
        <f>ROUNDUP(G37/副本时间模板!$D$7,0)</f>
        <v>2</v>
      </c>
      <c r="I37" s="100"/>
      <c r="J37" s="100"/>
      <c r="K37" s="89"/>
      <c r="L37" s="89"/>
      <c r="O37" s="89">
        <v>13</v>
      </c>
      <c r="P37" s="110">
        <f>F37*副本时间模板!$C$75</f>
        <v>15.719045938460228</v>
      </c>
      <c r="Q37" s="111">
        <f>SUM($P$26:P37)</f>
        <v>141.26526089357853</v>
      </c>
      <c r="R37" s="110">
        <f>ROUNDUP(Q37/副本时间模板!$D$7,0)</f>
        <v>1</v>
      </c>
      <c r="T37" s="89">
        <v>13</v>
      </c>
      <c r="U37" s="110">
        <f>F37*副本时间模板!$D$89</f>
        <v>10.742351279333391</v>
      </c>
      <c r="V37" s="111">
        <f>SUM($U$26:U37)</f>
        <v>96.540277446008176</v>
      </c>
      <c r="W37" s="110">
        <f>ROUNDUP(V37/副本时间模板!$D$7,0)</f>
        <v>1</v>
      </c>
      <c r="Y37" s="89">
        <v>13</v>
      </c>
      <c r="Z37" s="110">
        <f>F37*副本时间模板!$D$104</f>
        <v>8.1608476782528356</v>
      </c>
      <c r="AA37" s="111">
        <f>SUM($Z$26:Z37)</f>
        <v>73.340601006861689</v>
      </c>
      <c r="AB37" s="110">
        <f>ROUNDUP(AA37/副本时间模板!$D$7,0)</f>
        <v>1</v>
      </c>
    </row>
    <row r="38" spans="1:28">
      <c r="A38" s="70" t="s">
        <v>396</v>
      </c>
      <c r="B38" s="114">
        <f>B36*10</f>
        <v>300</v>
      </c>
      <c r="C38" s="60">
        <v>14</v>
      </c>
      <c r="D38" s="117">
        <f t="shared" si="4"/>
        <v>0.85133345256148962</v>
      </c>
      <c r="E38" s="71">
        <v>1.02</v>
      </c>
      <c r="F38" s="111">
        <f t="shared" si="3"/>
        <v>25.90620224715525</v>
      </c>
      <c r="G38" s="111">
        <f>SUM($F$26:F38)</f>
        <v>237.80409358752308</v>
      </c>
      <c r="H38" s="110">
        <f>ROUNDUP(G38/副本时间模板!$D$7,0)</f>
        <v>2</v>
      </c>
      <c r="I38" s="89"/>
      <c r="J38" s="100"/>
      <c r="K38" s="89"/>
      <c r="L38" s="89"/>
      <c r="O38" s="89">
        <v>14</v>
      </c>
      <c r="P38" s="110">
        <f>F38*副本时间模板!$C$75</f>
        <v>17.270801498103499</v>
      </c>
      <c r="Q38" s="111">
        <f>SUM($P$26:P38)</f>
        <v>158.53606239168204</v>
      </c>
      <c r="R38" s="110">
        <f>ROUNDUP(Q38/副本时间模板!$D$7,0)</f>
        <v>2</v>
      </c>
      <c r="T38" s="89">
        <v>14</v>
      </c>
      <c r="U38" s="110">
        <f>F38*副本时间模板!$D$89</f>
        <v>11.802816614609297</v>
      </c>
      <c r="V38" s="111">
        <f>SUM($U$26:U38)</f>
        <v>108.34309406061747</v>
      </c>
      <c r="W38" s="110">
        <f>ROUNDUP(V38/副本时间模板!$D$7,0)</f>
        <v>1</v>
      </c>
      <c r="Y38" s="89">
        <v>14</v>
      </c>
      <c r="Z38" s="110">
        <f>F38*副本时间模板!$D$104</f>
        <v>8.9664716840422862</v>
      </c>
      <c r="AA38" s="111">
        <f>SUM($Z$26:Z38)</f>
        <v>82.307072690903979</v>
      </c>
      <c r="AB38" s="110">
        <f>ROUNDUP(AA38/副本时间模板!$D$7,0)</f>
        <v>1</v>
      </c>
    </row>
    <row r="39" spans="1:28">
      <c r="A39" s="70" t="s">
        <v>394</v>
      </c>
      <c r="B39" s="110">
        <f>(D44-D35)/9</f>
        <v>2.4777757906418413E-2</v>
      </c>
      <c r="C39" s="60">
        <v>15</v>
      </c>
      <c r="D39" s="117">
        <f t="shared" si="4"/>
        <v>0.87611121046790807</v>
      </c>
      <c r="E39" s="71">
        <v>1.02</v>
      </c>
      <c r="F39" s="111">
        <f t="shared" si="3"/>
        <v>28.463615306678626</v>
      </c>
      <c r="G39" s="111">
        <f>SUM($F$26:F39)</f>
        <v>266.26770889420169</v>
      </c>
      <c r="H39" s="110">
        <f>ROUNDUP(G39/副本时间模板!$D$7,0)</f>
        <v>2</v>
      </c>
      <c r="I39" s="89"/>
      <c r="J39" s="100"/>
      <c r="K39" s="89"/>
      <c r="L39" s="89"/>
      <c r="O39" s="89">
        <v>15</v>
      </c>
      <c r="P39" s="110">
        <f>F39*副本时间模板!$C$75</f>
        <v>18.97574353778575</v>
      </c>
      <c r="Q39" s="111">
        <f>SUM($P$26:P39)</f>
        <v>177.51180592946778</v>
      </c>
      <c r="R39" s="110">
        <f>ROUNDUP(Q39/副本时间模板!$D$7,0)</f>
        <v>2</v>
      </c>
      <c r="T39" s="89">
        <v>15</v>
      </c>
      <c r="U39" s="110">
        <f>F39*副本时间模板!$D$89</f>
        <v>12.967969154583615</v>
      </c>
      <c r="V39" s="111">
        <f>SUM($U$26:U39)</f>
        <v>121.31106321520109</v>
      </c>
      <c r="W39" s="110">
        <f>ROUNDUP(V39/副本时间模板!$D$7,0)</f>
        <v>1</v>
      </c>
      <c r="Y39" s="89">
        <v>15</v>
      </c>
      <c r="Z39" s="110">
        <f>F39*副本时间模板!$D$104</f>
        <v>9.8516254230521927</v>
      </c>
      <c r="AA39" s="111">
        <f>SUM($Z$26:Z39)</f>
        <v>92.158698113956177</v>
      </c>
      <c r="AB39" s="110">
        <f>ROUNDUP(AA39/副本时间模板!$D$7,0)</f>
        <v>1</v>
      </c>
    </row>
    <row r="40" spans="1:28" s="60" customFormat="1">
      <c r="A40" s="70" t="s">
        <v>399</v>
      </c>
      <c r="B40" s="114">
        <f>B38/B37</f>
        <v>0.96824889444687734</v>
      </c>
      <c r="C40" s="60">
        <v>16</v>
      </c>
      <c r="D40" s="117">
        <f t="shared" si="4"/>
        <v>0.90088896837432653</v>
      </c>
      <c r="E40" s="71">
        <v>1.02</v>
      </c>
      <c r="F40" s="111">
        <f t="shared" si="3"/>
        <v>31.273491521342347</v>
      </c>
      <c r="G40" s="111">
        <f>SUM($F$26:F40)</f>
        <v>297.54120041554404</v>
      </c>
      <c r="H40" s="110">
        <f>ROUNDUP(G40/副本时间模板!$D$7,0)</f>
        <v>2</v>
      </c>
      <c r="I40" s="89"/>
      <c r="J40" s="100"/>
      <c r="K40" s="89"/>
      <c r="L40" s="89"/>
      <c r="O40" s="89">
        <v>16</v>
      </c>
      <c r="P40" s="110">
        <f>F40*副本时间模板!$C$75</f>
        <v>20.848994347561565</v>
      </c>
      <c r="Q40" s="111">
        <f>SUM($P$26:P40)</f>
        <v>198.36080027702934</v>
      </c>
      <c r="R40" s="110">
        <f>ROUNDUP(Q40/副本时间模板!$D$7,0)</f>
        <v>2</v>
      </c>
      <c r="T40" s="89">
        <v>16</v>
      </c>
      <c r="U40" s="110">
        <f>F40*副本时间模板!$D$89</f>
        <v>14.248143429262189</v>
      </c>
      <c r="V40" s="111">
        <f>SUM($U$26:U40)</f>
        <v>135.55920664446327</v>
      </c>
      <c r="W40" s="110">
        <f>ROUNDUP(V40/副本时间模板!$D$7,0)</f>
        <v>1</v>
      </c>
      <c r="Y40" s="89">
        <v>16</v>
      </c>
      <c r="Z40" s="110">
        <f>F40*副本时间模板!$D$104</f>
        <v>10.824159925565496</v>
      </c>
      <c r="AA40" s="111">
        <f>SUM($Z$26:Z40)</f>
        <v>102.98285803952167</v>
      </c>
      <c r="AB40" s="110">
        <f>ROUNDUP(AA40/副本时间模板!$D$7,0)</f>
        <v>1</v>
      </c>
    </row>
    <row r="41" spans="1:28">
      <c r="A41" s="70"/>
      <c r="C41" s="60">
        <v>17</v>
      </c>
      <c r="D41" s="117">
        <f t="shared" si="4"/>
        <v>0.92566672628074498</v>
      </c>
      <c r="E41" s="71">
        <v>1.02</v>
      </c>
      <c r="F41" s="111">
        <f t="shared" si="3"/>
        <v>34.360753593588271</v>
      </c>
      <c r="G41" s="111">
        <f>SUM($F$26:F41)</f>
        <v>331.90195400913228</v>
      </c>
      <c r="H41" s="110">
        <f>ROUNDUP(G41/副本时间模板!$D$7,0)</f>
        <v>3</v>
      </c>
      <c r="I41" s="89"/>
      <c r="J41" s="100"/>
      <c r="K41" s="89"/>
      <c r="L41" s="89"/>
      <c r="O41" s="89">
        <v>17</v>
      </c>
      <c r="P41" s="110">
        <f>F41*副本时间模板!$C$75</f>
        <v>22.907169062392178</v>
      </c>
      <c r="Q41" s="111">
        <f>SUM($P$26:P41)</f>
        <v>221.26796933942151</v>
      </c>
      <c r="R41" s="110">
        <f>ROUNDUP(Q41/副本时间模板!$D$7,0)</f>
        <v>2</v>
      </c>
      <c r="T41" s="89">
        <v>17</v>
      </c>
      <c r="U41" s="110">
        <f>F41*副本时间模板!$D$89</f>
        <v>15.654694174613473</v>
      </c>
      <c r="V41" s="111">
        <f>SUM($U$26:U41)</f>
        <v>151.21390081907674</v>
      </c>
      <c r="W41" s="110">
        <f>ROUNDUP(V41/副本时间模板!$D$7,0)</f>
        <v>2</v>
      </c>
      <c r="Y41" s="89">
        <v>17</v>
      </c>
      <c r="Z41" s="110">
        <f>F41*副本时间模板!$D$104</f>
        <v>11.892701261262454</v>
      </c>
      <c r="AA41" s="111">
        <f>SUM($Z$26:Z41)</f>
        <v>114.87555930078413</v>
      </c>
      <c r="AB41" s="110">
        <f>ROUNDUP(AA41/副本时间模板!$D$7,0)</f>
        <v>1</v>
      </c>
    </row>
    <row r="42" spans="1:28">
      <c r="A42" s="70"/>
      <c r="C42" s="60">
        <v>18</v>
      </c>
      <c r="D42" s="117">
        <f t="shared" si="4"/>
        <v>0.95044448418716343</v>
      </c>
      <c r="E42" s="71">
        <v>1.02</v>
      </c>
      <c r="F42" s="111">
        <f t="shared" si="3"/>
        <v>37.752784549609913</v>
      </c>
      <c r="G42" s="111">
        <f>SUM($F$26:F42)</f>
        <v>369.65473855874222</v>
      </c>
      <c r="H42" s="110">
        <f>ROUNDUP(G42/副本时间模板!$D$7,0)</f>
        <v>3</v>
      </c>
      <c r="I42" s="89"/>
      <c r="J42" s="100"/>
      <c r="K42" s="89"/>
      <c r="L42" s="89"/>
      <c r="O42" s="89">
        <v>18</v>
      </c>
      <c r="P42" s="110">
        <f>F42*副本时间模板!$C$75</f>
        <v>25.168523033073274</v>
      </c>
      <c r="Q42" s="111">
        <f>SUM($P$26:P42)</f>
        <v>246.4364923724948</v>
      </c>
      <c r="R42" s="110">
        <f>ROUNDUP(Q42/副本时间模板!$D$7,0)</f>
        <v>2</v>
      </c>
      <c r="T42" s="89">
        <v>18</v>
      </c>
      <c r="U42" s="110">
        <f>F42*副本时间模板!$D$89</f>
        <v>17.20009704544135</v>
      </c>
      <c r="V42" s="111">
        <f>SUM($U$26:U42)</f>
        <v>168.41399786451808</v>
      </c>
      <c r="W42" s="110">
        <f>ROUNDUP(V42/副本时间模板!$D$7,0)</f>
        <v>2</v>
      </c>
      <c r="Y42" s="89">
        <v>18</v>
      </c>
      <c r="Z42" s="110">
        <f>F42*副本时间模板!$D$104</f>
        <v>13.066727049697066</v>
      </c>
      <c r="AA42" s="111">
        <f>SUM($Z$26:Z42)</f>
        <v>127.9422863504812</v>
      </c>
      <c r="AB42" s="110">
        <f>ROUNDUP(AA42/副本时间模板!$D$7,0)</f>
        <v>1</v>
      </c>
    </row>
    <row r="43" spans="1:28">
      <c r="A43" s="70"/>
      <c r="B43" s="60"/>
      <c r="C43" s="60">
        <v>19</v>
      </c>
      <c r="D43" s="117">
        <f t="shared" si="4"/>
        <v>0.97522224209358188</v>
      </c>
      <c r="E43" s="71">
        <v>1</v>
      </c>
      <c r="F43" s="111">
        <f t="shared" si="3"/>
        <v>40.666343743164724</v>
      </c>
      <c r="G43" s="111">
        <f>SUM($F$26:F43)</f>
        <v>410.32108230190693</v>
      </c>
      <c r="H43" s="110">
        <f>ROUNDUP(G43/副本时间模板!$D$7,0)</f>
        <v>3</v>
      </c>
      <c r="I43" s="89"/>
      <c r="J43" s="100"/>
      <c r="K43" s="89"/>
      <c r="L43" s="89"/>
      <c r="O43" s="89">
        <v>19</v>
      </c>
      <c r="P43" s="110">
        <f>F43*副本时间模板!$C$75</f>
        <v>27.110895828776481</v>
      </c>
      <c r="Q43" s="111">
        <f>SUM($P$26:P43)</f>
        <v>273.5473882012713</v>
      </c>
      <c r="R43" s="110">
        <f>ROUNDUP(Q43/副本时间模板!$D$7,0)</f>
        <v>2</v>
      </c>
      <c r="T43" s="89">
        <v>19</v>
      </c>
      <c r="U43" s="110">
        <f>F43*副本时间模板!$D$89</f>
        <v>18.527509088675611</v>
      </c>
      <c r="V43" s="111">
        <f>SUM($U$26:U43)</f>
        <v>186.94150695319368</v>
      </c>
      <c r="W43" s="110">
        <f>ROUNDUP(V43/副本时间模板!$D$7,0)</f>
        <v>2</v>
      </c>
      <c r="Y43" s="89">
        <v>19</v>
      </c>
      <c r="Z43" s="110">
        <f>F43*副本时间模板!$D$104</f>
        <v>14.075147572302187</v>
      </c>
      <c r="AA43" s="111">
        <f>SUM($Z$26:Z43)</f>
        <v>142.0174339227834</v>
      </c>
      <c r="AB43" s="110">
        <f>ROUNDUP(AA43/副本时间模板!$D$7,0)</f>
        <v>1</v>
      </c>
    </row>
    <row r="44" spans="1:28">
      <c r="A44" s="70"/>
      <c r="B44" s="60"/>
      <c r="C44" s="60">
        <v>20</v>
      </c>
      <c r="D44" s="72">
        <v>1</v>
      </c>
      <c r="E44" s="71">
        <v>1</v>
      </c>
      <c r="F44" s="111">
        <f t="shared" si="3"/>
        <v>44.680851063829785</v>
      </c>
      <c r="G44" s="111">
        <f>SUM($F$26:F44)</f>
        <v>455.0019333657367</v>
      </c>
      <c r="H44" s="110">
        <f>ROUNDUP(G44/副本时间模板!$D$7,0)</f>
        <v>4</v>
      </c>
      <c r="I44" s="89"/>
      <c r="J44" s="100"/>
      <c r="K44" s="89"/>
      <c r="L44" s="89"/>
      <c r="O44" s="89">
        <v>20</v>
      </c>
      <c r="P44" s="110">
        <f>F44*副本时间模板!$C$75</f>
        <v>29.787234042553187</v>
      </c>
      <c r="Q44" s="111">
        <f>SUM($P$26:P44)</f>
        <v>303.33462224382447</v>
      </c>
      <c r="R44" s="110">
        <f>ROUNDUP(Q44/副本时间模板!$D$7,0)</f>
        <v>3</v>
      </c>
      <c r="T44" s="89">
        <v>20</v>
      </c>
      <c r="U44" s="110">
        <f>F44*副本时间模板!$D$89</f>
        <v>20.356511010754687</v>
      </c>
      <c r="V44" s="111">
        <f>SUM($U$26:U44)</f>
        <v>207.29801796394838</v>
      </c>
      <c r="W44" s="110">
        <f>ROUNDUP(V44/副本时间模板!$D$7,0)</f>
        <v>2</v>
      </c>
      <c r="Y44" s="89">
        <v>20</v>
      </c>
      <c r="Z44" s="110">
        <f>F44*副本时间模板!$D$104</f>
        <v>15.464620482021189</v>
      </c>
      <c r="AA44" s="111">
        <f>SUM($Z$26:Z44)</f>
        <v>157.48205440480459</v>
      </c>
      <c r="AB44" s="110">
        <f>ROUNDUP(AA44/副本时间模板!$D$7,0)</f>
        <v>2</v>
      </c>
    </row>
    <row r="45" spans="1:28">
      <c r="A45" s="67" t="s">
        <v>370</v>
      </c>
      <c r="B45" s="110">
        <f>(B46+B36)/$F$22</f>
        <v>44.680851063829785</v>
      </c>
      <c r="C45" s="68">
        <v>21</v>
      </c>
      <c r="D45" s="118">
        <f>LOG(B45,B55)</f>
        <v>0.72305733806619477</v>
      </c>
      <c r="E45" s="71">
        <v>1</v>
      </c>
      <c r="F45" s="111">
        <f t="shared" ref="F45:F54" si="5">$B$55^D45*E45</f>
        <v>44.680851063829813</v>
      </c>
      <c r="G45" s="111">
        <f>SUM($F$26:F45)</f>
        <v>499.68278442956654</v>
      </c>
      <c r="H45" s="110">
        <f>ROUNDUP(G45/副本时间模板!$D$7,0)</f>
        <v>4</v>
      </c>
      <c r="I45" s="89"/>
      <c r="J45" s="100"/>
      <c r="K45" s="89"/>
      <c r="L45" s="89"/>
      <c r="O45" s="68">
        <v>21</v>
      </c>
      <c r="P45" s="110">
        <f>F45*副本时间模板!$C$75</f>
        <v>29.787234042553209</v>
      </c>
      <c r="Q45" s="111">
        <f>SUM($P$26:P45)</f>
        <v>333.12185628637769</v>
      </c>
      <c r="R45" s="110">
        <f>ROUNDUP(Q45/副本时间模板!$D$7,0)</f>
        <v>3</v>
      </c>
      <c r="T45" s="68">
        <v>21</v>
      </c>
      <c r="U45" s="110">
        <f>F45*副本时间模板!$D$89</f>
        <v>20.356511010754701</v>
      </c>
      <c r="V45" s="111">
        <f>SUM($U$26:U45)</f>
        <v>227.65452897470308</v>
      </c>
      <c r="W45" s="110">
        <f>ROUNDUP(V45/副本时间模板!$D$7,0)</f>
        <v>2</v>
      </c>
      <c r="Y45" s="68">
        <v>21</v>
      </c>
      <c r="Z45" s="110">
        <f>F45*副本时间模板!$D$104</f>
        <v>15.464620482021198</v>
      </c>
      <c r="AA45" s="111">
        <f>SUM($Z$26:Z45)</f>
        <v>172.94667488682578</v>
      </c>
      <c r="AB45" s="110">
        <f>ROUNDUP(AA45/副本时间模板!$D$7,0)</f>
        <v>2</v>
      </c>
    </row>
    <row r="46" spans="1:28">
      <c r="A46" s="70" t="s">
        <v>397</v>
      </c>
      <c r="B46" s="110">
        <f>A15</f>
        <v>75</v>
      </c>
      <c r="C46" s="60">
        <v>22</v>
      </c>
      <c r="D46" s="117">
        <f>D45+$B$49</f>
        <v>0.75382874494772867</v>
      </c>
      <c r="E46" s="71">
        <v>0.9</v>
      </c>
      <c r="F46" s="111">
        <f t="shared" si="5"/>
        <v>47.270342374978014</v>
      </c>
      <c r="G46" s="111">
        <f>SUM($F$26:F46)</f>
        <v>546.95312680454458</v>
      </c>
      <c r="H46" s="110">
        <f>ROUNDUP(G46/副本时间模板!$D$7,0)</f>
        <v>4</v>
      </c>
      <c r="I46" s="89"/>
      <c r="J46" s="100"/>
      <c r="K46" s="89"/>
      <c r="L46" s="89"/>
      <c r="O46" s="89">
        <v>22</v>
      </c>
      <c r="P46" s="110">
        <f>F46*副本时间模板!$C$75</f>
        <v>31.513561583318676</v>
      </c>
      <c r="Q46" s="111">
        <f>SUM($P$26:P46)</f>
        <v>364.63541786969637</v>
      </c>
      <c r="R46" s="110">
        <f>ROUNDUP(Q46/副本时间模板!$D$7,0)</f>
        <v>3</v>
      </c>
      <c r="T46" s="89">
        <v>22</v>
      </c>
      <c r="U46" s="110">
        <f>F46*副本时间模板!$D$89</f>
        <v>21.536278341335258</v>
      </c>
      <c r="V46" s="111">
        <f>SUM($U$26:U46)</f>
        <v>249.19080731603833</v>
      </c>
      <c r="W46" s="110">
        <f>ROUNDUP(V46/副本时间模板!$D$7,0)</f>
        <v>2</v>
      </c>
      <c r="Y46" s="89">
        <v>22</v>
      </c>
      <c r="Z46" s="110">
        <f>F46*副本时间模板!$D$104</f>
        <v>16.360876918837732</v>
      </c>
      <c r="AA46" s="111">
        <f>SUM($Z$26:Z46)</f>
        <v>189.30755180566351</v>
      </c>
      <c r="AB46" s="110">
        <f>ROUNDUP(AA46/副本时间模板!$D$7,0)</f>
        <v>2</v>
      </c>
    </row>
    <row r="47" spans="1:28">
      <c r="A47" s="70" t="s">
        <v>398</v>
      </c>
      <c r="B47" s="111">
        <f>SUM(F45:F54)</f>
        <v>753.29564634857002</v>
      </c>
      <c r="C47" s="60">
        <v>23</v>
      </c>
      <c r="D47" s="117">
        <f t="shared" ref="D47:D53" si="6">D46+$B$49</f>
        <v>0.78460015182926257</v>
      </c>
      <c r="E47" s="71">
        <v>0.8</v>
      </c>
      <c r="F47" s="111">
        <f t="shared" si="5"/>
        <v>49.392502108237103</v>
      </c>
      <c r="G47" s="111">
        <f>SUM($F$26:F47)</f>
        <v>596.34562891278165</v>
      </c>
      <c r="H47" s="110">
        <f>ROUNDUP(G47/副本时间模板!$D$7,0)</f>
        <v>4</v>
      </c>
      <c r="I47" s="100"/>
      <c r="J47" s="100"/>
      <c r="K47" s="89"/>
      <c r="L47" s="89"/>
      <c r="O47" s="89">
        <v>23</v>
      </c>
      <c r="P47" s="110">
        <f>F47*副本时间模板!$C$75</f>
        <v>32.928334738824731</v>
      </c>
      <c r="Q47" s="111">
        <f>SUM($P$26:P47)</f>
        <v>397.5637526085211</v>
      </c>
      <c r="R47" s="110">
        <f>ROUNDUP(Q47/副本时间模板!$D$7,0)</f>
        <v>3</v>
      </c>
      <c r="T47" s="89">
        <v>23</v>
      </c>
      <c r="U47" s="110">
        <f>F47*副本时间模板!$D$89</f>
        <v>22.503130291289278</v>
      </c>
      <c r="V47" s="111">
        <f>SUM($U$26:U47)</f>
        <v>271.6939376073276</v>
      </c>
      <c r="W47" s="110">
        <f>ROUNDUP(V47/副本时间模板!$D$7,0)</f>
        <v>2</v>
      </c>
      <c r="Y47" s="89">
        <v>23</v>
      </c>
      <c r="Z47" s="110">
        <f>F47*副本时间模板!$D$104</f>
        <v>17.095383851800932</v>
      </c>
      <c r="AA47" s="111">
        <f>SUM($Z$26:Z47)</f>
        <v>206.40293565746444</v>
      </c>
      <c r="AB47" s="110">
        <f>ROUNDUP(AA47/副本时间模板!$D$7,0)</f>
        <v>2</v>
      </c>
    </row>
    <row r="48" spans="1:28">
      <c r="A48" s="70" t="s">
        <v>396</v>
      </c>
      <c r="B48" s="114">
        <f>B46*10</f>
        <v>750</v>
      </c>
      <c r="C48" s="60">
        <v>24</v>
      </c>
      <c r="D48" s="117">
        <f t="shared" si="6"/>
        <v>0.81537155871079647</v>
      </c>
      <c r="E48" s="71">
        <v>0.75</v>
      </c>
      <c r="F48" s="111">
        <f t="shared" si="5"/>
        <v>54.432352586517808</v>
      </c>
      <c r="G48" s="111">
        <f>SUM($F$26:F48)</f>
        <v>650.77798149929947</v>
      </c>
      <c r="H48" s="110">
        <f>ROUNDUP(G48/副本时间模板!$D$7,0)</f>
        <v>5</v>
      </c>
      <c r="I48" s="89"/>
      <c r="J48" s="100"/>
      <c r="K48" s="89"/>
      <c r="L48" s="89"/>
      <c r="O48" s="89">
        <v>24</v>
      </c>
      <c r="P48" s="110">
        <f>F48*副本时间模板!$C$75</f>
        <v>36.288235057678534</v>
      </c>
      <c r="Q48" s="111">
        <f>SUM($P$26:P48)</f>
        <v>433.85198766619965</v>
      </c>
      <c r="R48" s="110">
        <f>ROUNDUP(Q48/副本时间模板!$D$7,0)</f>
        <v>3</v>
      </c>
      <c r="T48" s="89">
        <v>24</v>
      </c>
      <c r="U48" s="110">
        <f>F48*副本时间模板!$D$89</f>
        <v>24.799276611490651</v>
      </c>
      <c r="V48" s="111">
        <f>SUM($U$26:U48)</f>
        <v>296.49321421881825</v>
      </c>
      <c r="W48" s="110">
        <f>ROUNDUP(V48/副本时间模板!$D$7,0)</f>
        <v>2</v>
      </c>
      <c r="Y48" s="89">
        <v>24</v>
      </c>
      <c r="Z48" s="110">
        <f>F48*副本时间模板!$D$104</f>
        <v>18.839741290771872</v>
      </c>
      <c r="AA48" s="111">
        <f>SUM($Z$26:Z48)</f>
        <v>225.24267694823632</v>
      </c>
      <c r="AB48" s="110">
        <f>ROUNDUP(AA48/副本时间模板!$D$7,0)</f>
        <v>2</v>
      </c>
    </row>
    <row r="49" spans="1:28">
      <c r="A49" s="70" t="s">
        <v>394</v>
      </c>
      <c r="B49" s="110">
        <f>(D54-D45)/9</f>
        <v>3.0771406881533916E-2</v>
      </c>
      <c r="C49" s="60">
        <v>25</v>
      </c>
      <c r="D49" s="117">
        <f t="shared" si="6"/>
        <v>0.84614296559233038</v>
      </c>
      <c r="E49" s="71">
        <v>0.7</v>
      </c>
      <c r="F49" s="111">
        <f t="shared" si="5"/>
        <v>59.71984657920499</v>
      </c>
      <c r="G49" s="111">
        <f>SUM($F$26:F49)</f>
        <v>710.49782807850443</v>
      </c>
      <c r="H49" s="110">
        <f>ROUNDUP(G49/副本时间模板!$D$7,0)</f>
        <v>5</v>
      </c>
      <c r="I49" s="89"/>
      <c r="J49" s="100"/>
      <c r="K49" s="89"/>
      <c r="L49" s="89"/>
      <c r="O49" s="89">
        <v>25</v>
      </c>
      <c r="P49" s="110">
        <f>F49*副本时间模板!$C$75</f>
        <v>39.813231052803324</v>
      </c>
      <c r="Q49" s="111">
        <f>SUM($P$26:P49)</f>
        <v>473.66521871900295</v>
      </c>
      <c r="R49" s="110">
        <f>ROUNDUP(Q49/副本时间模板!$D$7,0)</f>
        <v>4</v>
      </c>
      <c r="T49" s="89">
        <v>25</v>
      </c>
      <c r="U49" s="110">
        <f>F49*副本时间模板!$D$89</f>
        <v>27.208248847218027</v>
      </c>
      <c r="V49" s="111">
        <f>SUM($U$26:U49)</f>
        <v>323.7014630660363</v>
      </c>
      <c r="W49" s="110">
        <f>ROUNDUP(V49/副本时间模板!$D$7,0)</f>
        <v>3</v>
      </c>
      <c r="Y49" s="89">
        <v>25</v>
      </c>
      <c r="Z49" s="110">
        <f>F49*副本时间模板!$D$104</f>
        <v>20.669811353248104</v>
      </c>
      <c r="AA49" s="111">
        <f>SUM($Z$26:Z49)</f>
        <v>245.91248830148442</v>
      </c>
      <c r="AB49" s="110">
        <f>ROUNDUP(AA49/副本时间模板!$D$7,0)</f>
        <v>2</v>
      </c>
    </row>
    <row r="50" spans="1:28">
      <c r="A50" s="70" t="s">
        <v>399</v>
      </c>
      <c r="B50" s="114">
        <f>B48/B47</f>
        <v>0.99562502934333297</v>
      </c>
      <c r="C50" s="60">
        <v>26</v>
      </c>
      <c r="D50" s="117">
        <f t="shared" si="6"/>
        <v>0.87691437247386428</v>
      </c>
      <c r="E50" s="71">
        <v>0.7</v>
      </c>
      <c r="F50" s="111">
        <f t="shared" si="5"/>
        <v>70.201030124798052</v>
      </c>
      <c r="G50" s="111">
        <f>SUM($F$26:F50)</f>
        <v>780.69885820330251</v>
      </c>
      <c r="H50" s="110">
        <f>ROUNDUP(G50/副本时间模板!$D$7,0)</f>
        <v>6</v>
      </c>
      <c r="I50" s="89"/>
      <c r="J50" s="100"/>
      <c r="K50" s="89"/>
      <c r="L50" s="89"/>
      <c r="O50" s="89">
        <v>26</v>
      </c>
      <c r="P50" s="110">
        <f>F50*副本时间模板!$C$75</f>
        <v>46.800686749865363</v>
      </c>
      <c r="Q50" s="111">
        <f>SUM($P$26:P50)</f>
        <v>520.4659054688683</v>
      </c>
      <c r="R50" s="110">
        <f>ROUNDUP(Q50/副本时间模板!$D$7,0)</f>
        <v>4</v>
      </c>
      <c r="T50" s="89">
        <v>26</v>
      </c>
      <c r="U50" s="110">
        <f>F50*副本时间模板!$D$89</f>
        <v>31.98345619380159</v>
      </c>
      <c r="V50" s="111">
        <f>SUM($U$26:U50)</f>
        <v>355.6849192598379</v>
      </c>
      <c r="W50" s="110">
        <f>ROUNDUP(V50/副本时间模板!$D$7,0)</f>
        <v>3</v>
      </c>
      <c r="Y50" s="89">
        <v>26</v>
      </c>
      <c r="Z50" s="110">
        <f>F50*副本时间模板!$D$104</f>
        <v>24.297484548269576</v>
      </c>
      <c r="AA50" s="111">
        <f>SUM($Z$26:Z50)</f>
        <v>270.20997284975397</v>
      </c>
      <c r="AB50" s="110">
        <f>ROUNDUP(AA50/副本时间模板!$D$7,0)</f>
        <v>2</v>
      </c>
    </row>
    <row r="51" spans="1:28">
      <c r="A51" s="70"/>
      <c r="B51" s="60"/>
      <c r="C51" s="60">
        <v>27</v>
      </c>
      <c r="D51" s="117">
        <f t="shared" si="6"/>
        <v>0.90768577935539818</v>
      </c>
      <c r="E51" s="71">
        <v>0.7</v>
      </c>
      <c r="F51" s="111">
        <f t="shared" si="5"/>
        <v>82.521722892349985</v>
      </c>
      <c r="G51" s="111">
        <f>SUM($F$26:F51)</f>
        <v>863.22058109565251</v>
      </c>
      <c r="H51" s="110">
        <f>ROUNDUP(G51/副本时间模板!$D$7,0)</f>
        <v>6</v>
      </c>
      <c r="I51" s="89"/>
      <c r="J51" s="100"/>
      <c r="K51" s="89"/>
      <c r="L51" s="89"/>
      <c r="O51" s="89">
        <v>27</v>
      </c>
      <c r="P51" s="110">
        <f>F51*副本时间模板!$C$75</f>
        <v>55.014481928233323</v>
      </c>
      <c r="Q51" s="111">
        <f>SUM($P$26:P51)</f>
        <v>575.48038739710159</v>
      </c>
      <c r="R51" s="110">
        <f>ROUNDUP(Q51/副本时间模板!$D$7,0)</f>
        <v>4</v>
      </c>
      <c r="T51" s="89">
        <v>27</v>
      </c>
      <c r="U51" s="110">
        <f>F51*副本时间模板!$D$89</f>
        <v>37.596740453416558</v>
      </c>
      <c r="V51" s="111">
        <f>SUM($U$26:U51)</f>
        <v>393.28165971325444</v>
      </c>
      <c r="W51" s="110">
        <f>ROUNDUP(V51/副本时间模板!$D$7,0)</f>
        <v>3</v>
      </c>
      <c r="Y51" s="89">
        <v>27</v>
      </c>
      <c r="Z51" s="110">
        <f>F51*副本时间模板!$D$104</f>
        <v>28.561835678322613</v>
      </c>
      <c r="AA51" s="111">
        <f>SUM($Z$26:Z51)</f>
        <v>298.77180852807658</v>
      </c>
      <c r="AB51" s="110">
        <f>ROUNDUP(AA51/副本时间模板!$D$7,0)</f>
        <v>2</v>
      </c>
    </row>
    <row r="52" spans="1:28">
      <c r="A52" s="70"/>
      <c r="B52" s="60"/>
      <c r="C52" s="60">
        <v>28</v>
      </c>
      <c r="D52" s="117">
        <f t="shared" si="6"/>
        <v>0.93845718623693208</v>
      </c>
      <c r="E52" s="71">
        <v>0.7</v>
      </c>
      <c r="F52" s="111">
        <f t="shared" si="5"/>
        <v>97.004769545628989</v>
      </c>
      <c r="G52" s="111">
        <f>SUM($F$26:F52)</f>
        <v>960.22535064128147</v>
      </c>
      <c r="H52" s="110">
        <f>ROUNDUP(G52/副本时间模板!$D$7,0)</f>
        <v>7</v>
      </c>
      <c r="I52" s="89"/>
      <c r="J52" s="100"/>
      <c r="K52" s="89"/>
      <c r="L52" s="89"/>
      <c r="O52" s="89">
        <v>28</v>
      </c>
      <c r="P52" s="110">
        <f>F52*副本时间模板!$C$75</f>
        <v>64.669846363752654</v>
      </c>
      <c r="Q52" s="111">
        <f>SUM($P$26:P52)</f>
        <v>640.15023376085423</v>
      </c>
      <c r="R52" s="110">
        <f>ROUNDUP(Q52/副本时间模板!$D$7,0)</f>
        <v>5</v>
      </c>
      <c r="T52" s="89">
        <v>28</v>
      </c>
      <c r="U52" s="110">
        <f>F52*副本时间模板!$D$89</f>
        <v>44.195189042624726</v>
      </c>
      <c r="V52" s="111">
        <f>SUM($U$26:U52)</f>
        <v>437.47684875587919</v>
      </c>
      <c r="W52" s="110">
        <f>ROUNDUP(V52/副本时间模板!$D$7,0)</f>
        <v>3</v>
      </c>
      <c r="Y52" s="89">
        <v>28</v>
      </c>
      <c r="Z52" s="110">
        <f>F52*副本时间模板!$D$104</f>
        <v>33.574605457403209</v>
      </c>
      <c r="AA52" s="111">
        <f>SUM($Z$26:Z52)</f>
        <v>332.34641398547978</v>
      </c>
      <c r="AB52" s="110">
        <f>ROUNDUP(AA52/副本时间模板!$D$7,0)</f>
        <v>3</v>
      </c>
    </row>
    <row r="53" spans="1:28">
      <c r="A53" s="70"/>
      <c r="B53" s="60"/>
      <c r="C53" s="60">
        <v>29</v>
      </c>
      <c r="D53" s="117">
        <f t="shared" si="6"/>
        <v>0.96922859311846599</v>
      </c>
      <c r="E53" s="71">
        <v>0.7</v>
      </c>
      <c r="F53" s="111">
        <f t="shared" si="5"/>
        <v>114.02967588153587</v>
      </c>
      <c r="G53" s="111">
        <f>SUM($F$26:F53)</f>
        <v>1074.2550265228174</v>
      </c>
      <c r="H53" s="110">
        <f>ROUNDUP(G53/副本时间模板!$D$7,0)</f>
        <v>8</v>
      </c>
      <c r="I53" s="89"/>
      <c r="J53" s="100"/>
      <c r="K53" s="89"/>
      <c r="L53" s="89"/>
      <c r="O53" s="89">
        <v>29</v>
      </c>
      <c r="P53" s="110">
        <f>F53*副本时间模板!$C$75</f>
        <v>76.019783921023901</v>
      </c>
      <c r="Q53" s="111">
        <f>SUM($P$26:P53)</f>
        <v>716.17001768187811</v>
      </c>
      <c r="R53" s="110">
        <f>ROUNDUP(Q53/副本时间模板!$D$7,0)</f>
        <v>5</v>
      </c>
      <c r="T53" s="89">
        <v>29</v>
      </c>
      <c r="U53" s="110">
        <f>F53*副本时间模板!$D$89</f>
        <v>51.951704082789448</v>
      </c>
      <c r="V53" s="111">
        <f>SUM($U$26:U53)</f>
        <v>489.42855283866862</v>
      </c>
      <c r="W53" s="110">
        <f>ROUNDUP(V53/副本时间模板!$D$7,0)</f>
        <v>4</v>
      </c>
      <c r="Y53" s="89">
        <v>29</v>
      </c>
      <c r="Z53" s="110">
        <f>F53*副本时间模板!$D$104</f>
        <v>39.467145750573501</v>
      </c>
      <c r="AA53" s="111">
        <f>SUM($Z$26:Z53)</f>
        <v>371.81355973605326</v>
      </c>
      <c r="AB53" s="110">
        <f>ROUNDUP(AA53/副本时间模板!$D$7,0)</f>
        <v>3</v>
      </c>
    </row>
    <row r="54" spans="1:28">
      <c r="A54" s="60"/>
      <c r="B54" s="60"/>
      <c r="C54" s="60">
        <v>30</v>
      </c>
      <c r="D54" s="72">
        <v>1</v>
      </c>
      <c r="E54" s="71">
        <v>0.7</v>
      </c>
      <c r="F54" s="111">
        <f t="shared" si="5"/>
        <v>134.04255319148933</v>
      </c>
      <c r="G54" s="111">
        <f>SUM($F$26:F54)</f>
        <v>1208.2975797143067</v>
      </c>
      <c r="H54" s="110">
        <f>ROUNDUP(G54/副本时间模板!$D$7,0)</f>
        <v>9</v>
      </c>
      <c r="I54" s="89"/>
      <c r="J54" s="100"/>
      <c r="K54" s="89"/>
      <c r="L54" s="89"/>
      <c r="O54" s="89">
        <v>30</v>
      </c>
      <c r="P54" s="110">
        <f>F54*副本时间模板!$C$75</f>
        <v>89.361702127659555</v>
      </c>
      <c r="Q54" s="111">
        <f>SUM($P$26:P54)</f>
        <v>805.53171980953766</v>
      </c>
      <c r="R54" s="110">
        <f>ROUNDUP(Q54/副本时间模板!$D$7,0)</f>
        <v>6</v>
      </c>
      <c r="T54" s="89">
        <v>30</v>
      </c>
      <c r="U54" s="110">
        <f>F54*副本时间模板!$D$89</f>
        <v>61.069533032264054</v>
      </c>
      <c r="V54" s="111">
        <f>SUM($U$26:U54)</f>
        <v>550.49808587093264</v>
      </c>
      <c r="W54" s="110">
        <f>ROUNDUP(V54/副本时间模板!$D$7,0)</f>
        <v>4</v>
      </c>
      <c r="Y54" s="89">
        <v>30</v>
      </c>
      <c r="Z54" s="110">
        <f>F54*副本时间模板!$D$104</f>
        <v>46.393861446063561</v>
      </c>
      <c r="AA54" s="111">
        <f>SUM($Z$26:Z54)</f>
        <v>418.20742118211683</v>
      </c>
      <c r="AB54" s="110">
        <f>ROUNDUP(AA54/副本时间模板!$D$7,0)</f>
        <v>3</v>
      </c>
    </row>
    <row r="55" spans="1:28">
      <c r="A55" s="67" t="s">
        <v>371</v>
      </c>
      <c r="B55" s="110">
        <f>(B56+B46)/$F$22</f>
        <v>191.48936170212764</v>
      </c>
      <c r="C55" s="68">
        <v>31</v>
      </c>
      <c r="D55" s="118">
        <f>LOG(B55,B65)</f>
        <v>0.8135920199881983</v>
      </c>
      <c r="E55" s="71">
        <v>0.95</v>
      </c>
      <c r="F55" s="111">
        <f t="shared" ref="F55:F64" si="7">$B$65^D55*E55</f>
        <v>181.91489361702119</v>
      </c>
      <c r="G55" s="111">
        <f>SUM($F$26:F55)</f>
        <v>1390.2124733313278</v>
      </c>
      <c r="H55" s="110">
        <f>ROUNDUP(G55/副本时间模板!$D$7,0)</f>
        <v>10</v>
      </c>
      <c r="I55" s="89"/>
      <c r="J55" s="100"/>
      <c r="K55" s="89"/>
      <c r="L55" s="89"/>
      <c r="O55" s="68">
        <v>31</v>
      </c>
      <c r="P55" s="110">
        <f>F55*副本时间模板!$C$75</f>
        <v>121.27659574468079</v>
      </c>
      <c r="Q55" s="111">
        <f>SUM($P$26:P55)</f>
        <v>926.80831555421844</v>
      </c>
      <c r="R55" s="110">
        <f>ROUNDUP(Q55/副本时间模板!$D$7,0)</f>
        <v>7</v>
      </c>
      <c r="T55" s="68">
        <v>31</v>
      </c>
      <c r="U55" s="110">
        <f>F55*副本时间模板!$D$89</f>
        <v>82.880080543786917</v>
      </c>
      <c r="V55" s="111">
        <f>SUM($U$26:U55)</f>
        <v>633.37816641471954</v>
      </c>
      <c r="W55" s="110">
        <f>ROUNDUP(V55/副本时间模板!$D$7,0)</f>
        <v>5</v>
      </c>
      <c r="Y55" s="68">
        <v>31</v>
      </c>
      <c r="Z55" s="110">
        <f>F55*副本时间模板!$D$104</f>
        <v>62.96309767680053</v>
      </c>
      <c r="AA55" s="111">
        <f>SUM($Z$26:Z55)</f>
        <v>481.17051885891738</v>
      </c>
      <c r="AB55" s="110">
        <f>ROUNDUP(AA55/副本时间模板!$D$7,0)</f>
        <v>4</v>
      </c>
    </row>
    <row r="56" spans="1:28">
      <c r="A56" s="70" t="s">
        <v>397</v>
      </c>
      <c r="B56" s="110">
        <f>A16</f>
        <v>375</v>
      </c>
      <c r="C56" s="60">
        <v>32</v>
      </c>
      <c r="D56" s="117">
        <f>D55+$B$59</f>
        <v>0.83430401776728735</v>
      </c>
      <c r="E56" s="71">
        <v>0.92</v>
      </c>
      <c r="F56" s="111">
        <f t="shared" si="7"/>
        <v>201.38639013406234</v>
      </c>
      <c r="G56" s="111">
        <f>SUM($F$26:F56)</f>
        <v>1591.5988634653902</v>
      </c>
      <c r="H56" s="110">
        <f>ROUNDUP(G56/副本时间模板!$D$7,0)</f>
        <v>11</v>
      </c>
      <c r="I56" s="89"/>
      <c r="J56" s="100"/>
      <c r="K56" s="89"/>
      <c r="L56" s="89"/>
      <c r="O56" s="89">
        <v>32</v>
      </c>
      <c r="P56" s="110">
        <f>F56*副本时间模板!$C$75</f>
        <v>134.25759342270823</v>
      </c>
      <c r="Q56" s="111">
        <f>SUM($P$26:P56)</f>
        <v>1061.0659089769267</v>
      </c>
      <c r="R56" s="110">
        <f>ROUNDUP(Q56/副本时间模板!$D$7,0)</f>
        <v>8</v>
      </c>
      <c r="T56" s="89">
        <v>32</v>
      </c>
      <c r="U56" s="110">
        <f>F56*副本时间模板!$D$89</f>
        <v>91.751257430699255</v>
      </c>
      <c r="V56" s="111">
        <f>SUM($U$26:U56)</f>
        <v>725.12942384541884</v>
      </c>
      <c r="W56" s="110">
        <f>ROUNDUP(V56/副本时间模板!$D$7,0)</f>
        <v>5</v>
      </c>
      <c r="Y56" s="89">
        <v>32</v>
      </c>
      <c r="Z56" s="110">
        <f>F56*副本时间模板!$D$104</f>
        <v>69.702434477320921</v>
      </c>
      <c r="AA56" s="111">
        <f>SUM($Z$26:Z56)</f>
        <v>550.87295333623831</v>
      </c>
      <c r="AB56" s="110">
        <f>ROUNDUP(AA56/副本时间模板!$D$7,0)</f>
        <v>4</v>
      </c>
    </row>
    <row r="57" spans="1:28">
      <c r="A57" s="70" t="s">
        <v>398</v>
      </c>
      <c r="B57" s="111">
        <f>SUM(F55:F64)</f>
        <v>3639.3933034346537</v>
      </c>
      <c r="C57" s="60">
        <v>33</v>
      </c>
      <c r="D57" s="117">
        <f t="shared" ref="D57:D63" si="8">D56+$B$59</f>
        <v>0.85501601554637641</v>
      </c>
      <c r="E57" s="71">
        <v>0.92</v>
      </c>
      <c r="F57" s="111">
        <f t="shared" si="7"/>
        <v>230.21189277388291</v>
      </c>
      <c r="G57" s="111">
        <f>SUM($F$26:F57)</f>
        <v>1821.8107562392731</v>
      </c>
      <c r="H57" s="110">
        <f>ROUNDUP(G57/副本时间模板!$D$7,0)</f>
        <v>13</v>
      </c>
      <c r="I57" s="100"/>
      <c r="J57" s="100"/>
      <c r="K57" s="89"/>
      <c r="L57" s="89"/>
      <c r="O57" s="89">
        <v>33</v>
      </c>
      <c r="P57" s="110">
        <f>F57*副本时间模板!$C$75</f>
        <v>153.47459518258859</v>
      </c>
      <c r="Q57" s="111">
        <f>SUM($P$26:P57)</f>
        <v>1214.5405041595154</v>
      </c>
      <c r="R57" s="110">
        <f>ROUNDUP(Q57/副本时间模板!$D$7,0)</f>
        <v>9</v>
      </c>
      <c r="T57" s="89">
        <v>33</v>
      </c>
      <c r="U57" s="110">
        <f>F57*副本时间模板!$D$89</f>
        <v>104.88410176796981</v>
      </c>
      <c r="V57" s="111">
        <f>SUM($U$26:U57)</f>
        <v>830.01352561338865</v>
      </c>
      <c r="W57" s="110">
        <f>ROUNDUP(V57/副本时间模板!$D$7,0)</f>
        <v>6</v>
      </c>
      <c r="Y57" s="89">
        <v>33</v>
      </c>
      <c r="Z57" s="110">
        <f>F57*副本时间模板!$D$104</f>
        <v>79.679313787240574</v>
      </c>
      <c r="AA57" s="111">
        <f>SUM($Z$26:Z57)</f>
        <v>630.55226712347894</v>
      </c>
      <c r="AB57" s="110">
        <f>ROUNDUP(AA57/副本时间模板!$D$7,0)</f>
        <v>5</v>
      </c>
    </row>
    <row r="58" spans="1:28">
      <c r="A58" s="70" t="s">
        <v>396</v>
      </c>
      <c r="B58" s="114">
        <f>B56*10</f>
        <v>3750</v>
      </c>
      <c r="C58" s="60">
        <v>34</v>
      </c>
      <c r="D58" s="117">
        <f t="shared" si="8"/>
        <v>0.87572801332546546</v>
      </c>
      <c r="E58" s="71">
        <v>0.92</v>
      </c>
      <c r="F58" s="111">
        <f t="shared" si="7"/>
        <v>263.16334256378235</v>
      </c>
      <c r="G58" s="111">
        <f>SUM($F$26:F58)</f>
        <v>2084.9740988030553</v>
      </c>
      <c r="H58" s="110">
        <f>ROUNDUP(G58/副本时间模板!$D$7,0)</f>
        <v>14</v>
      </c>
      <c r="I58" s="89"/>
      <c r="J58" s="100"/>
      <c r="K58" s="89"/>
      <c r="L58" s="89"/>
      <c r="O58" s="89">
        <v>34</v>
      </c>
      <c r="P58" s="110">
        <f>F58*副本时间模板!$C$75</f>
        <v>175.44222837585488</v>
      </c>
      <c r="Q58" s="111">
        <f>SUM($P$26:P58)</f>
        <v>1389.9827325353704</v>
      </c>
      <c r="R58" s="110">
        <f>ROUNDUP(Q58/副本时间模板!$D$7,0)</f>
        <v>10</v>
      </c>
      <c r="T58" s="89">
        <v>34</v>
      </c>
      <c r="U58" s="110">
        <f>F58*副本时间模板!$D$89</f>
        <v>119.89671980226298</v>
      </c>
      <c r="V58" s="111">
        <f>SUM($U$26:U58)</f>
        <v>949.91024541565162</v>
      </c>
      <c r="W58" s="110">
        <f>ROUNDUP(V58/副本时间模板!$D$7,0)</f>
        <v>7</v>
      </c>
      <c r="Y58" s="89">
        <v>34</v>
      </c>
      <c r="Z58" s="110">
        <f>F58*副本时间模板!$D$104</f>
        <v>91.084236773268714</v>
      </c>
      <c r="AA58" s="111">
        <f>SUM($Z$26:Z58)</f>
        <v>721.63650389674763</v>
      </c>
      <c r="AB58" s="110">
        <f>ROUNDUP(AA58/副本时间模板!$D$7,0)</f>
        <v>5</v>
      </c>
    </row>
    <row r="59" spans="1:28">
      <c r="A59" s="70" t="s">
        <v>394</v>
      </c>
      <c r="B59" s="110">
        <f>(D64-D55)/9</f>
        <v>2.0711997779089077E-2</v>
      </c>
      <c r="C59" s="60">
        <v>35</v>
      </c>
      <c r="D59" s="117">
        <f t="shared" si="8"/>
        <v>0.89644001110455451</v>
      </c>
      <c r="E59" s="71">
        <v>0.92</v>
      </c>
      <c r="F59" s="111">
        <f t="shared" si="7"/>
        <v>300.83130821293304</v>
      </c>
      <c r="G59" s="111">
        <f>SUM($F$26:F59)</f>
        <v>2385.8054070159883</v>
      </c>
      <c r="H59" s="110">
        <f>ROUNDUP(G59/副本时间模板!$D$7,0)</f>
        <v>16</v>
      </c>
      <c r="I59" s="89"/>
      <c r="J59" s="100"/>
      <c r="K59" s="89"/>
      <c r="L59" s="89"/>
      <c r="O59" s="89">
        <v>35</v>
      </c>
      <c r="P59" s="110">
        <f>F59*副本时间模板!$C$75</f>
        <v>200.55420547528868</v>
      </c>
      <c r="Q59" s="111">
        <f>SUM($P$26:P59)</f>
        <v>1590.536938010659</v>
      </c>
      <c r="R59" s="110">
        <f>ROUNDUP(Q59/副本时间模板!$D$7,0)</f>
        <v>11</v>
      </c>
      <c r="T59" s="89">
        <v>35</v>
      </c>
      <c r="U59" s="110">
        <f>F59*副本时间模板!$D$89</f>
        <v>137.05817351750787</v>
      </c>
      <c r="V59" s="111">
        <f>SUM($U$26:U59)</f>
        <v>1086.9684189331595</v>
      </c>
      <c r="W59" s="110">
        <f>ROUNDUP(V59/副本时间模板!$D$7,0)</f>
        <v>8</v>
      </c>
      <c r="Y59" s="89">
        <v>35</v>
      </c>
      <c r="Z59" s="110">
        <f>F59*副本时间模板!$D$104</f>
        <v>104.12160690441848</v>
      </c>
      <c r="AA59" s="111">
        <f>SUM($Z$26:Z59)</f>
        <v>825.75811080116614</v>
      </c>
      <c r="AB59" s="110">
        <f>ROUNDUP(AA59/副本时间模板!$D$7,0)</f>
        <v>6</v>
      </c>
    </row>
    <row r="60" spans="1:28">
      <c r="A60" s="70" t="s">
        <v>399</v>
      </c>
      <c r="B60" s="114">
        <f>B58/B57</f>
        <v>1.0303915206034373</v>
      </c>
      <c r="C60" s="60">
        <v>36</v>
      </c>
      <c r="D60" s="117">
        <f t="shared" si="8"/>
        <v>0.91715200888364357</v>
      </c>
      <c r="E60" s="71">
        <v>0.92</v>
      </c>
      <c r="F60" s="111">
        <f t="shared" si="7"/>
        <v>343.89088966359566</v>
      </c>
      <c r="G60" s="111">
        <f>SUM($F$26:F60)</f>
        <v>2729.6962966795841</v>
      </c>
      <c r="H60" s="110">
        <f>ROUNDUP(G60/副本时间模板!$D$7,0)</f>
        <v>19</v>
      </c>
      <c r="I60" s="89"/>
      <c r="J60" s="100"/>
      <c r="K60" s="89"/>
      <c r="L60" s="89"/>
      <c r="O60" s="89">
        <v>36</v>
      </c>
      <c r="P60" s="110">
        <f>F60*副本时间模板!$C$75</f>
        <v>229.26059310906376</v>
      </c>
      <c r="Q60" s="111">
        <f>SUM($P$26:P60)</f>
        <v>1819.7975311197229</v>
      </c>
      <c r="R60" s="110">
        <f>ROUNDUP(Q60/副本时间模板!$D$7,0)</f>
        <v>13</v>
      </c>
      <c r="T60" s="89">
        <v>36</v>
      </c>
      <c r="U60" s="110">
        <f>F60*副本时间模板!$D$89</f>
        <v>156.67603716712139</v>
      </c>
      <c r="V60" s="111">
        <f>SUM($U$26:U60)</f>
        <v>1243.6444561002809</v>
      </c>
      <c r="W60" s="110">
        <f>ROUNDUP(V60/副本时间模板!$D$7,0)</f>
        <v>9</v>
      </c>
      <c r="Y60" s="89">
        <v>36</v>
      </c>
      <c r="Z60" s="110">
        <f>F60*副本时间模板!$D$104</f>
        <v>119.02508500285245</v>
      </c>
      <c r="AA60" s="111">
        <f>SUM($Z$26:Z60)</f>
        <v>944.78319580401853</v>
      </c>
      <c r="AB60" s="110">
        <f>ROUNDUP(AA60/副本时间模板!$D$7,0)</f>
        <v>7</v>
      </c>
    </row>
    <row r="61" spans="1:28">
      <c r="A61" s="70"/>
      <c r="B61" s="60"/>
      <c r="C61" s="60">
        <v>37</v>
      </c>
      <c r="D61" s="117">
        <f t="shared" si="8"/>
        <v>0.93786400666273262</v>
      </c>
      <c r="E61" s="71">
        <v>0.95</v>
      </c>
      <c r="F61" s="111">
        <f t="shared" si="7"/>
        <v>405.93274632642175</v>
      </c>
      <c r="G61" s="111">
        <f>SUM($F$26:F61)</f>
        <v>3135.6290430060058</v>
      </c>
      <c r="H61" s="110">
        <f>ROUNDUP(G61/副本时间模板!$D$7,0)</f>
        <v>21</v>
      </c>
      <c r="I61" s="89"/>
      <c r="J61" s="100"/>
      <c r="K61" s="89"/>
      <c r="L61" s="89"/>
      <c r="O61" s="89">
        <v>37</v>
      </c>
      <c r="P61" s="110">
        <f>F61*副本时间模板!$C$75</f>
        <v>270.62183088428117</v>
      </c>
      <c r="Q61" s="111">
        <f>SUM($P$26:P61)</f>
        <v>2090.4193620040041</v>
      </c>
      <c r="R61" s="110">
        <f>ROUNDUP(Q61/副本时间模板!$D$7,0)</f>
        <v>14</v>
      </c>
      <c r="T61" s="89">
        <v>37</v>
      </c>
      <c r="U61" s="110">
        <f>F61*副本时间模板!$D$89</f>
        <v>184.94218940491697</v>
      </c>
      <c r="V61" s="111">
        <f>SUM($U$26:U61)</f>
        <v>1428.5866455051978</v>
      </c>
      <c r="W61" s="110">
        <f>ROUNDUP(V61/副本时间模板!$D$7,0)</f>
        <v>10</v>
      </c>
      <c r="Y61" s="89">
        <v>37</v>
      </c>
      <c r="Z61" s="110">
        <f>F61*副本时间模板!$D$104</f>
        <v>140.49857408030792</v>
      </c>
      <c r="AA61" s="111">
        <f>SUM($Z$26:Z61)</f>
        <v>1085.2817698843264</v>
      </c>
      <c r="AB61" s="110">
        <f>ROUNDUP(AA61/副本时间模板!$D$7,0)</f>
        <v>8</v>
      </c>
    </row>
    <row r="62" spans="1:28">
      <c r="A62" s="70"/>
      <c r="B62" s="60"/>
      <c r="C62" s="60">
        <v>38</v>
      </c>
      <c r="D62" s="117">
        <f t="shared" si="8"/>
        <v>0.95857600444182167</v>
      </c>
      <c r="E62" s="71">
        <v>0.98</v>
      </c>
      <c r="F62" s="111">
        <f t="shared" si="7"/>
        <v>478.68982445205455</v>
      </c>
      <c r="G62" s="111">
        <f>SUM($F$26:F62)</f>
        <v>3614.3188674580601</v>
      </c>
      <c r="H62" s="110">
        <f>ROUNDUP(G62/副本时间模板!$D$7,0)</f>
        <v>25</v>
      </c>
      <c r="I62" s="89"/>
      <c r="J62" s="100"/>
      <c r="K62" s="89"/>
      <c r="L62" s="89"/>
      <c r="O62" s="89">
        <v>38</v>
      </c>
      <c r="P62" s="110">
        <f>F62*副本时间模板!$C$75</f>
        <v>319.126549634703</v>
      </c>
      <c r="Q62" s="111">
        <f>SUM($P$26:P62)</f>
        <v>2409.5459116387074</v>
      </c>
      <c r="R62" s="110">
        <f>ROUNDUP(Q62/副本时间模板!$D$7,0)</f>
        <v>17</v>
      </c>
      <c r="T62" s="89">
        <v>38</v>
      </c>
      <c r="U62" s="110">
        <f>F62*副本时间模板!$D$89</f>
        <v>218.09017622054307</v>
      </c>
      <c r="V62" s="111">
        <f>SUM($U$26:U62)</f>
        <v>1646.6768217257409</v>
      </c>
      <c r="W62" s="110">
        <f>ROUNDUP(V62/副本时间模板!$D$7,0)</f>
        <v>11</v>
      </c>
      <c r="Y62" s="89">
        <v>38</v>
      </c>
      <c r="Z62" s="110">
        <f>F62*副本时间模板!$D$104</f>
        <v>165.68073990311876</v>
      </c>
      <c r="AA62" s="111">
        <f>SUM($Z$26:Z62)</f>
        <v>1250.9625097874452</v>
      </c>
      <c r="AB62" s="110">
        <f>ROUNDUP(AA62/副本时间模板!$D$7,0)</f>
        <v>9</v>
      </c>
    </row>
    <row r="63" spans="1:28">
      <c r="A63" s="70"/>
      <c r="B63" s="60"/>
      <c r="C63" s="60">
        <v>39</v>
      </c>
      <c r="D63" s="117">
        <f t="shared" si="8"/>
        <v>0.97928800222091072</v>
      </c>
      <c r="E63" s="71">
        <v>1.02</v>
      </c>
      <c r="F63" s="111">
        <f t="shared" si="7"/>
        <v>569.54222845685786</v>
      </c>
      <c r="G63" s="111">
        <f>SUM($F$26:F63)</f>
        <v>4183.8610959149182</v>
      </c>
      <c r="H63" s="110">
        <f>ROUNDUP(G63/副本时间模板!$D$7,0)</f>
        <v>28</v>
      </c>
      <c r="I63" s="89"/>
      <c r="J63" s="100"/>
      <c r="K63" s="89"/>
      <c r="L63" s="89"/>
      <c r="O63" s="89">
        <v>39</v>
      </c>
      <c r="P63" s="110">
        <f>F63*副本时间模板!$C$75</f>
        <v>379.69481897123853</v>
      </c>
      <c r="Q63" s="111">
        <f>SUM($P$26:P63)</f>
        <v>2789.2407306099458</v>
      </c>
      <c r="R63" s="110">
        <f>ROUNDUP(Q63/副本时间模板!$D$7,0)</f>
        <v>19</v>
      </c>
      <c r="T63" s="89">
        <v>39</v>
      </c>
      <c r="U63" s="110">
        <f>F63*副本时间模板!$D$89</f>
        <v>259.48235919027337</v>
      </c>
      <c r="V63" s="111">
        <f>SUM($U$26:U63)</f>
        <v>1906.1591809160143</v>
      </c>
      <c r="W63" s="110">
        <f>ROUNDUP(V63/副本时间模板!$D$7,0)</f>
        <v>13</v>
      </c>
      <c r="Y63" s="89">
        <v>39</v>
      </c>
      <c r="Z63" s="110">
        <f>F63*副本时间模板!$D$104</f>
        <v>197.12593206846955</v>
      </c>
      <c r="AA63" s="111">
        <f>SUM($Z$26:Z63)</f>
        <v>1448.0884418559149</v>
      </c>
      <c r="AB63" s="110">
        <f>ROUNDUP(AA63/副本时间模板!$D$7,0)</f>
        <v>10</v>
      </c>
    </row>
    <row r="64" spans="1:28">
      <c r="A64" s="70"/>
      <c r="B64" s="60"/>
      <c r="C64" s="60">
        <v>40</v>
      </c>
      <c r="D64" s="72">
        <v>1</v>
      </c>
      <c r="E64" s="71">
        <v>1.04</v>
      </c>
      <c r="F64" s="111">
        <f t="shared" si="7"/>
        <v>663.82978723404256</v>
      </c>
      <c r="G64" s="111">
        <f>SUM($F$26:F64)</f>
        <v>4847.6908831489609</v>
      </c>
      <c r="H64" s="110">
        <f>ROUNDUP(G64/副本时间模板!$D$7,0)</f>
        <v>33</v>
      </c>
      <c r="I64" s="89"/>
      <c r="J64" s="100"/>
      <c r="K64" s="89"/>
      <c r="L64" s="89"/>
      <c r="O64" s="89">
        <v>40</v>
      </c>
      <c r="P64" s="110">
        <f>F64*副本时间模板!$C$75</f>
        <v>442.55319148936167</v>
      </c>
      <c r="Q64" s="111">
        <f>SUM($P$26:P64)</f>
        <v>3231.7939220993076</v>
      </c>
      <c r="R64" s="110">
        <f>ROUNDUP(Q64/副本时间模板!$D$7,0)</f>
        <v>22</v>
      </c>
      <c r="T64" s="89">
        <v>40</v>
      </c>
      <c r="U64" s="110">
        <f>F64*副本时间模板!$D$89</f>
        <v>302.43959215978396</v>
      </c>
      <c r="V64" s="111">
        <f>SUM($U$26:U64)</f>
        <v>2208.5987730757984</v>
      </c>
      <c r="W64" s="110">
        <f>ROUNDUP(V64/副本时间模板!$D$7,0)</f>
        <v>15</v>
      </c>
      <c r="Y64" s="89">
        <v>40</v>
      </c>
      <c r="Z64" s="110">
        <f>F64*副本时间模板!$D$104</f>
        <v>229.76007573288624</v>
      </c>
      <c r="AA64" s="111">
        <f>SUM($Z$26:Z64)</f>
        <v>1677.8485175888011</v>
      </c>
      <c r="AB64" s="110">
        <f>ROUNDUP(AA64/副本时间模板!$D$7,0)</f>
        <v>12</v>
      </c>
    </row>
    <row r="65" spans="1:28">
      <c r="A65" s="67" t="s">
        <v>372</v>
      </c>
      <c r="B65" s="110">
        <f>(B66+B56)/$F$22</f>
        <v>638.29787234042556</v>
      </c>
      <c r="C65" s="68">
        <v>41</v>
      </c>
      <c r="D65" s="118">
        <f>LOG(B65,B75)</f>
        <v>0.89696377079787049</v>
      </c>
      <c r="E65" s="71">
        <v>1.05</v>
      </c>
      <c r="F65" s="111">
        <f t="shared" ref="F65:F74" si="9">$B$75^D65*E65</f>
        <v>670.21276595744712</v>
      </c>
      <c r="G65" s="111">
        <f>SUM($F$26:F65)</f>
        <v>5517.903649106408</v>
      </c>
      <c r="H65" s="110">
        <f>ROUNDUP(G65/副本时间模板!$D$7,0)</f>
        <v>37</v>
      </c>
      <c r="I65" s="89"/>
      <c r="J65" s="100"/>
      <c r="K65" s="89"/>
      <c r="L65" s="89"/>
      <c r="O65" s="68">
        <v>41</v>
      </c>
      <c r="P65" s="110">
        <f>F65*副本时间模板!$C$75</f>
        <v>446.80851063829806</v>
      </c>
      <c r="Q65" s="111">
        <f>SUM($P$26:P65)</f>
        <v>3678.6024327376058</v>
      </c>
      <c r="R65" s="110">
        <f>ROUNDUP(Q65/副本时间模板!$D$7,0)</f>
        <v>25</v>
      </c>
      <c r="T65" s="68">
        <v>41</v>
      </c>
      <c r="U65" s="110">
        <f>F65*副本时间模板!$D$89</f>
        <v>305.34766516132049</v>
      </c>
      <c r="V65" s="111">
        <f>SUM($U$26:U65)</f>
        <v>2513.9464382371189</v>
      </c>
      <c r="W65" s="110">
        <f>ROUNDUP(V65/副本时间模板!$D$7,0)</f>
        <v>17</v>
      </c>
      <c r="Y65" s="68">
        <v>41</v>
      </c>
      <c r="Z65" s="110">
        <f>F65*副本时间模板!$D$104</f>
        <v>231.96930723031795</v>
      </c>
      <c r="AA65" s="111">
        <f>SUM($Z$26:Z65)</f>
        <v>1909.8178248191191</v>
      </c>
      <c r="AB65" s="110">
        <f>ROUNDUP(AA65/副本时间模板!$D$7,0)</f>
        <v>13</v>
      </c>
    </row>
    <row r="66" spans="1:28">
      <c r="A66" s="70" t="s">
        <v>397</v>
      </c>
      <c r="B66" s="110">
        <f>A17</f>
        <v>1125</v>
      </c>
      <c r="C66" s="60">
        <v>42</v>
      </c>
      <c r="D66" s="117">
        <f>D65+$B$69</f>
        <v>0.90841224070921822</v>
      </c>
      <c r="E66" s="71">
        <v>1</v>
      </c>
      <c r="F66" s="111">
        <f t="shared" si="9"/>
        <v>693.14730760099087</v>
      </c>
      <c r="G66" s="111">
        <f>SUM($F$26:F66)</f>
        <v>6211.0509567073987</v>
      </c>
      <c r="H66" s="110">
        <f>ROUNDUP(G66/副本时间模板!$D$7,0)</f>
        <v>42</v>
      </c>
      <c r="I66" s="89"/>
      <c r="J66" s="100"/>
      <c r="K66" s="89"/>
      <c r="L66" s="89"/>
      <c r="O66" s="89">
        <v>42</v>
      </c>
      <c r="P66" s="110">
        <f>F66*副本时间模板!$C$75</f>
        <v>462.09820506732723</v>
      </c>
      <c r="Q66" s="111">
        <f>SUM($P$26:P66)</f>
        <v>4140.7006378049327</v>
      </c>
      <c r="R66" s="110">
        <f>ROUNDUP(Q66/副本时间模板!$D$7,0)</f>
        <v>28</v>
      </c>
      <c r="T66" s="89">
        <v>42</v>
      </c>
      <c r="U66" s="110">
        <f>F66*副本时间模板!$D$89</f>
        <v>315.79659884045873</v>
      </c>
      <c r="V66" s="111">
        <f>SUM($U$26:U66)</f>
        <v>2829.7430370775774</v>
      </c>
      <c r="W66" s="110">
        <f>ROUNDUP(V66/副本时间模板!$D$7,0)</f>
        <v>19</v>
      </c>
      <c r="Y66" s="89">
        <v>42</v>
      </c>
      <c r="Z66" s="110">
        <f>F66*副本时间模板!$D$104</f>
        <v>239.90724874221613</v>
      </c>
      <c r="AA66" s="111">
        <f>SUM($Z$26:Z66)</f>
        <v>2149.7250735613352</v>
      </c>
      <c r="AB66" s="110">
        <f>ROUNDUP(AA66/副本时间模板!$D$7,0)</f>
        <v>15</v>
      </c>
    </row>
    <row r="67" spans="1:28">
      <c r="A67" s="70" t="s">
        <v>398</v>
      </c>
      <c r="B67" s="111">
        <f>SUM(F65:F74)</f>
        <v>9736.6518361699545</v>
      </c>
      <c r="C67" s="60">
        <v>43</v>
      </c>
      <c r="D67" s="117">
        <f t="shared" ref="D67:D73" si="10">D66+$B$69</f>
        <v>0.91986071062056596</v>
      </c>
      <c r="E67" s="71">
        <v>0.98</v>
      </c>
      <c r="F67" s="111">
        <f t="shared" si="9"/>
        <v>737.65579776630682</v>
      </c>
      <c r="G67" s="111">
        <f>SUM($F$26:F67)</f>
        <v>6948.7067544737056</v>
      </c>
      <c r="H67" s="110">
        <f>ROUNDUP(G67/副本时间模板!$D$7,0)</f>
        <v>47</v>
      </c>
      <c r="I67" s="100"/>
      <c r="J67" s="100"/>
      <c r="K67" s="89"/>
      <c r="L67" s="89"/>
      <c r="O67" s="89">
        <v>43</v>
      </c>
      <c r="P67" s="110">
        <f>F67*副本时间模板!$C$75</f>
        <v>491.77053184420453</v>
      </c>
      <c r="Q67" s="111">
        <f>SUM($P$26:P67)</f>
        <v>4632.4711696491377</v>
      </c>
      <c r="R67" s="110">
        <f>ROUNDUP(Q67/副本时间模板!$D$7,0)</f>
        <v>31</v>
      </c>
      <c r="T67" s="89">
        <v>43</v>
      </c>
      <c r="U67" s="110">
        <f>F67*副本时间模板!$D$89</f>
        <v>336.07458255272019</v>
      </c>
      <c r="V67" s="111">
        <f>SUM($U$26:U67)</f>
        <v>3165.8176196302975</v>
      </c>
      <c r="W67" s="110">
        <f>ROUNDUP(V67/副本时间模板!$D$7,0)</f>
        <v>22</v>
      </c>
      <c r="Y67" s="89">
        <v>43</v>
      </c>
      <c r="Z67" s="110">
        <f>F67*副本时间模板!$D$104</f>
        <v>255.31221288784283</v>
      </c>
      <c r="AA67" s="111">
        <f>SUM($Z$26:Z67)</f>
        <v>2405.0372864491778</v>
      </c>
      <c r="AB67" s="110">
        <f>ROUNDUP(AA67/副本时间模板!$D$7,0)</f>
        <v>17</v>
      </c>
    </row>
    <row r="68" spans="1:28">
      <c r="A68" s="70" t="s">
        <v>396</v>
      </c>
      <c r="B68" s="114">
        <f>B66*10</f>
        <v>11250</v>
      </c>
      <c r="C68" s="60">
        <v>44</v>
      </c>
      <c r="D68" s="117">
        <f t="shared" si="10"/>
        <v>0.93130918053191369</v>
      </c>
      <c r="E68" s="71">
        <v>0.96</v>
      </c>
      <c r="F68" s="111">
        <f t="shared" si="9"/>
        <v>784.69531811999707</v>
      </c>
      <c r="G68" s="111">
        <f>SUM($F$26:F68)</f>
        <v>7733.4020725937025</v>
      </c>
      <c r="H68" s="110">
        <f>ROUNDUP(G68/副本时间模板!$D$7,0)</f>
        <v>52</v>
      </c>
      <c r="I68" s="89"/>
      <c r="J68" s="100"/>
      <c r="K68" s="89"/>
      <c r="L68" s="89"/>
      <c r="O68" s="89">
        <v>44</v>
      </c>
      <c r="P68" s="110">
        <f>F68*副本时间模板!$C$75</f>
        <v>523.13021207999805</v>
      </c>
      <c r="Q68" s="111">
        <f>SUM($P$26:P68)</f>
        <v>5155.6013817291359</v>
      </c>
      <c r="R68" s="110">
        <f>ROUNDUP(Q68/副本时间模板!$D$7,0)</f>
        <v>35</v>
      </c>
      <c r="T68" s="89">
        <v>44</v>
      </c>
      <c r="U68" s="110">
        <f>F68*副本时间模板!$D$89</f>
        <v>357.50569881889362</v>
      </c>
      <c r="V68" s="111">
        <f>SUM($U$26:U68)</f>
        <v>3523.323318449191</v>
      </c>
      <c r="W68" s="110">
        <f>ROUNDUP(V68/副本时间模板!$D$7,0)</f>
        <v>24</v>
      </c>
      <c r="Y68" s="89">
        <v>44</v>
      </c>
      <c r="Z68" s="110">
        <f>F68*副本时间模板!$D$104</f>
        <v>271.59319931952291</v>
      </c>
      <c r="AA68" s="111">
        <f>SUM($Z$26:Z68)</f>
        <v>2676.630485768701</v>
      </c>
      <c r="AB68" s="110">
        <f>ROUNDUP(AA68/副本时间模板!$D$7,0)</f>
        <v>18</v>
      </c>
    </row>
    <row r="69" spans="1:28">
      <c r="A69" s="70" t="s">
        <v>394</v>
      </c>
      <c r="B69" s="110">
        <f>(D74-D65)/9</f>
        <v>1.1448469911347724E-2</v>
      </c>
      <c r="C69" s="60">
        <v>45</v>
      </c>
      <c r="D69" s="117">
        <f t="shared" si="10"/>
        <v>0.94275765044326143</v>
      </c>
      <c r="E69" s="71">
        <v>0.95</v>
      </c>
      <c r="F69" s="111">
        <f t="shared" si="9"/>
        <v>843.24850036195676</v>
      </c>
      <c r="G69" s="111">
        <f>SUM($F$26:F69)</f>
        <v>8576.6505729556593</v>
      </c>
      <c r="H69" s="110">
        <f>ROUNDUP(G69/副本时间模板!$D$7,0)</f>
        <v>58</v>
      </c>
      <c r="I69" s="89"/>
      <c r="J69" s="100"/>
      <c r="K69" s="89"/>
      <c r="L69" s="89"/>
      <c r="O69" s="89">
        <v>45</v>
      </c>
      <c r="P69" s="110">
        <f>F69*副本时间模板!$C$75</f>
        <v>562.16566690797117</v>
      </c>
      <c r="Q69" s="111">
        <f>SUM($P$26:P69)</f>
        <v>5717.7670486371071</v>
      </c>
      <c r="R69" s="110">
        <f>ROUNDUP(Q69/副本时间模板!$D$7,0)</f>
        <v>39</v>
      </c>
      <c r="T69" s="89">
        <v>45</v>
      </c>
      <c r="U69" s="110">
        <f>F69*副本时间模板!$D$89</f>
        <v>384.18241760655519</v>
      </c>
      <c r="V69" s="111">
        <f>SUM($U$26:U69)</f>
        <v>3907.5057360557462</v>
      </c>
      <c r="W69" s="110">
        <f>ROUNDUP(V69/副本时间模板!$D$7,0)</f>
        <v>27</v>
      </c>
      <c r="Y69" s="89">
        <v>45</v>
      </c>
      <c r="Z69" s="110">
        <f>F69*副本时间模板!$D$104</f>
        <v>291.85921305531662</v>
      </c>
      <c r="AA69" s="111">
        <f>SUM($Z$26:Z69)</f>
        <v>2968.4896988240175</v>
      </c>
      <c r="AB69" s="110">
        <f>ROUNDUP(AA69/副本时间模板!$D$7,0)</f>
        <v>20</v>
      </c>
    </row>
    <row r="70" spans="1:28">
      <c r="A70" s="70" t="s">
        <v>399</v>
      </c>
      <c r="B70" s="114">
        <f>B68/B67</f>
        <v>1.1554279837970813</v>
      </c>
      <c r="C70" s="60">
        <v>46</v>
      </c>
      <c r="D70" s="117">
        <f t="shared" si="10"/>
        <v>0.95420612035460917</v>
      </c>
      <c r="E70" s="71">
        <v>0.96</v>
      </c>
      <c r="F70" s="111">
        <f t="shared" si="9"/>
        <v>925.34855074458267</v>
      </c>
      <c r="G70" s="111">
        <f>SUM($F$26:F70)</f>
        <v>9501.9991237002414</v>
      </c>
      <c r="H70" s="110">
        <f>ROUNDUP(G70/副本时间模板!$D$7,0)</f>
        <v>64</v>
      </c>
      <c r="I70" s="89"/>
      <c r="J70" s="100"/>
      <c r="K70" s="89"/>
      <c r="L70" s="89"/>
      <c r="O70" s="89">
        <v>46</v>
      </c>
      <c r="P70" s="110">
        <f>F70*副本时间模板!$C$75</f>
        <v>616.8990338297217</v>
      </c>
      <c r="Q70" s="111">
        <f>SUM($P$26:P70)</f>
        <v>6334.6660824668288</v>
      </c>
      <c r="R70" s="110">
        <f>ROUNDUP(Q70/副本时间模板!$D$7,0)</f>
        <v>43</v>
      </c>
      <c r="T70" s="89">
        <v>46</v>
      </c>
      <c r="U70" s="110">
        <f>F70*副本时间模板!$D$89</f>
        <v>421.5870448642122</v>
      </c>
      <c r="V70" s="111">
        <f>SUM($U$26:U70)</f>
        <v>4329.0927809199584</v>
      </c>
      <c r="W70" s="110">
        <f>ROUNDUP(V70/副本时间模板!$D$7,0)</f>
        <v>29</v>
      </c>
      <c r="Y70" s="89">
        <v>46</v>
      </c>
      <c r="Z70" s="110">
        <f>F70*副本时间模板!$D$104</f>
        <v>320.27510242385949</v>
      </c>
      <c r="AA70" s="111">
        <f>SUM($Z$26:Z70)</f>
        <v>3288.7648012478771</v>
      </c>
      <c r="AB70" s="110">
        <f>ROUNDUP(AA70/副本时间模板!$D$7,0)</f>
        <v>22</v>
      </c>
    </row>
    <row r="71" spans="1:28">
      <c r="A71" s="70"/>
      <c r="B71" s="60"/>
      <c r="C71" s="60">
        <v>47</v>
      </c>
      <c r="D71" s="117">
        <f t="shared" si="10"/>
        <v>0.9656545902659569</v>
      </c>
      <c r="E71" s="71">
        <v>0.96</v>
      </c>
      <c r="F71" s="111">
        <f t="shared" si="9"/>
        <v>1004.8644752477015</v>
      </c>
      <c r="G71" s="111">
        <f>SUM($F$26:F71)</f>
        <v>10506.863598947943</v>
      </c>
      <c r="H71" s="110">
        <f>ROUNDUP(G71/副本时间模板!$D$7,0)</f>
        <v>71</v>
      </c>
      <c r="I71" s="89"/>
      <c r="J71" s="100"/>
      <c r="K71" s="89"/>
      <c r="L71" s="89"/>
      <c r="O71" s="89">
        <v>47</v>
      </c>
      <c r="P71" s="110">
        <f>F71*副本时间模板!$C$75</f>
        <v>669.90965016513428</v>
      </c>
      <c r="Q71" s="111">
        <f>SUM($P$26:P71)</f>
        <v>7004.5757326319635</v>
      </c>
      <c r="R71" s="110">
        <f>ROUNDUP(Q71/副本时间模板!$D$7,0)</f>
        <v>47</v>
      </c>
      <c r="T71" s="89">
        <v>47</v>
      </c>
      <c r="U71" s="110">
        <f>F71*副本时间模板!$D$89</f>
        <v>457.81434927176917</v>
      </c>
      <c r="V71" s="111">
        <f>SUM($U$26:U71)</f>
        <v>4786.9071301917274</v>
      </c>
      <c r="W71" s="110">
        <f>ROUNDUP(V71/副本时间模板!$D$7,0)</f>
        <v>32</v>
      </c>
      <c r="Y71" s="89">
        <v>47</v>
      </c>
      <c r="Z71" s="110">
        <f>F71*副本时间模板!$D$104</f>
        <v>347.79659240087653</v>
      </c>
      <c r="AA71" s="111">
        <f>SUM($Z$26:Z71)</f>
        <v>3636.5613936487534</v>
      </c>
      <c r="AB71" s="110">
        <f>ROUNDUP(AA71/副本时间模板!$D$7,0)</f>
        <v>25</v>
      </c>
    </row>
    <row r="72" spans="1:28">
      <c r="A72" s="70"/>
      <c r="C72" s="60">
        <v>48</v>
      </c>
      <c r="D72" s="117">
        <f t="shared" si="10"/>
        <v>0.97710306017730464</v>
      </c>
      <c r="E72" s="71">
        <v>1.0209999999999999</v>
      </c>
      <c r="F72" s="111">
        <f t="shared" si="9"/>
        <v>1160.5507748845805</v>
      </c>
      <c r="G72" s="111">
        <f>SUM($F$26:F72)</f>
        <v>11667.414373832524</v>
      </c>
      <c r="H72" s="110">
        <f>ROUNDUP(G72/副本时间模板!$D$7,0)</f>
        <v>78</v>
      </c>
      <c r="I72" s="89"/>
      <c r="J72" s="100"/>
      <c r="K72" s="89"/>
      <c r="L72" s="89"/>
      <c r="O72" s="89">
        <v>48</v>
      </c>
      <c r="P72" s="110">
        <f>F72*副本时间模板!$C$75</f>
        <v>773.70051658972034</v>
      </c>
      <c r="Q72" s="111">
        <f>SUM($P$26:P72)</f>
        <v>7778.2762492216843</v>
      </c>
      <c r="R72" s="110">
        <f>ROUNDUP(Q72/副本时间模板!$D$7,0)</f>
        <v>52</v>
      </c>
      <c r="T72" s="89">
        <v>48</v>
      </c>
      <c r="U72" s="110">
        <f>F72*副本时间模板!$D$89</f>
        <v>528.74473213878991</v>
      </c>
      <c r="V72" s="111">
        <f>SUM($U$26:U72)</f>
        <v>5315.6518623305174</v>
      </c>
      <c r="W72" s="110">
        <f>ROUNDUP(V72/副本时间模板!$D$7,0)</f>
        <v>36</v>
      </c>
      <c r="Y72" s="89">
        <v>48</v>
      </c>
      <c r="Z72" s="110">
        <f>F72*副本时间模板!$D$104</f>
        <v>401.68163444484065</v>
      </c>
      <c r="AA72" s="111">
        <f>SUM($Z$26:Z72)</f>
        <v>4038.2430280935941</v>
      </c>
      <c r="AB72" s="110">
        <f>ROUNDUP(AA72/副本时间模板!$D$7,0)</f>
        <v>27</v>
      </c>
    </row>
    <row r="73" spans="1:28" s="83" customFormat="1">
      <c r="A73" s="128"/>
      <c r="B73" s="98"/>
      <c r="C73" s="98">
        <v>49</v>
      </c>
      <c r="D73" s="117">
        <f t="shared" si="10"/>
        <v>0.98855153008865237</v>
      </c>
      <c r="E73" s="129">
        <v>1.06</v>
      </c>
      <c r="F73" s="18">
        <f t="shared" si="9"/>
        <v>1308.417707188519</v>
      </c>
      <c r="G73" s="18">
        <f>SUM($F$26:F73)</f>
        <v>12975.832081021043</v>
      </c>
      <c r="H73" s="24">
        <f>ROUNDUP(G73/副本时间模板!$D$7,0)</f>
        <v>87</v>
      </c>
      <c r="I73" s="98"/>
      <c r="J73" s="99"/>
      <c r="K73" s="98"/>
      <c r="L73" s="98"/>
      <c r="O73" s="98">
        <v>49</v>
      </c>
      <c r="P73" s="24">
        <f>F73*副本时间模板!$C$75</f>
        <v>872.27847145901262</v>
      </c>
      <c r="Q73" s="18">
        <f>SUM($P$26:P73)</f>
        <v>8650.5547206806968</v>
      </c>
      <c r="R73" s="24">
        <f>ROUNDUP(Q73/副本时间模板!$D$7,0)</f>
        <v>58</v>
      </c>
      <c r="T73" s="98">
        <v>49</v>
      </c>
      <c r="U73" s="24">
        <f>F73*副本时间模板!$D$89</f>
        <v>596.11262607777428</v>
      </c>
      <c r="V73" s="18">
        <f>SUM($U$26:U73)</f>
        <v>5911.764488408292</v>
      </c>
      <c r="W73" s="24">
        <f>ROUNDUP(V73/副本时间模板!$D$7,0)</f>
        <v>40</v>
      </c>
      <c r="Y73" s="98">
        <v>49</v>
      </c>
      <c r="Z73" s="24">
        <f>F73*副本时间模板!$D$104</f>
        <v>452.86029231450402</v>
      </c>
      <c r="AA73" s="18">
        <f>SUM($Z$26:Z73)</f>
        <v>4491.1033204080977</v>
      </c>
      <c r="AB73" s="24">
        <f>ROUNDUP(AA73/副本时间模板!$D$7,0)</f>
        <v>30</v>
      </c>
    </row>
    <row r="74" spans="1:28" s="126" customFormat="1" ht="17.25" thickBot="1">
      <c r="A74" s="121"/>
      <c r="B74" s="122"/>
      <c r="C74" s="122">
        <v>50</v>
      </c>
      <c r="D74" s="123">
        <v>1</v>
      </c>
      <c r="E74" s="124">
        <v>1.2</v>
      </c>
      <c r="F74" s="125">
        <f t="shared" si="9"/>
        <v>1608.5106382978722</v>
      </c>
      <c r="G74" s="125">
        <f>SUM($F$26:F74)</f>
        <v>14584.342719318915</v>
      </c>
      <c r="H74" s="130">
        <f>ROUNDUP(G74/副本时间模板!$D$7,0)</f>
        <v>98</v>
      </c>
      <c r="I74" s="122"/>
      <c r="J74" s="127"/>
      <c r="K74" s="122"/>
      <c r="L74" s="122"/>
      <c r="O74" s="122">
        <v>50</v>
      </c>
      <c r="P74" s="130">
        <f>F74*副本时间模板!$C$75</f>
        <v>1072.3404255319147</v>
      </c>
      <c r="Q74" s="125">
        <f>SUM($P$26:P74)</f>
        <v>9722.8951462126115</v>
      </c>
      <c r="R74" s="130">
        <f>ROUNDUP(Q74/副本时间模板!$D$7,0)</f>
        <v>65</v>
      </c>
      <c r="T74" s="122">
        <v>50</v>
      </c>
      <c r="U74" s="130">
        <f>F74*副本时间模板!$D$89</f>
        <v>732.83439638716879</v>
      </c>
      <c r="V74" s="125">
        <f>SUM($U$26:U74)</f>
        <v>6644.5988847954604</v>
      </c>
      <c r="W74" s="130">
        <f>ROUNDUP(V74/副本时间模板!$D$7,0)</f>
        <v>45</v>
      </c>
      <c r="Y74" s="122">
        <v>50</v>
      </c>
      <c r="Z74" s="130">
        <f>F74*副本时间模板!$D$104</f>
        <v>556.72633735276281</v>
      </c>
      <c r="AA74" s="125">
        <f>SUM($Z$26:Z74)</f>
        <v>5047.8296577608608</v>
      </c>
      <c r="AB74" s="130">
        <f>ROUNDUP(AA74/副本时间模板!$D$7,0)</f>
        <v>34</v>
      </c>
    </row>
    <row r="75" spans="1:28" ht="17.25" thickTop="1">
      <c r="A75" s="67" t="s">
        <v>373</v>
      </c>
      <c r="B75" s="110">
        <f>(B76+B66)/$F$22</f>
        <v>1340.4255319148936</v>
      </c>
      <c r="C75" s="74">
        <v>51</v>
      </c>
      <c r="D75" s="118">
        <f>LOG(B75,B85)</f>
        <v>0.93728173919101432</v>
      </c>
      <c r="E75" s="71">
        <v>1</v>
      </c>
      <c r="F75" s="111">
        <f t="shared" ref="F75:F84" si="11">$B$85^D75*E75</f>
        <v>1340.4255319148933</v>
      </c>
      <c r="G75" s="111">
        <f>SUM($F$26:F75)</f>
        <v>15924.768251233807</v>
      </c>
      <c r="H75" s="110">
        <f>ROUNDUP(G75/副本时间模板!$D$7,0)</f>
        <v>107</v>
      </c>
      <c r="I75" s="89"/>
      <c r="J75" s="100"/>
      <c r="K75" s="89"/>
      <c r="L75" s="89"/>
      <c r="O75" s="74">
        <v>51</v>
      </c>
      <c r="P75" s="110">
        <f>F75*副本时间模板!$C$75</f>
        <v>893.61702127659555</v>
      </c>
      <c r="Q75" s="111">
        <f>SUM($P$26:P75)</f>
        <v>10616.512167489207</v>
      </c>
      <c r="R75" s="110">
        <f>ROUNDUP(Q75/副本时间模板!$D$7,0)</f>
        <v>71</v>
      </c>
      <c r="T75" s="74">
        <v>51</v>
      </c>
      <c r="U75" s="110">
        <f>F75*副本时间模板!$D$89</f>
        <v>610.69533032264053</v>
      </c>
      <c r="V75" s="111">
        <f>SUM($U$26:U75)</f>
        <v>7255.2942151181014</v>
      </c>
      <c r="W75" s="110">
        <f>ROUNDUP(V75/副本时间模板!$D$7,0)</f>
        <v>49</v>
      </c>
      <c r="Y75" s="74">
        <v>51</v>
      </c>
      <c r="Z75" s="110">
        <f>F75*副本时间模板!$D$104</f>
        <v>463.93861446063562</v>
      </c>
      <c r="AA75" s="111">
        <f>SUM($Z$26:Z75)</f>
        <v>5511.7682722214968</v>
      </c>
      <c r="AB75" s="110">
        <f>ROUNDUP(AA75/副本时间模板!$D$7,0)</f>
        <v>37</v>
      </c>
    </row>
    <row r="76" spans="1:28">
      <c r="A76" s="70" t="s">
        <v>397</v>
      </c>
      <c r="B76" s="110">
        <f>A18</f>
        <v>2025</v>
      </c>
      <c r="C76" s="60">
        <v>52</v>
      </c>
      <c r="D76" s="117">
        <f>D75+$B$79</f>
        <v>0.94425043483645721</v>
      </c>
      <c r="E76" s="71">
        <v>1</v>
      </c>
      <c r="F76" s="111">
        <f t="shared" si="11"/>
        <v>1414.1444084717459</v>
      </c>
      <c r="G76" s="111">
        <f>SUM($F$26:F76)</f>
        <v>17338.912659705551</v>
      </c>
      <c r="H76" s="110">
        <f>ROUNDUP(G76/副本时间模板!$D$7,0)</f>
        <v>116</v>
      </c>
      <c r="I76" s="89"/>
      <c r="J76" s="100"/>
      <c r="K76" s="89"/>
      <c r="L76" s="89"/>
      <c r="O76" s="89">
        <v>52</v>
      </c>
      <c r="P76" s="110">
        <f>F76*副本时间模板!$C$75</f>
        <v>942.76293898116387</v>
      </c>
      <c r="Q76" s="111">
        <f>SUM($P$26:P76)</f>
        <v>11559.275106470372</v>
      </c>
      <c r="R76" s="110">
        <f>ROUNDUP(Q76/副本时间模板!$D$7,0)</f>
        <v>78</v>
      </c>
      <c r="T76" s="89">
        <v>52</v>
      </c>
      <c r="U76" s="110">
        <f>F76*副本时间模板!$D$89</f>
        <v>644.28151067955082</v>
      </c>
      <c r="V76" s="111">
        <f>SUM($U$26:U76)</f>
        <v>7899.575725797652</v>
      </c>
      <c r="W76" s="110">
        <f>ROUNDUP(V76/副本时间模板!$D$7,0)</f>
        <v>53</v>
      </c>
      <c r="Y76" s="89">
        <v>52</v>
      </c>
      <c r="Z76" s="110">
        <f>F76*副本时间模板!$D$104</f>
        <v>489.4536711609673</v>
      </c>
      <c r="AA76" s="111">
        <f>SUM($Z$26:Z76)</f>
        <v>6001.2219433824639</v>
      </c>
      <c r="AB76" s="110">
        <f>ROUNDUP(AA76/副本时间模板!$D$7,0)</f>
        <v>41</v>
      </c>
    </row>
    <row r="77" spans="1:28">
      <c r="A77" s="70" t="s">
        <v>398</v>
      </c>
      <c r="B77" s="111">
        <f>SUM(F75:F84)</f>
        <v>17258.180007426457</v>
      </c>
      <c r="C77" s="60">
        <v>53</v>
      </c>
      <c r="D77" s="117">
        <f t="shared" ref="D77:D83" si="12">D76+$B$79</f>
        <v>0.9512191304819001</v>
      </c>
      <c r="E77" s="71">
        <v>1</v>
      </c>
      <c r="F77" s="111">
        <f t="shared" si="11"/>
        <v>1491.917574231102</v>
      </c>
      <c r="G77" s="111">
        <f>SUM($F$26:F77)</f>
        <v>18830.830233936653</v>
      </c>
      <c r="H77" s="110">
        <f>ROUNDUP(G77/副本时间模板!$D$7,0)</f>
        <v>126</v>
      </c>
      <c r="I77" s="100"/>
      <c r="J77" s="100"/>
      <c r="K77" s="89"/>
      <c r="L77" s="89"/>
      <c r="O77" s="89">
        <v>53</v>
      </c>
      <c r="P77" s="110">
        <f>F77*副本时间模板!$C$75</f>
        <v>994.61171615406795</v>
      </c>
      <c r="Q77" s="111">
        <f>SUM($P$26:P77)</f>
        <v>12553.886822624439</v>
      </c>
      <c r="R77" s="110">
        <f>ROUNDUP(Q77/副本时间模板!$D$7,0)</f>
        <v>84</v>
      </c>
      <c r="T77" s="89">
        <v>53</v>
      </c>
      <c r="U77" s="110">
        <f>F77*副本时间模板!$D$89</f>
        <v>679.71481750846249</v>
      </c>
      <c r="V77" s="111">
        <f>SUM($U$26:U77)</f>
        <v>8579.2905433061151</v>
      </c>
      <c r="W77" s="110">
        <f>ROUNDUP(V77/副本时间模板!$D$7,0)</f>
        <v>58</v>
      </c>
      <c r="Y77" s="89">
        <v>53</v>
      </c>
      <c r="Z77" s="110">
        <f>F77*副本时间模板!$D$104</f>
        <v>516.37196979488499</v>
      </c>
      <c r="AA77" s="111">
        <f>SUM($Z$26:Z77)</f>
        <v>6517.5939131773484</v>
      </c>
      <c r="AB77" s="110">
        <f>ROUNDUP(AA77/副本时间模板!$D$7,0)</f>
        <v>44</v>
      </c>
    </row>
    <row r="78" spans="1:28">
      <c r="A78" s="70" t="s">
        <v>396</v>
      </c>
      <c r="B78" s="114">
        <f>B76*10</f>
        <v>20250</v>
      </c>
      <c r="C78" s="60">
        <v>54</v>
      </c>
      <c r="D78" s="117">
        <f t="shared" si="12"/>
        <v>0.95818782612734299</v>
      </c>
      <c r="E78" s="71">
        <v>1</v>
      </c>
      <c r="F78" s="111">
        <f t="shared" si="11"/>
        <v>1573.9680014044964</v>
      </c>
      <c r="G78" s="111">
        <f>SUM($F$26:F78)</f>
        <v>20404.79823534115</v>
      </c>
      <c r="H78" s="110">
        <f>ROUNDUP(G78/副本时间模板!$D$7,0)</f>
        <v>137</v>
      </c>
      <c r="I78" s="89"/>
      <c r="J78" s="100"/>
      <c r="K78" s="89"/>
      <c r="L78" s="89"/>
      <c r="O78" s="89">
        <v>54</v>
      </c>
      <c r="P78" s="110">
        <f>F78*副本时间模板!$C$75</f>
        <v>1049.3120009363308</v>
      </c>
      <c r="Q78" s="111">
        <f>SUM($P$26:P78)</f>
        <v>13603.19882356077</v>
      </c>
      <c r="R78" s="110">
        <f>ROUNDUP(Q78/副本时间模板!$D$7,0)</f>
        <v>91</v>
      </c>
      <c r="T78" s="89">
        <v>54</v>
      </c>
      <c r="U78" s="110">
        <f>F78*副本时间模板!$D$89</f>
        <v>717.09683652610022</v>
      </c>
      <c r="V78" s="111">
        <f>SUM($U$26:U78)</f>
        <v>9296.3873798322147</v>
      </c>
      <c r="W78" s="110">
        <f>ROUNDUP(V78/副本时间模板!$D$7,0)</f>
        <v>62</v>
      </c>
      <c r="Y78" s="89">
        <v>54</v>
      </c>
      <c r="Z78" s="110">
        <f>F78*副本时间模板!$D$104</f>
        <v>544.77068392885656</v>
      </c>
      <c r="AA78" s="111">
        <f>SUM($Z$26:Z78)</f>
        <v>7062.3645971062051</v>
      </c>
      <c r="AB78" s="110">
        <f>ROUNDUP(AA78/副本时间模板!$D$7,0)</f>
        <v>48</v>
      </c>
    </row>
    <row r="79" spans="1:28">
      <c r="A79" s="70" t="s">
        <v>394</v>
      </c>
      <c r="B79" s="110">
        <f>(D84-D75)/9</f>
        <v>6.9686956454428533E-3</v>
      </c>
      <c r="C79" s="60">
        <v>55</v>
      </c>
      <c r="D79" s="117">
        <f t="shared" si="12"/>
        <v>0.96515652177278588</v>
      </c>
      <c r="E79" s="71">
        <v>1</v>
      </c>
      <c r="F79" s="111">
        <f t="shared" si="11"/>
        <v>1660.5309249219372</v>
      </c>
      <c r="G79" s="111">
        <f>SUM($F$26:F79)</f>
        <v>22065.329160263085</v>
      </c>
      <c r="H79" s="110">
        <f>ROUNDUP(G79/副本时间模板!$D$7,0)</f>
        <v>148</v>
      </c>
      <c r="I79" s="89"/>
      <c r="J79" s="100"/>
      <c r="K79" s="89"/>
      <c r="L79" s="89"/>
      <c r="O79" s="89">
        <v>55</v>
      </c>
      <c r="P79" s="110">
        <f>F79*副本时间模板!$C$75</f>
        <v>1107.0206166146247</v>
      </c>
      <c r="Q79" s="111">
        <f>SUM($P$26:P79)</f>
        <v>14710.219440175395</v>
      </c>
      <c r="R79" s="110">
        <f>ROUNDUP(Q79/副本时间模板!$D$7,0)</f>
        <v>99</v>
      </c>
      <c r="T79" s="89">
        <v>55</v>
      </c>
      <c r="U79" s="110">
        <f>F79*副本时间模板!$D$89</f>
        <v>756.53474032047041</v>
      </c>
      <c r="V79" s="111">
        <f>SUM($U$26:U79)</f>
        <v>10052.922120152685</v>
      </c>
      <c r="W79" s="110">
        <f>ROUNDUP(V79/副本时间模板!$D$7,0)</f>
        <v>68</v>
      </c>
      <c r="Y79" s="89">
        <v>55</v>
      </c>
      <c r="Z79" s="110">
        <f>F79*副本时间模板!$D$104</f>
        <v>574.73123141482711</v>
      </c>
      <c r="AA79" s="111">
        <f>SUM($Z$26:Z79)</f>
        <v>7637.0958285210327</v>
      </c>
      <c r="AB79" s="110">
        <f>ROUNDUP(AA79/副本时间模板!$D$7,0)</f>
        <v>51</v>
      </c>
    </row>
    <row r="80" spans="1:28">
      <c r="A80" s="70" t="s">
        <v>399</v>
      </c>
      <c r="B80" s="114">
        <f>B78/B77</f>
        <v>1.1733566338562997</v>
      </c>
      <c r="C80" s="60">
        <v>56</v>
      </c>
      <c r="D80" s="117">
        <f t="shared" si="12"/>
        <v>0.97212521741822877</v>
      </c>
      <c r="E80" s="71">
        <v>1</v>
      </c>
      <c r="F80" s="111">
        <f t="shared" si="11"/>
        <v>1751.8545168400062</v>
      </c>
      <c r="G80" s="111">
        <f>SUM($F$26:F80)</f>
        <v>23817.18367710309</v>
      </c>
      <c r="H80" s="110">
        <f>ROUNDUP(G80/副本时间模板!$D$7,0)</f>
        <v>159</v>
      </c>
      <c r="I80" s="89"/>
      <c r="J80" s="100"/>
      <c r="K80" s="89"/>
      <c r="L80" s="89"/>
      <c r="O80" s="89">
        <v>56</v>
      </c>
      <c r="P80" s="110">
        <f>F80*副本时间模板!$C$75</f>
        <v>1167.9030112266707</v>
      </c>
      <c r="Q80" s="111">
        <f>SUM($P$26:P80)</f>
        <v>15878.122451402065</v>
      </c>
      <c r="R80" s="110">
        <f>ROUNDUP(Q80/副本时间模板!$D$7,0)</f>
        <v>106</v>
      </c>
      <c r="T80" s="89">
        <v>56</v>
      </c>
      <c r="U80" s="110">
        <f>F80*副本时间模板!$D$89</f>
        <v>798.14159560991163</v>
      </c>
      <c r="V80" s="111">
        <f>SUM($U$26:U80)</f>
        <v>10851.063715762597</v>
      </c>
      <c r="W80" s="110">
        <f>ROUNDUP(V80/副本时间模板!$D$7,0)</f>
        <v>73</v>
      </c>
      <c r="Y80" s="89">
        <v>56</v>
      </c>
      <c r="Z80" s="110">
        <f>F80*副本时间模板!$D$104</f>
        <v>606.33950781158524</v>
      </c>
      <c r="AA80" s="111">
        <f>SUM($Z$26:Z80)</f>
        <v>8243.4353363326172</v>
      </c>
      <c r="AB80" s="110">
        <f>ROUNDUP(AA80/副本时间模板!$D$7,0)</f>
        <v>55</v>
      </c>
    </row>
    <row r="81" spans="1:28">
      <c r="A81" s="70"/>
      <c r="B81" s="60"/>
      <c r="C81" s="60">
        <v>57</v>
      </c>
      <c r="D81" s="117">
        <f t="shared" si="12"/>
        <v>0.97909391306367166</v>
      </c>
      <c r="E81" s="71">
        <v>1</v>
      </c>
      <c r="F81" s="111">
        <f t="shared" si="11"/>
        <v>1848.2005978401201</v>
      </c>
      <c r="G81" s="111">
        <f>SUM($F$26:F81)</f>
        <v>25665.384274943211</v>
      </c>
      <c r="H81" s="110">
        <f>ROUNDUP(G81/副本时间模板!$D$7,0)</f>
        <v>172</v>
      </c>
      <c r="I81" s="89"/>
      <c r="J81" s="100"/>
      <c r="K81" s="89"/>
      <c r="L81" s="89"/>
      <c r="O81" s="89">
        <v>57</v>
      </c>
      <c r="P81" s="110">
        <f>F81*副本时间模板!$C$75</f>
        <v>1232.1337318934134</v>
      </c>
      <c r="Q81" s="111">
        <f>SUM($P$26:P81)</f>
        <v>17110.256183295478</v>
      </c>
      <c r="R81" s="110">
        <f>ROUNDUP(Q81/副本时间模板!$D$7,0)</f>
        <v>115</v>
      </c>
      <c r="T81" s="89">
        <v>57</v>
      </c>
      <c r="U81" s="110">
        <f>F81*副本时间模板!$D$89</f>
        <v>842.03668740035369</v>
      </c>
      <c r="V81" s="111">
        <f>SUM($U$26:U81)</f>
        <v>11693.100403162951</v>
      </c>
      <c r="W81" s="110">
        <f>ROUNDUP(V81/副本时间模板!$D$7,0)</f>
        <v>78</v>
      </c>
      <c r="Y81" s="89">
        <v>57</v>
      </c>
      <c r="Z81" s="110">
        <f>F81*副本时间模板!$D$104</f>
        <v>639.68613264351427</v>
      </c>
      <c r="AA81" s="111">
        <f>SUM($Z$26:Z81)</f>
        <v>8883.1214689761309</v>
      </c>
      <c r="AB81" s="110">
        <f>ROUNDUP(AA81/副本时间模板!$D$7,0)</f>
        <v>60</v>
      </c>
    </row>
    <row r="82" spans="1:28">
      <c r="A82" s="70"/>
      <c r="B82" s="60"/>
      <c r="C82" s="60">
        <v>58</v>
      </c>
      <c r="D82" s="117">
        <f t="shared" si="12"/>
        <v>0.98606260870911455</v>
      </c>
      <c r="E82" s="71">
        <v>1</v>
      </c>
      <c r="F82" s="111">
        <f t="shared" si="11"/>
        <v>1949.8453878567914</v>
      </c>
      <c r="G82" s="111">
        <f>SUM($F$26:F82)</f>
        <v>27615.229662800004</v>
      </c>
      <c r="H82" s="110">
        <f>ROUNDUP(G82/副本时间模板!$D$7,0)</f>
        <v>185</v>
      </c>
      <c r="I82" s="89"/>
      <c r="J82" s="100"/>
      <c r="K82" s="89"/>
      <c r="L82" s="89"/>
      <c r="O82" s="89">
        <v>58</v>
      </c>
      <c r="P82" s="110">
        <f>F82*副本时间模板!$C$75</f>
        <v>1299.8969252378608</v>
      </c>
      <c r="Q82" s="111">
        <f>SUM($P$26:P82)</f>
        <v>18410.153108533337</v>
      </c>
      <c r="R82" s="110">
        <f>ROUNDUP(Q82/副本时间模板!$D$7,0)</f>
        <v>123</v>
      </c>
      <c r="T82" s="89">
        <v>58</v>
      </c>
      <c r="U82" s="110">
        <f>F82*副本时间模板!$D$89</f>
        <v>888.34586097013005</v>
      </c>
      <c r="V82" s="111">
        <f>SUM($U$26:U82)</f>
        <v>12581.446264133081</v>
      </c>
      <c r="W82" s="110">
        <f>ROUNDUP(V82/副本时间模板!$D$7,0)</f>
        <v>84</v>
      </c>
      <c r="Y82" s="89">
        <v>58</v>
      </c>
      <c r="Z82" s="110">
        <f>F82*副本时间模板!$D$104</f>
        <v>674.86670920274298</v>
      </c>
      <c r="AA82" s="111">
        <f>SUM($Z$26:Z82)</f>
        <v>9557.9881781788736</v>
      </c>
      <c r="AB82" s="110">
        <f>ROUNDUP(AA82/副本时间模板!$D$7,0)</f>
        <v>64</v>
      </c>
    </row>
    <row r="83" spans="1:28">
      <c r="A83" s="70"/>
      <c r="B83" s="60"/>
      <c r="C83" s="60">
        <v>59</v>
      </c>
      <c r="D83" s="117">
        <f t="shared" si="12"/>
        <v>0.99303130435455744</v>
      </c>
      <c r="E83" s="71">
        <v>1</v>
      </c>
      <c r="F83" s="111">
        <f t="shared" si="11"/>
        <v>2057.0802979879195</v>
      </c>
      <c r="G83" s="111">
        <f>SUM($F$26:F83)</f>
        <v>29672.309960787923</v>
      </c>
      <c r="H83" s="110">
        <f>ROUNDUP(G83/副本时间模板!$D$7,0)</f>
        <v>198</v>
      </c>
      <c r="I83" s="89"/>
      <c r="J83" s="100"/>
      <c r="K83" s="89"/>
      <c r="L83" s="89"/>
      <c r="O83" s="89">
        <v>59</v>
      </c>
      <c r="P83" s="110">
        <f>F83*副本时间模板!$C$75</f>
        <v>1371.3868653252796</v>
      </c>
      <c r="Q83" s="111">
        <f>SUM($P$26:P83)</f>
        <v>19781.539973858617</v>
      </c>
      <c r="R83" s="110">
        <f>ROUNDUP(Q83/副本时间模板!$D$7,0)</f>
        <v>132</v>
      </c>
      <c r="T83" s="89">
        <v>59</v>
      </c>
      <c r="U83" s="110">
        <f>F83*副本时间模板!$D$89</f>
        <v>937.20188266280388</v>
      </c>
      <c r="V83" s="111">
        <f>SUM($U$26:U83)</f>
        <v>13518.648146795886</v>
      </c>
      <c r="W83" s="110">
        <f>ROUNDUP(V83/副本时间模板!$D$7,0)</f>
        <v>91</v>
      </c>
      <c r="Y83" s="89">
        <v>59</v>
      </c>
      <c r="Z83" s="110">
        <f>F83*副本时间模板!$D$104</f>
        <v>711.98209863953946</v>
      </c>
      <c r="AA83" s="111">
        <f>SUM($Z$26:Z83)</f>
        <v>10269.970276818412</v>
      </c>
      <c r="AB83" s="110">
        <f>ROUNDUP(AA83/副本时间模板!$D$7,0)</f>
        <v>69</v>
      </c>
    </row>
    <row r="84" spans="1:28">
      <c r="A84" s="70"/>
      <c r="B84" s="60"/>
      <c r="C84" s="60">
        <v>60</v>
      </c>
      <c r="D84" s="72">
        <v>1</v>
      </c>
      <c r="E84" s="71">
        <v>1</v>
      </c>
      <c r="F84" s="111">
        <f t="shared" si="11"/>
        <v>2170.2127659574467</v>
      </c>
      <c r="G84" s="111">
        <f>SUM($F$26:F84)</f>
        <v>31842.52272674537</v>
      </c>
      <c r="H84" s="110">
        <f>ROUNDUP(G84/副本时间模板!$D$7,0)</f>
        <v>213</v>
      </c>
      <c r="I84" s="89"/>
      <c r="J84" s="100"/>
      <c r="K84" s="89"/>
      <c r="L84" s="89"/>
      <c r="O84" s="89">
        <v>60</v>
      </c>
      <c r="P84" s="110">
        <f>F84*副本时间模板!$C$75</f>
        <v>1446.8085106382978</v>
      </c>
      <c r="Q84" s="111">
        <f>SUM($P$26:P84)</f>
        <v>21228.348484496913</v>
      </c>
      <c r="R84" s="110">
        <f>ROUNDUP(Q84/副本时间模板!$D$7,0)</f>
        <v>142</v>
      </c>
      <c r="T84" s="89">
        <v>60</v>
      </c>
      <c r="U84" s="110">
        <f>F84*副本时间模板!$D$89</f>
        <v>988.74482052237056</v>
      </c>
      <c r="V84" s="111">
        <f>SUM($U$26:U84)</f>
        <v>14507.392967318256</v>
      </c>
      <c r="W84" s="110">
        <f>ROUNDUP(V84/副本时间模板!$D$7,0)</f>
        <v>97</v>
      </c>
      <c r="Y84" s="89">
        <v>60</v>
      </c>
      <c r="Z84" s="110">
        <f>F84*副本时间模板!$D$104</f>
        <v>751.13870912674349</v>
      </c>
      <c r="AA84" s="111">
        <f>SUM($Z$26:Z84)</f>
        <v>11021.108985945157</v>
      </c>
      <c r="AB84" s="110">
        <f>ROUNDUP(AA84/副本时间模板!$D$7,0)</f>
        <v>74</v>
      </c>
    </row>
    <row r="85" spans="1:28">
      <c r="A85" s="75" t="s">
        <v>374</v>
      </c>
      <c r="B85" s="110">
        <f>(B86+B76)/$F$22</f>
        <v>2170.2127659574467</v>
      </c>
      <c r="C85" s="74">
        <v>61</v>
      </c>
      <c r="D85" s="118">
        <f>LOG(B85,B95)</f>
        <v>0.94537245554808746</v>
      </c>
      <c r="E85" s="71">
        <v>1</v>
      </c>
      <c r="F85" s="111">
        <f t="shared" ref="F85:F94" si="13">$B$95^D85*E85</f>
        <v>2170.2127659574458</v>
      </c>
      <c r="G85" s="111">
        <f>SUM($F$26:F85)</f>
        <v>34012.735492702814</v>
      </c>
      <c r="H85" s="110">
        <f>ROUNDUP(G85/副本时间模板!$D$7,0)</f>
        <v>227</v>
      </c>
      <c r="I85" s="89"/>
      <c r="J85" s="100"/>
      <c r="K85" s="89"/>
      <c r="L85" s="89"/>
      <c r="O85" s="74">
        <v>61</v>
      </c>
      <c r="P85" s="110">
        <f>F85*副本时间模板!$C$75</f>
        <v>1446.8085106382971</v>
      </c>
      <c r="Q85" s="111">
        <f>SUM($P$26:P85)</f>
        <v>22675.15699513521</v>
      </c>
      <c r="R85" s="110">
        <f>ROUNDUP(Q85/副本时间模板!$D$7,0)</f>
        <v>152</v>
      </c>
      <c r="T85" s="74">
        <v>61</v>
      </c>
      <c r="U85" s="110">
        <f>F85*副本时间模板!$D$89</f>
        <v>988.74482052237011</v>
      </c>
      <c r="V85" s="111">
        <f>SUM($U$26:U85)</f>
        <v>15496.137787840626</v>
      </c>
      <c r="W85" s="110">
        <f>ROUNDUP(V85/副本时间模板!$D$7,0)</f>
        <v>104</v>
      </c>
      <c r="Y85" s="74">
        <v>61</v>
      </c>
      <c r="Z85" s="110">
        <f>F85*副本时间模板!$D$104</f>
        <v>751.13870912674315</v>
      </c>
      <c r="AA85" s="111">
        <f>SUM($Z$26:Z85)</f>
        <v>11772.247695071899</v>
      </c>
      <c r="AB85" s="110">
        <f>ROUNDUP(AA85/副本时间模板!$D$7,0)</f>
        <v>79</v>
      </c>
    </row>
    <row r="86" spans="1:28">
      <c r="A86" s="70" t="s">
        <v>397</v>
      </c>
      <c r="B86" s="110">
        <f>A19</f>
        <v>3075</v>
      </c>
      <c r="C86" s="60">
        <v>62</v>
      </c>
      <c r="D86" s="117">
        <f>D85+$B$89</f>
        <v>0.95144218270941106</v>
      </c>
      <c r="E86" s="71">
        <v>1</v>
      </c>
      <c r="F86" s="111">
        <f t="shared" si="13"/>
        <v>2279.9440916418516</v>
      </c>
      <c r="G86" s="111">
        <f>SUM($F$26:F86)</f>
        <v>36292.679584344667</v>
      </c>
      <c r="H86" s="110">
        <f>ROUNDUP(G86/副本时间模板!$D$7,0)</f>
        <v>242</v>
      </c>
      <c r="I86" s="89"/>
      <c r="J86" s="100"/>
      <c r="K86" s="89"/>
      <c r="L86" s="89"/>
      <c r="O86" s="89">
        <v>62</v>
      </c>
      <c r="P86" s="110">
        <f>F86*副本时间模板!$C$75</f>
        <v>1519.9627277612344</v>
      </c>
      <c r="Q86" s="111">
        <f>SUM($P$26:P86)</f>
        <v>24195.119722896445</v>
      </c>
      <c r="R86" s="110">
        <f>ROUNDUP(Q86/副本时间模板!$D$7,0)</f>
        <v>162</v>
      </c>
      <c r="T86" s="89">
        <v>62</v>
      </c>
      <c r="U86" s="110">
        <f>F86*副本时间模板!$D$89</f>
        <v>1038.7382044068502</v>
      </c>
      <c r="V86" s="111">
        <f>SUM($U$26:U86)</f>
        <v>16534.875992247475</v>
      </c>
      <c r="W86" s="110">
        <f>ROUNDUP(V86/副本时间模板!$D$7,0)</f>
        <v>111</v>
      </c>
      <c r="Y86" s="89">
        <v>62</v>
      </c>
      <c r="Z86" s="110">
        <f>F86*副本时间模板!$D$104</f>
        <v>789.11814027665969</v>
      </c>
      <c r="AA86" s="111">
        <f>SUM($Z$26:Z86)</f>
        <v>12561.365835348559</v>
      </c>
      <c r="AB86" s="110">
        <f>ROUNDUP(AA86/副本时间模板!$D$7,0)</f>
        <v>84</v>
      </c>
    </row>
    <row r="87" spans="1:28">
      <c r="A87" s="70" t="s">
        <v>398</v>
      </c>
      <c r="B87" s="111">
        <f>SUM(F85:F94)</f>
        <v>27368.473718145775</v>
      </c>
      <c r="C87" s="76">
        <v>63</v>
      </c>
      <c r="D87" s="117">
        <f t="shared" ref="D87:D93" si="14">D86+$B$89</f>
        <v>0.95751190987073465</v>
      </c>
      <c r="E87" s="71">
        <v>1</v>
      </c>
      <c r="F87" s="111">
        <f t="shared" si="13"/>
        <v>2395.223704584233</v>
      </c>
      <c r="G87" s="111">
        <f>SUM($F$26:F87)</f>
        <v>38687.903288928901</v>
      </c>
      <c r="H87" s="110">
        <f>ROUNDUP(G87/副本时间模板!$D$7,0)</f>
        <v>258</v>
      </c>
      <c r="I87" s="100"/>
      <c r="J87" s="100"/>
      <c r="K87" s="89"/>
      <c r="L87" s="89"/>
      <c r="O87" s="76">
        <v>63</v>
      </c>
      <c r="P87" s="110">
        <f>F87*副本时间模板!$C$75</f>
        <v>1596.8158030561553</v>
      </c>
      <c r="Q87" s="111">
        <f>SUM($P$26:P87)</f>
        <v>25791.935525952598</v>
      </c>
      <c r="R87" s="110">
        <f>ROUNDUP(Q87/副本时间模板!$D$7,0)</f>
        <v>172</v>
      </c>
      <c r="T87" s="76">
        <v>63</v>
      </c>
      <c r="U87" s="110">
        <f>F87*副本时间模板!$D$89</f>
        <v>1091.2593774441477</v>
      </c>
      <c r="V87" s="111">
        <f>SUM($U$26:U87)</f>
        <v>17626.135369691623</v>
      </c>
      <c r="W87" s="110">
        <f>ROUNDUP(V87/副本时间模板!$D$7,0)</f>
        <v>118</v>
      </c>
      <c r="Y87" s="76">
        <v>63</v>
      </c>
      <c r="Z87" s="110">
        <f>F87*副本时间模板!$D$104</f>
        <v>829.01790541142475</v>
      </c>
      <c r="AA87" s="111">
        <f>SUM($Z$26:Z87)</f>
        <v>13390.383740759984</v>
      </c>
      <c r="AB87" s="110">
        <f>ROUNDUP(AA87/副本时间模板!$D$7,0)</f>
        <v>90</v>
      </c>
    </row>
    <row r="88" spans="1:28">
      <c r="A88" s="70" t="s">
        <v>396</v>
      </c>
      <c r="B88" s="114">
        <f>B86*10</f>
        <v>30750</v>
      </c>
      <c r="C88" s="60">
        <v>64</v>
      </c>
      <c r="D88" s="117">
        <f t="shared" si="14"/>
        <v>0.96358163703205824</v>
      </c>
      <c r="E88" s="71">
        <v>1</v>
      </c>
      <c r="F88" s="111">
        <f t="shared" si="13"/>
        <v>2516.3321399125944</v>
      </c>
      <c r="G88" s="111">
        <f>SUM($F$26:F88)</f>
        <v>41204.235428841494</v>
      </c>
      <c r="H88" s="110">
        <f>ROUNDUP(G88/副本时间模板!$D$7,0)</f>
        <v>275</v>
      </c>
      <c r="I88" s="89"/>
      <c r="J88" s="100"/>
      <c r="K88" s="89"/>
      <c r="L88" s="89"/>
      <c r="O88" s="89">
        <v>64</v>
      </c>
      <c r="P88" s="110">
        <f>F88*副本时间模板!$C$75</f>
        <v>1677.5547599417296</v>
      </c>
      <c r="Q88" s="111">
        <f>SUM($P$26:P88)</f>
        <v>27469.490285894328</v>
      </c>
      <c r="R88" s="110">
        <f>ROUNDUP(Q88/副本时间模板!$D$7,0)</f>
        <v>184</v>
      </c>
      <c r="T88" s="89">
        <v>64</v>
      </c>
      <c r="U88" s="110">
        <f>F88*副本时间模板!$D$89</f>
        <v>1146.4361509065675</v>
      </c>
      <c r="V88" s="111">
        <f>SUM($U$26:U88)</f>
        <v>18772.571520598191</v>
      </c>
      <c r="W88" s="110">
        <f>ROUNDUP(V88/副本时间模板!$D$7,0)</f>
        <v>126</v>
      </c>
      <c r="Y88" s="89">
        <v>64</v>
      </c>
      <c r="Z88" s="110">
        <f>F88*副本时间模板!$D$104</f>
        <v>870.93510136744965</v>
      </c>
      <c r="AA88" s="111">
        <f>SUM($Z$26:Z88)</f>
        <v>14261.318842127434</v>
      </c>
      <c r="AB88" s="110">
        <f>ROUNDUP(AA88/副本时间模板!$D$7,0)</f>
        <v>96</v>
      </c>
    </row>
    <row r="89" spans="1:28">
      <c r="A89" s="70" t="s">
        <v>394</v>
      </c>
      <c r="B89" s="110">
        <f>(D94-D85)/9</f>
        <v>6.0697271613236146E-3</v>
      </c>
      <c r="C89" s="76">
        <v>65</v>
      </c>
      <c r="D89" s="117">
        <f t="shared" si="14"/>
        <v>0.96965136419338183</v>
      </c>
      <c r="E89" s="71">
        <v>1</v>
      </c>
      <c r="F89" s="111">
        <f t="shared" si="13"/>
        <v>2643.5641173049444</v>
      </c>
      <c r="G89" s="111">
        <f>SUM($F$26:F89)</f>
        <v>43847.799546146438</v>
      </c>
      <c r="H89" s="110">
        <f>ROUNDUP(G89/副本时间模板!$D$7,0)</f>
        <v>293</v>
      </c>
      <c r="I89" s="89"/>
      <c r="J89" s="100"/>
      <c r="K89" s="89"/>
      <c r="L89" s="89"/>
      <c r="O89" s="76">
        <v>65</v>
      </c>
      <c r="P89" s="110">
        <f>F89*副本时间模板!$C$75</f>
        <v>1762.3760782032962</v>
      </c>
      <c r="Q89" s="111">
        <f>SUM($P$26:P89)</f>
        <v>29231.866364097623</v>
      </c>
      <c r="R89" s="110">
        <f>ROUNDUP(Q89/副本时间模板!$D$7,0)</f>
        <v>195</v>
      </c>
      <c r="T89" s="76">
        <v>65</v>
      </c>
      <c r="U89" s="110">
        <f>F89*副本时间模板!$D$89</f>
        <v>1204.4027985204966</v>
      </c>
      <c r="V89" s="111">
        <f>SUM($U$26:U89)</f>
        <v>19976.974319118686</v>
      </c>
      <c r="W89" s="110">
        <f>ROUNDUP(V89/副本时间模板!$D$7,0)</f>
        <v>134</v>
      </c>
      <c r="Y89" s="76">
        <v>65</v>
      </c>
      <c r="Z89" s="110">
        <f>F89*副本时间模板!$D$104</f>
        <v>914.97173443737358</v>
      </c>
      <c r="AA89" s="111">
        <f>SUM($Z$26:Z89)</f>
        <v>15176.290576564807</v>
      </c>
      <c r="AB89" s="110">
        <f>ROUNDUP(AA89/副本时间模板!$D$7,0)</f>
        <v>102</v>
      </c>
    </row>
    <row r="90" spans="1:28">
      <c r="A90" s="70" t="s">
        <v>399</v>
      </c>
      <c r="B90" s="114">
        <f>B88/B87</f>
        <v>1.1235555302308369</v>
      </c>
      <c r="C90" s="60">
        <v>66</v>
      </c>
      <c r="D90" s="117">
        <f t="shared" si="14"/>
        <v>0.97572109135470542</v>
      </c>
      <c r="E90" s="71">
        <v>1</v>
      </c>
      <c r="F90" s="111">
        <f t="shared" si="13"/>
        <v>2777.2292581952297</v>
      </c>
      <c r="G90" s="111">
        <f>SUM($F$26:F90)</f>
        <v>46625.028804341666</v>
      </c>
      <c r="H90" s="110">
        <f>ROUNDUP(G90/副本时间模板!$D$7,0)</f>
        <v>311</v>
      </c>
      <c r="I90" s="89"/>
      <c r="J90" s="100"/>
      <c r="K90" s="89"/>
      <c r="L90" s="89"/>
      <c r="O90" s="89">
        <v>66</v>
      </c>
      <c r="P90" s="110">
        <f>F90*副本时间模板!$C$75</f>
        <v>1851.4861721301531</v>
      </c>
      <c r="Q90" s="111">
        <f>SUM($P$26:P90)</f>
        <v>31083.352536227776</v>
      </c>
      <c r="R90" s="110">
        <f>ROUNDUP(Q90/副本时间模板!$D$7,0)</f>
        <v>208</v>
      </c>
      <c r="T90" s="89">
        <v>66</v>
      </c>
      <c r="U90" s="110">
        <f>F90*副本时间模板!$D$89</f>
        <v>1265.3003832240665</v>
      </c>
      <c r="V90" s="111">
        <f>SUM($U$26:U90)</f>
        <v>21242.274702342751</v>
      </c>
      <c r="W90" s="110">
        <f>ROUNDUP(V90/副本时间模板!$D$7,0)</f>
        <v>142</v>
      </c>
      <c r="Y90" s="89">
        <v>66</v>
      </c>
      <c r="Z90" s="110">
        <f>F90*副本时间模板!$D$104</f>
        <v>961.23496860431419</v>
      </c>
      <c r="AA90" s="111">
        <f>SUM($Z$26:Z90)</f>
        <v>16137.525545169121</v>
      </c>
      <c r="AB90" s="110">
        <f>ROUNDUP(AA90/副本时间模板!$D$7,0)</f>
        <v>108</v>
      </c>
    </row>
    <row r="91" spans="1:28">
      <c r="C91" s="76">
        <v>67</v>
      </c>
      <c r="D91" s="117">
        <f t="shared" si="14"/>
        <v>0.98179081851602901</v>
      </c>
      <c r="E91" s="71">
        <v>1</v>
      </c>
      <c r="F91" s="111">
        <f t="shared" si="13"/>
        <v>2917.6528392429746</v>
      </c>
      <c r="G91" s="111">
        <f>SUM($F$26:F91)</f>
        <v>49542.681643584641</v>
      </c>
      <c r="H91" s="110">
        <f>ROUNDUP(G91/副本时间模板!$D$7,0)</f>
        <v>331</v>
      </c>
      <c r="I91" s="89"/>
      <c r="J91" s="100"/>
      <c r="K91" s="89"/>
      <c r="L91" s="89"/>
      <c r="O91" s="76">
        <v>67</v>
      </c>
      <c r="P91" s="110">
        <f>F91*副本时间模板!$C$75</f>
        <v>1945.1018928286496</v>
      </c>
      <c r="Q91" s="111">
        <f>SUM($P$26:P91)</f>
        <v>33028.454429056423</v>
      </c>
      <c r="R91" s="110">
        <f>ROUNDUP(Q91/副本时间模板!$D$7,0)</f>
        <v>221</v>
      </c>
      <c r="T91" s="76">
        <v>67</v>
      </c>
      <c r="U91" s="110">
        <f>F91*副本时间模板!$D$89</f>
        <v>1329.2771004464937</v>
      </c>
      <c r="V91" s="111">
        <f>SUM($U$26:U91)</f>
        <v>22571.551802789243</v>
      </c>
      <c r="W91" s="110">
        <f>ROUNDUP(V91/副本时间模板!$D$7,0)</f>
        <v>151</v>
      </c>
      <c r="Y91" s="76">
        <v>67</v>
      </c>
      <c r="Z91" s="110">
        <f>F91*副本时间模板!$D$104</f>
        <v>1009.8373863274555</v>
      </c>
      <c r="AA91" s="111">
        <f>SUM($Z$26:Z91)</f>
        <v>17147.362931496576</v>
      </c>
      <c r="AB91" s="110">
        <f>ROUNDUP(AA91/副本时间模板!$D$7,0)</f>
        <v>115</v>
      </c>
    </row>
    <row r="92" spans="1:28">
      <c r="C92" s="60">
        <v>68</v>
      </c>
      <c r="D92" s="117">
        <f t="shared" si="14"/>
        <v>0.9878605456773526</v>
      </c>
      <c r="E92" s="71">
        <v>1</v>
      </c>
      <c r="F92" s="111">
        <f t="shared" si="13"/>
        <v>3065.176583900221</v>
      </c>
      <c r="G92" s="111">
        <f>SUM($F$26:F92)</f>
        <v>52607.85822748486</v>
      </c>
      <c r="H92" s="110">
        <f>ROUNDUP(G92/副本时间模板!$D$7,0)</f>
        <v>351</v>
      </c>
      <c r="I92" s="89"/>
      <c r="J92" s="100"/>
      <c r="K92" s="89"/>
      <c r="L92" s="89"/>
      <c r="O92" s="89">
        <v>68</v>
      </c>
      <c r="P92" s="110">
        <f>F92*副本时间模板!$C$75</f>
        <v>2043.4510559334806</v>
      </c>
      <c r="Q92" s="111">
        <f>SUM($P$26:P92)</f>
        <v>35071.905484989904</v>
      </c>
      <c r="R92" s="110">
        <f>ROUNDUP(Q92/副本时间模板!$D$7,0)</f>
        <v>234</v>
      </c>
      <c r="T92" s="89">
        <v>68</v>
      </c>
      <c r="U92" s="110">
        <f>F92*副本时间模板!$D$89</f>
        <v>1396.4886387444751</v>
      </c>
      <c r="V92" s="111">
        <f>SUM($U$26:U92)</f>
        <v>23968.040441533718</v>
      </c>
      <c r="W92" s="110">
        <f>ROUNDUP(V92/副本时间模板!$D$7,0)</f>
        <v>160</v>
      </c>
      <c r="Y92" s="89">
        <v>68</v>
      </c>
      <c r="Z92" s="110">
        <f>F92*副本时间模板!$D$104</f>
        <v>1060.8972625136046</v>
      </c>
      <c r="AA92" s="111">
        <f>SUM($Z$26:Z92)</f>
        <v>18208.260194010181</v>
      </c>
      <c r="AB92" s="110">
        <f>ROUNDUP(AA92/副本时间模板!$D$7,0)</f>
        <v>122</v>
      </c>
    </row>
    <row r="93" spans="1:28">
      <c r="C93" s="76">
        <v>69</v>
      </c>
      <c r="D93" s="117">
        <f t="shared" si="14"/>
        <v>0.99393027283867619</v>
      </c>
      <c r="E93" s="71">
        <v>1</v>
      </c>
      <c r="F93" s="111">
        <f t="shared" si="13"/>
        <v>3220.1594940020273</v>
      </c>
      <c r="G93" s="111">
        <f>SUM($F$26:F93)</f>
        <v>55828.017721486889</v>
      </c>
      <c r="H93" s="110">
        <f>ROUNDUP(G93/副本时间模板!$D$7,0)</f>
        <v>373</v>
      </c>
      <c r="I93" s="89"/>
      <c r="J93" s="100"/>
      <c r="K93" s="89"/>
      <c r="L93" s="89"/>
      <c r="O93" s="76">
        <v>69</v>
      </c>
      <c r="P93" s="110">
        <f>F93*副本时间模板!$C$75</f>
        <v>2146.7729960013512</v>
      </c>
      <c r="Q93" s="111">
        <f>SUM($P$26:P93)</f>
        <v>37218.678480991257</v>
      </c>
      <c r="R93" s="110">
        <f>ROUNDUP(Q93/副本时间模板!$D$7,0)</f>
        <v>249</v>
      </c>
      <c r="T93" s="76">
        <v>69</v>
      </c>
      <c r="U93" s="110">
        <f>F93*副本时间模板!$D$89</f>
        <v>1467.0985586732429</v>
      </c>
      <c r="V93" s="111">
        <f>SUM($U$26:U93)</f>
        <v>25435.13900020696</v>
      </c>
      <c r="W93" s="110">
        <f>ROUNDUP(V93/副本时间模板!$D$7,0)</f>
        <v>170</v>
      </c>
      <c r="Y93" s="76">
        <v>69</v>
      </c>
      <c r="Z93" s="110">
        <f>F93*副本时间模板!$D$104</f>
        <v>1114.5388523414194</v>
      </c>
      <c r="AA93" s="111">
        <f>SUM($Z$26:Z93)</f>
        <v>19322.7990463516</v>
      </c>
      <c r="AB93" s="110">
        <f>ROUNDUP(AA93/副本时间模板!$D$7,0)</f>
        <v>129</v>
      </c>
    </row>
    <row r="94" spans="1:28">
      <c r="C94" s="60">
        <v>70</v>
      </c>
      <c r="D94" s="72">
        <v>1</v>
      </c>
      <c r="E94" s="71">
        <v>1</v>
      </c>
      <c r="F94" s="111">
        <f t="shared" si="13"/>
        <v>3382.9787234042551</v>
      </c>
      <c r="G94" s="111">
        <f>SUM($F$26:F94)</f>
        <v>59210.996444891141</v>
      </c>
      <c r="H94" s="110">
        <f>ROUNDUP(G94/副本时间模板!$D$7,0)</f>
        <v>395</v>
      </c>
      <c r="I94" s="89"/>
      <c r="J94" s="100"/>
      <c r="K94" s="89"/>
      <c r="L94" s="89"/>
      <c r="O94" s="89">
        <v>70</v>
      </c>
      <c r="P94" s="110">
        <f>F94*副本时间模板!$C$75</f>
        <v>2255.3191489361698</v>
      </c>
      <c r="Q94" s="111">
        <f>SUM($P$26:P94)</f>
        <v>39473.997629927428</v>
      </c>
      <c r="R94" s="110">
        <f>ROUNDUP(Q94/副本时间模板!$D$7,0)</f>
        <v>264</v>
      </c>
      <c r="T94" s="89">
        <v>70</v>
      </c>
      <c r="U94" s="110">
        <f>F94*副本时间模板!$D$89</f>
        <v>1541.2786908142834</v>
      </c>
      <c r="V94" s="111">
        <f>SUM($U$26:U94)</f>
        <v>26976.417691021245</v>
      </c>
      <c r="W94" s="110">
        <f>ROUNDUP(V94/副本时间模板!$D$7,0)</f>
        <v>180</v>
      </c>
      <c r="Y94" s="89">
        <v>70</v>
      </c>
      <c r="Z94" s="110">
        <f>F94*副本时间模板!$D$104</f>
        <v>1170.8926936387472</v>
      </c>
      <c r="AA94" s="111">
        <f>SUM($Z$26:Z94)</f>
        <v>20493.691739990347</v>
      </c>
      <c r="AB94" s="110">
        <f>ROUNDUP(AA94/副本时间模板!$D$7,0)</f>
        <v>137</v>
      </c>
    </row>
    <row r="95" spans="1:28">
      <c r="A95" s="75" t="s">
        <v>375</v>
      </c>
      <c r="B95" s="110">
        <f>(B96+B86)/$F$22</f>
        <v>3382.9787234042551</v>
      </c>
      <c r="C95" s="74">
        <v>71</v>
      </c>
      <c r="D95" s="118">
        <f>LOG(B95,B105)</f>
        <v>0.95460822913589793</v>
      </c>
      <c r="E95" s="71">
        <v>1</v>
      </c>
      <c r="F95" s="110">
        <f t="shared" ref="F95:F104" si="15">$B$105^D95*E95</f>
        <v>3382.9787234042578</v>
      </c>
      <c r="G95" s="111">
        <f>SUM($F$26:F95)</f>
        <v>62593.975168295401</v>
      </c>
      <c r="H95" s="110">
        <f>ROUNDUP(G95/副本时间模板!$D$7,0)</f>
        <v>418</v>
      </c>
      <c r="I95" s="89"/>
      <c r="J95" s="100"/>
      <c r="K95" s="89"/>
      <c r="L95" s="89"/>
      <c r="O95" s="74">
        <v>71</v>
      </c>
      <c r="P95" s="110">
        <f>F95*副本时间模板!$C$75</f>
        <v>2255.3191489361716</v>
      </c>
      <c r="Q95" s="111">
        <f>SUM($P$26:P95)</f>
        <v>41729.316778863598</v>
      </c>
      <c r="R95" s="110">
        <f>ROUNDUP(Q95/副本时间模板!$D$7,0)</f>
        <v>279</v>
      </c>
      <c r="T95" s="74">
        <v>71</v>
      </c>
      <c r="U95" s="110">
        <f>F95*副本时间模板!$D$89</f>
        <v>1541.2786908142848</v>
      </c>
      <c r="V95" s="111">
        <f>SUM($U$26:U95)</f>
        <v>28517.696381835529</v>
      </c>
      <c r="W95" s="110">
        <f>ROUNDUP(V95/副本时间模板!$D$7,0)</f>
        <v>191</v>
      </c>
      <c r="Y95" s="74">
        <v>71</v>
      </c>
      <c r="Z95" s="110">
        <f>F95*副本时间模板!$D$104</f>
        <v>1170.8926936387481</v>
      </c>
      <c r="AA95" s="111">
        <f>SUM($Z$26:Z95)</f>
        <v>21664.584433629094</v>
      </c>
      <c r="AB95" s="110">
        <f>ROUNDUP(AA95/副本时间模板!$D$7,0)</f>
        <v>145</v>
      </c>
    </row>
    <row r="96" spans="1:28">
      <c r="A96" s="70" t="s">
        <v>397</v>
      </c>
      <c r="B96" s="110">
        <f>A20</f>
        <v>4875</v>
      </c>
      <c r="C96" s="60">
        <v>72</v>
      </c>
      <c r="D96" s="117">
        <f>D95+$B$99</f>
        <v>0.95965175923190926</v>
      </c>
      <c r="E96" s="71">
        <v>1</v>
      </c>
      <c r="F96" s="110">
        <f t="shared" si="15"/>
        <v>3531.3908896864082</v>
      </c>
      <c r="G96" s="111">
        <f>SUM($F$26:F96)</f>
        <v>66125.36605798181</v>
      </c>
      <c r="H96" s="110">
        <f>ROUNDUP(G96/副本时间模板!$D$7,0)</f>
        <v>441</v>
      </c>
      <c r="I96" s="89"/>
      <c r="J96" s="100"/>
      <c r="K96" s="89"/>
      <c r="L96" s="89"/>
      <c r="O96" s="89">
        <v>72</v>
      </c>
      <c r="P96" s="110">
        <f>F96*副本时间模板!$C$75</f>
        <v>2354.260593124272</v>
      </c>
      <c r="Q96" s="111">
        <f>SUM($P$26:P96)</f>
        <v>44083.577371987871</v>
      </c>
      <c r="R96" s="110">
        <f>ROUNDUP(Q96/副本时间模板!$D$7,0)</f>
        <v>294</v>
      </c>
      <c r="T96" s="89">
        <v>72</v>
      </c>
      <c r="U96" s="110">
        <f>F96*副本时间模板!$D$89</f>
        <v>1608.8949923197465</v>
      </c>
      <c r="V96" s="111">
        <f>SUM($U$26:U96)</f>
        <v>30126.591374155276</v>
      </c>
      <c r="W96" s="110">
        <f>ROUNDUP(V96/副本时间模板!$D$7,0)</f>
        <v>201</v>
      </c>
      <c r="Y96" s="89">
        <v>72</v>
      </c>
      <c r="Z96" s="110">
        <f>F96*副本时间模板!$D$104</f>
        <v>1222.2600640406527</v>
      </c>
      <c r="AA96" s="111">
        <f>SUM($Z$26:Z96)</f>
        <v>22886.844497669746</v>
      </c>
      <c r="AB96" s="110">
        <f>ROUNDUP(AA96/副本时间模板!$D$7,0)</f>
        <v>153</v>
      </c>
    </row>
    <row r="97" spans="1:28">
      <c r="A97" s="70" t="s">
        <v>398</v>
      </c>
      <c r="B97" s="111">
        <f>SUM(F95:F104)</f>
        <v>41352.899717009364</v>
      </c>
      <c r="C97" s="76">
        <v>73</v>
      </c>
      <c r="D97" s="117">
        <f t="shared" ref="D97:D103" si="16">D96+$B$99</f>
        <v>0.96469528932792059</v>
      </c>
      <c r="E97" s="71">
        <v>1</v>
      </c>
      <c r="F97" s="110">
        <f t="shared" si="15"/>
        <v>3686.3139367341328</v>
      </c>
      <c r="G97" s="111">
        <f>SUM($F$26:F97)</f>
        <v>69811.679994715945</v>
      </c>
      <c r="H97" s="110">
        <f>ROUNDUP(G97/副本时间模板!$D$7,0)</f>
        <v>466</v>
      </c>
      <c r="I97" s="100"/>
      <c r="J97" s="100"/>
      <c r="K97" s="89"/>
      <c r="L97" s="89"/>
      <c r="O97" s="76">
        <v>73</v>
      </c>
      <c r="P97" s="110">
        <f>F97*副本时间模板!$C$75</f>
        <v>2457.5426244894215</v>
      </c>
      <c r="Q97" s="111">
        <f>SUM($P$26:P97)</f>
        <v>46541.11999647729</v>
      </c>
      <c r="R97" s="110">
        <f>ROUNDUP(Q97/副本时间模板!$D$7,0)</f>
        <v>311</v>
      </c>
      <c r="T97" s="76">
        <v>73</v>
      </c>
      <c r="U97" s="110">
        <f>F97*副本时间模板!$D$89</f>
        <v>1679.4776387546008</v>
      </c>
      <c r="V97" s="111">
        <f>SUM($U$26:U97)</f>
        <v>31806.069012909877</v>
      </c>
      <c r="W97" s="110">
        <f>ROUNDUP(V97/副本时间模板!$D$7,0)</f>
        <v>213</v>
      </c>
      <c r="Y97" s="76">
        <v>73</v>
      </c>
      <c r="Z97" s="110">
        <f>F97*副本时间模板!$D$104</f>
        <v>1275.8809344911454</v>
      </c>
      <c r="AA97" s="111">
        <f>SUM($Z$26:Z97)</f>
        <v>24162.725432160893</v>
      </c>
      <c r="AB97" s="110">
        <f>ROUNDUP(AA97/副本时间模板!$D$7,0)</f>
        <v>162</v>
      </c>
    </row>
    <row r="98" spans="1:28">
      <c r="A98" s="70" t="s">
        <v>396</v>
      </c>
      <c r="B98" s="114">
        <f>B96*10</f>
        <v>48750</v>
      </c>
      <c r="C98" s="60">
        <v>74</v>
      </c>
      <c r="D98" s="117">
        <f t="shared" si="16"/>
        <v>0.96973881942393192</v>
      </c>
      <c r="E98" s="71">
        <v>1</v>
      </c>
      <c r="F98" s="110">
        <f t="shared" si="15"/>
        <v>3848.0334985989011</v>
      </c>
      <c r="G98" s="111">
        <f>SUM($F$26:F98)</f>
        <v>73659.713493314848</v>
      </c>
      <c r="H98" s="110">
        <f>ROUNDUP(G98/副本时间模板!$D$7,0)</f>
        <v>492</v>
      </c>
      <c r="I98" s="89"/>
      <c r="J98" s="100"/>
      <c r="K98" s="89"/>
      <c r="L98" s="89"/>
      <c r="O98" s="89">
        <v>74</v>
      </c>
      <c r="P98" s="110">
        <f>F98*副本时间模板!$C$75</f>
        <v>2565.3556657326008</v>
      </c>
      <c r="Q98" s="111">
        <f>SUM($P$26:P98)</f>
        <v>49106.475662209894</v>
      </c>
      <c r="R98" s="110">
        <f>ROUNDUP(Q98/副本时间模板!$D$7,0)</f>
        <v>328</v>
      </c>
      <c r="T98" s="89">
        <v>74</v>
      </c>
      <c r="U98" s="110">
        <f>F98*副本时间模板!$D$89</f>
        <v>1753.1567644510128</v>
      </c>
      <c r="V98" s="111">
        <f>SUM($U$26:U98)</f>
        <v>33559.225777360887</v>
      </c>
      <c r="W98" s="110">
        <f>ROUNDUP(V98/副本时间模板!$D$7,0)</f>
        <v>224</v>
      </c>
      <c r="Y98" s="89">
        <v>74</v>
      </c>
      <c r="Z98" s="110">
        <f>F98*副本时间模板!$D$104</f>
        <v>1331.8541666300011</v>
      </c>
      <c r="AA98" s="111">
        <f>SUM($Z$26:Z98)</f>
        <v>25494.579598790893</v>
      </c>
      <c r="AB98" s="110">
        <f>ROUNDUP(AA98/副本时间模板!$D$7,0)</f>
        <v>170</v>
      </c>
    </row>
    <row r="99" spans="1:28">
      <c r="A99" s="70" t="s">
        <v>394</v>
      </c>
      <c r="B99" s="110">
        <f>(D104-D95)/9</f>
        <v>5.0435300960113404E-3</v>
      </c>
      <c r="C99" s="76">
        <v>75</v>
      </c>
      <c r="D99" s="117">
        <f t="shared" si="16"/>
        <v>0.97478234951994325</v>
      </c>
      <c r="E99" s="71">
        <v>1</v>
      </c>
      <c r="F99" s="110">
        <f t="shared" si="15"/>
        <v>4016.8477401731598</v>
      </c>
      <c r="G99" s="111">
        <f>SUM($F$26:F99)</f>
        <v>77676.561233488013</v>
      </c>
      <c r="H99" s="110">
        <f>ROUNDUP(G99/副本时间模板!$D$7,0)</f>
        <v>518</v>
      </c>
      <c r="I99" s="89"/>
      <c r="J99" s="100"/>
      <c r="K99" s="89"/>
      <c r="L99" s="89"/>
      <c r="O99" s="76">
        <v>75</v>
      </c>
      <c r="P99" s="110">
        <f>F99*副本时间模板!$C$75</f>
        <v>2677.898493448773</v>
      </c>
      <c r="Q99" s="111">
        <f>SUM($P$26:P99)</f>
        <v>51784.374155658668</v>
      </c>
      <c r="R99" s="110">
        <f>ROUNDUP(Q99/副本时间模板!$D$7,0)</f>
        <v>346</v>
      </c>
      <c r="T99" s="76">
        <v>75</v>
      </c>
      <c r="U99" s="110">
        <f>F99*副本时间模板!$D$89</f>
        <v>1830.0682127685336</v>
      </c>
      <c r="V99" s="111">
        <f>SUM($U$26:U99)</f>
        <v>35389.293990129423</v>
      </c>
      <c r="W99" s="110">
        <f>ROUNDUP(V99/副本时间模板!$D$7,0)</f>
        <v>236</v>
      </c>
      <c r="Y99" s="76">
        <v>75</v>
      </c>
      <c r="Z99" s="110">
        <f>F99*副本时间模板!$D$104</f>
        <v>1390.2829591831389</v>
      </c>
      <c r="AA99" s="111">
        <f>SUM($Z$26:Z99)</f>
        <v>26884.862557974033</v>
      </c>
      <c r="AB99" s="110">
        <f>ROUNDUP(AA99/副本时间模板!$D$7,0)</f>
        <v>180</v>
      </c>
    </row>
    <row r="100" spans="1:28">
      <c r="A100" s="70" t="s">
        <v>399</v>
      </c>
      <c r="B100" s="114">
        <f>B98/B97</f>
        <v>1.178877426579787</v>
      </c>
      <c r="C100" s="60">
        <v>76</v>
      </c>
      <c r="D100" s="117">
        <f t="shared" si="16"/>
        <v>0.97982587961595458</v>
      </c>
      <c r="E100" s="71">
        <v>1</v>
      </c>
      <c r="F100" s="110">
        <f t="shared" si="15"/>
        <v>4193.0679069215803</v>
      </c>
      <c r="G100" s="111">
        <f>SUM($F$26:F100)</f>
        <v>81869.629140409597</v>
      </c>
      <c r="H100" s="110">
        <f>ROUNDUP(G100/副本时间模板!$D$7,0)</f>
        <v>546</v>
      </c>
      <c r="I100" s="89"/>
      <c r="J100" s="100"/>
      <c r="K100" s="89"/>
      <c r="L100" s="89"/>
      <c r="O100" s="89">
        <v>76</v>
      </c>
      <c r="P100" s="110">
        <f>F100*副本时间模板!$C$75</f>
        <v>2795.3786046143869</v>
      </c>
      <c r="Q100" s="111">
        <f>SUM($P$26:P100)</f>
        <v>54579.752760273055</v>
      </c>
      <c r="R100" s="110">
        <f>ROUNDUP(Q100/副本时间模板!$D$7,0)</f>
        <v>364</v>
      </c>
      <c r="T100" s="89">
        <v>76</v>
      </c>
      <c r="U100" s="110">
        <f>F100*副本时间模板!$D$89</f>
        <v>1910.3537865506141</v>
      </c>
      <c r="V100" s="111">
        <f>SUM($U$26:U100)</f>
        <v>37299.647776680038</v>
      </c>
      <c r="W100" s="110">
        <f>ROUNDUP(V100/副本时间模板!$D$7,0)</f>
        <v>249</v>
      </c>
      <c r="Y100" s="89">
        <v>76</v>
      </c>
      <c r="Z100" s="110">
        <f>F100*副本时间模板!$D$104</f>
        <v>1451.2750382317163</v>
      </c>
      <c r="AA100" s="111">
        <f>SUM($Z$26:Z100)</f>
        <v>28336.13759620575</v>
      </c>
      <c r="AB100" s="110">
        <f>ROUNDUP(AA100/副本时间模板!$D$7,0)</f>
        <v>189</v>
      </c>
    </row>
    <row r="101" spans="1:28">
      <c r="C101" s="76">
        <v>77</v>
      </c>
      <c r="D101" s="117">
        <f t="shared" si="16"/>
        <v>0.9848694097119659</v>
      </c>
      <c r="E101" s="71">
        <v>1</v>
      </c>
      <c r="F101" s="110">
        <f t="shared" si="15"/>
        <v>4377.0188987292231</v>
      </c>
      <c r="G101" s="111">
        <f>SUM($F$26:F101)</f>
        <v>86246.648039138818</v>
      </c>
      <c r="H101" s="110">
        <f>ROUNDUP(G101/副本时间模板!$D$7,0)</f>
        <v>575</v>
      </c>
      <c r="I101" s="89"/>
      <c r="J101" s="100"/>
      <c r="K101" s="89"/>
      <c r="L101" s="89"/>
      <c r="O101" s="76">
        <v>77</v>
      </c>
      <c r="P101" s="110">
        <f>F101*副本时间模板!$C$75</f>
        <v>2918.0125991528153</v>
      </c>
      <c r="Q101" s="111">
        <f>SUM($P$26:P101)</f>
        <v>57497.765359425874</v>
      </c>
      <c r="R101" s="110">
        <f>ROUNDUP(Q101/副本时间模板!$D$7,0)</f>
        <v>384</v>
      </c>
      <c r="T101" s="76">
        <v>77</v>
      </c>
      <c r="U101" s="110">
        <f>F101*副本时间模板!$D$89</f>
        <v>1994.1615095687387</v>
      </c>
      <c r="V101" s="111">
        <f>SUM($U$26:U101)</f>
        <v>39293.809286248776</v>
      </c>
      <c r="W101" s="110">
        <f>ROUNDUP(V101/副本时间模板!$D$7,0)</f>
        <v>262</v>
      </c>
      <c r="Y101" s="76">
        <v>77</v>
      </c>
      <c r="Z101" s="110">
        <f>F101*副本时间模板!$D$104</f>
        <v>1514.9428558284017</v>
      </c>
      <c r="AA101" s="111">
        <f>SUM($Z$26:Z101)</f>
        <v>29851.080452034152</v>
      </c>
      <c r="AB101" s="110">
        <f>ROUNDUP(AA101/副本时间模板!$D$7,0)</f>
        <v>200</v>
      </c>
    </row>
    <row r="102" spans="1:28">
      <c r="C102" s="60">
        <v>78</v>
      </c>
      <c r="D102" s="117">
        <f t="shared" si="16"/>
        <v>0.98991293980797723</v>
      </c>
      <c r="E102" s="71">
        <v>1</v>
      </c>
      <c r="F102" s="110">
        <f t="shared" si="15"/>
        <v>4569.0398689245731</v>
      </c>
      <c r="G102" s="111">
        <f>SUM($F$26:F102)</f>
        <v>90815.687908063395</v>
      </c>
      <c r="H102" s="110">
        <f>ROUNDUP(G102/副本时间模板!$D$7,0)</f>
        <v>606</v>
      </c>
      <c r="I102" s="89"/>
      <c r="J102" s="100"/>
      <c r="K102" s="89"/>
      <c r="L102" s="89"/>
      <c r="O102" s="89">
        <v>78</v>
      </c>
      <c r="P102" s="110">
        <f>F102*副本时间模板!$C$75</f>
        <v>3046.0265792830487</v>
      </c>
      <c r="Q102" s="111">
        <f>SUM($P$26:P102)</f>
        <v>60543.79193870892</v>
      </c>
      <c r="R102" s="110">
        <f>ROUNDUP(Q102/副本时间模板!$D$7,0)</f>
        <v>404</v>
      </c>
      <c r="T102" s="89">
        <v>78</v>
      </c>
      <c r="U102" s="110">
        <f>F102*副本时间模板!$D$89</f>
        <v>2081.645899436186</v>
      </c>
      <c r="V102" s="111">
        <f>SUM($U$26:U102)</f>
        <v>41375.455185684965</v>
      </c>
      <c r="W102" s="110">
        <f>ROUNDUP(V102/副本时间模板!$D$7,0)</f>
        <v>276</v>
      </c>
      <c r="Y102" s="89">
        <v>78</v>
      </c>
      <c r="Z102" s="110">
        <f>F102*副本时间模板!$D$104</f>
        <v>1581.4037973269958</v>
      </c>
      <c r="AA102" s="111">
        <f>SUM($Z$26:Z102)</f>
        <v>31432.484249361147</v>
      </c>
      <c r="AB102" s="110">
        <f>ROUNDUP(AA102/副本时间模板!$D$7,0)</f>
        <v>210</v>
      </c>
    </row>
    <row r="103" spans="1:28">
      <c r="C103" s="76">
        <v>79</v>
      </c>
      <c r="D103" s="117">
        <f t="shared" si="16"/>
        <v>0.99495646990398856</v>
      </c>
      <c r="E103" s="71">
        <v>1</v>
      </c>
      <c r="F103" s="110">
        <f t="shared" si="15"/>
        <v>4769.4848495818096</v>
      </c>
      <c r="G103" s="111">
        <f>SUM($F$26:F103)</f>
        <v>95585.17275764521</v>
      </c>
      <c r="H103" s="110">
        <f>ROUNDUP(G103/副本时间模板!$D$7,0)</f>
        <v>638</v>
      </c>
      <c r="I103" s="89"/>
      <c r="J103" s="100"/>
      <c r="K103" s="89"/>
      <c r="L103" s="89"/>
      <c r="O103" s="76">
        <v>79</v>
      </c>
      <c r="P103" s="110">
        <f>F103*副本时间模板!$C$75</f>
        <v>3179.6565663878728</v>
      </c>
      <c r="Q103" s="111">
        <f>SUM($P$26:P103)</f>
        <v>63723.448505096792</v>
      </c>
      <c r="R103" s="110">
        <f>ROUNDUP(Q103/副本时间模板!$D$7,0)</f>
        <v>425</v>
      </c>
      <c r="T103" s="76">
        <v>79</v>
      </c>
      <c r="U103" s="110">
        <f>F103*副本时间模板!$D$89</f>
        <v>2172.968252494557</v>
      </c>
      <c r="V103" s="111">
        <f>SUM($U$26:U103)</f>
        <v>43548.423438179525</v>
      </c>
      <c r="W103" s="110">
        <f>ROUNDUP(V103/副本时间模板!$D$7,0)</f>
        <v>291</v>
      </c>
      <c r="Y103" s="76">
        <v>79</v>
      </c>
      <c r="Z103" s="110">
        <f>F103*副本时间模板!$D$104</f>
        <v>1650.7803978076345</v>
      </c>
      <c r="AA103" s="111">
        <f>SUM($Z$26:Z103)</f>
        <v>33083.264647168784</v>
      </c>
      <c r="AB103" s="110">
        <f>ROUNDUP(AA103/副本时间模板!$D$7,0)</f>
        <v>221</v>
      </c>
    </row>
    <row r="104" spans="1:28">
      <c r="C104" s="60">
        <v>80</v>
      </c>
      <c r="D104" s="72">
        <v>1</v>
      </c>
      <c r="E104" s="71">
        <v>1</v>
      </c>
      <c r="F104" s="110">
        <f t="shared" si="15"/>
        <v>4978.7234042553191</v>
      </c>
      <c r="G104" s="111">
        <f>SUM($F$26:F104)</f>
        <v>100563.89616190053</v>
      </c>
      <c r="H104" s="110">
        <f>ROUNDUP(G104/副本时间模板!$D$7,0)</f>
        <v>671</v>
      </c>
      <c r="I104" s="89"/>
      <c r="J104" s="100"/>
      <c r="K104" s="89"/>
      <c r="L104" s="89"/>
      <c r="O104" s="89">
        <v>80</v>
      </c>
      <c r="P104" s="110">
        <f>F104*副本时间模板!$C$75</f>
        <v>3319.1489361702124</v>
      </c>
      <c r="Q104" s="111">
        <f>SUM($P$26:P104)</f>
        <v>67042.597441267004</v>
      </c>
      <c r="R104" s="110">
        <f>ROUNDUP(Q104/副本时间模板!$D$7,0)</f>
        <v>447</v>
      </c>
      <c r="T104" s="89">
        <v>80</v>
      </c>
      <c r="U104" s="110">
        <f>F104*副本时间模板!$D$89</f>
        <v>2268.2969411983795</v>
      </c>
      <c r="V104" s="111">
        <f>SUM($U$26:U104)</f>
        <v>45816.720379377904</v>
      </c>
      <c r="W104" s="110">
        <f>ROUNDUP(V104/副本时间模板!$D$7,0)</f>
        <v>306</v>
      </c>
      <c r="Y104" s="89">
        <v>80</v>
      </c>
      <c r="Z104" s="110">
        <f>F104*副本时间模板!$D$104</f>
        <v>1723.2005679966469</v>
      </c>
      <c r="AA104" s="111">
        <f>SUM($Z$26:Z104)</f>
        <v>34806.46521516543</v>
      </c>
      <c r="AB104" s="110">
        <f>ROUNDUP(AA104/副本时间模板!$D$7,0)</f>
        <v>233</v>
      </c>
    </row>
    <row r="105" spans="1:28">
      <c r="A105" s="75" t="s">
        <v>376</v>
      </c>
      <c r="B105" s="110">
        <f>(B106+B96)/$F$22</f>
        <v>4978.7234042553191</v>
      </c>
      <c r="C105" s="74">
        <v>81</v>
      </c>
      <c r="D105" s="118">
        <f>LOG(B105,B115)</f>
        <v>0.96573970584607682</v>
      </c>
      <c r="E105" s="71">
        <v>1</v>
      </c>
      <c r="F105" s="110">
        <f t="shared" ref="F105:F124" si="17">$B$115^D105*E105</f>
        <v>4978.7234042553155</v>
      </c>
      <c r="G105" s="111">
        <f>SUM($F$26:F105)</f>
        <v>105542.61956615584</v>
      </c>
      <c r="H105" s="110">
        <f>ROUNDUP(G105/副本时间模板!$D$7,0)</f>
        <v>704</v>
      </c>
      <c r="I105" s="89"/>
      <c r="J105" s="100"/>
      <c r="K105" s="89"/>
      <c r="L105" s="89"/>
      <c r="O105" s="74">
        <v>81</v>
      </c>
      <c r="P105" s="110">
        <f>F105*副本时间模板!$C$75</f>
        <v>3319.1489361702102</v>
      </c>
      <c r="Q105" s="111">
        <f>SUM($P$26:P105)</f>
        <v>70361.746377437215</v>
      </c>
      <c r="R105" s="110">
        <f>ROUNDUP(Q105/副本时间模板!$D$7,0)</f>
        <v>470</v>
      </c>
      <c r="T105" s="74">
        <v>81</v>
      </c>
      <c r="U105" s="110">
        <f>F105*副本时间模板!$D$89</f>
        <v>2268.2969411983781</v>
      </c>
      <c r="V105" s="111">
        <f>SUM($U$26:U105)</f>
        <v>48085.017320576284</v>
      </c>
      <c r="W105" s="110">
        <f>ROUNDUP(V105/副本时间模板!$D$7,0)</f>
        <v>321</v>
      </c>
      <c r="Y105" s="74">
        <v>81</v>
      </c>
      <c r="Z105" s="110">
        <f>F105*副本时间模板!$D$104</f>
        <v>1723.2005679966455</v>
      </c>
      <c r="AA105" s="111">
        <f>SUM($Z$26:Z105)</f>
        <v>36529.665783162076</v>
      </c>
      <c r="AB105" s="110">
        <f>ROUNDUP(AA105/副本时间模板!$D$7,0)</f>
        <v>244</v>
      </c>
    </row>
    <row r="106" spans="1:28">
      <c r="A106" s="70" t="s">
        <v>397</v>
      </c>
      <c r="B106" s="110">
        <f>A21</f>
        <v>6825</v>
      </c>
      <c r="C106" s="60">
        <v>82</v>
      </c>
      <c r="D106" s="117">
        <f>D105+$B$109</f>
        <v>0.9691657352614691</v>
      </c>
      <c r="E106" s="71">
        <v>1</v>
      </c>
      <c r="F106" s="110">
        <f t="shared" si="17"/>
        <v>5131.3753684967505</v>
      </c>
      <c r="G106" s="111">
        <f>SUM($F$26:F106)</f>
        <v>110673.9949346526</v>
      </c>
      <c r="H106" s="110">
        <f>ROUNDUP(G106/副本时间模板!$D$7,0)</f>
        <v>738</v>
      </c>
      <c r="I106" s="89"/>
      <c r="J106" s="100"/>
      <c r="K106" s="89"/>
      <c r="L106" s="89"/>
      <c r="O106" s="89">
        <v>82</v>
      </c>
      <c r="P106" s="110">
        <f>F106*副本时间模板!$C$75</f>
        <v>3420.9169123311667</v>
      </c>
      <c r="Q106" s="111">
        <f>SUM($P$26:P106)</f>
        <v>73782.663289768388</v>
      </c>
      <c r="R106" s="110">
        <f>ROUNDUP(Q106/副本时间模板!$D$7,0)</f>
        <v>492</v>
      </c>
      <c r="T106" s="89">
        <v>82</v>
      </c>
      <c r="U106" s="110">
        <f>F106*副本时间模板!$D$89</f>
        <v>2337.8448866136268</v>
      </c>
      <c r="V106" s="111">
        <f>SUM($U$26:U106)</f>
        <v>50422.862207189908</v>
      </c>
      <c r="W106" s="110">
        <f>ROUNDUP(V106/副本时间模板!$D$7,0)</f>
        <v>337</v>
      </c>
      <c r="Y106" s="89">
        <v>82</v>
      </c>
      <c r="Z106" s="110">
        <f>F106*副本时间模板!$D$104</f>
        <v>1776.0353873123393</v>
      </c>
      <c r="AA106" s="111">
        <f>SUM($Z$26:Z106)</f>
        <v>38305.701170474415</v>
      </c>
      <c r="AB106" s="110">
        <f>ROUNDUP(AA106/副本时间模板!$D$7,0)</f>
        <v>256</v>
      </c>
    </row>
    <row r="107" spans="1:28">
      <c r="A107" s="70" t="s">
        <v>398</v>
      </c>
      <c r="B107" s="111">
        <f>SUM(F105:F114)</f>
        <v>57449.828654949051</v>
      </c>
      <c r="C107" s="76">
        <v>83</v>
      </c>
      <c r="D107" s="117">
        <f t="shared" ref="D107:D113" si="18">D106+$B$109</f>
        <v>0.97259176467686137</v>
      </c>
      <c r="E107" s="71">
        <v>1</v>
      </c>
      <c r="F107" s="110">
        <f t="shared" si="17"/>
        <v>5288.7077739466386</v>
      </c>
      <c r="G107" s="111">
        <f>SUM($F$26:F107)</f>
        <v>115962.70270859923</v>
      </c>
      <c r="H107" s="110">
        <f>ROUNDUP(G107/副本时间模板!$D$7,0)</f>
        <v>774</v>
      </c>
      <c r="I107" s="100"/>
      <c r="J107" s="100"/>
      <c r="K107" s="89"/>
      <c r="L107" s="89"/>
      <c r="O107" s="76">
        <v>83</v>
      </c>
      <c r="P107" s="110">
        <f>F107*副本时间模板!$C$75</f>
        <v>3525.8051826310921</v>
      </c>
      <c r="Q107" s="111">
        <f>SUM($P$26:P107)</f>
        <v>77308.468472399487</v>
      </c>
      <c r="R107" s="110">
        <f>ROUNDUP(Q107/副本时间模板!$D$7,0)</f>
        <v>516</v>
      </c>
      <c r="T107" s="76">
        <v>83</v>
      </c>
      <c r="U107" s="110">
        <f>F107*副本时间模板!$D$89</f>
        <v>2409.525232167337</v>
      </c>
      <c r="V107" s="111">
        <f>SUM($U$26:U107)</f>
        <v>52832.387439357248</v>
      </c>
      <c r="W107" s="110">
        <f>ROUNDUP(V107/副本时间模板!$D$7,0)</f>
        <v>353</v>
      </c>
      <c r="Y107" s="76">
        <v>83</v>
      </c>
      <c r="Z107" s="110">
        <f>F107*副本时间模板!$D$104</f>
        <v>1830.4901678699021</v>
      </c>
      <c r="AA107" s="111">
        <f>SUM($Z$26:Z107)</f>
        <v>40136.191338344317</v>
      </c>
      <c r="AB107" s="110">
        <f>ROUNDUP(AA107/副本时间模板!$D$7,0)</f>
        <v>268</v>
      </c>
    </row>
    <row r="108" spans="1:28">
      <c r="A108" s="70" t="s">
        <v>396</v>
      </c>
      <c r="B108" s="114">
        <f>B106*10</f>
        <v>68250</v>
      </c>
      <c r="C108" s="60">
        <v>84</v>
      </c>
      <c r="D108" s="117">
        <f t="shared" si="18"/>
        <v>0.97601779409225364</v>
      </c>
      <c r="E108" s="71">
        <v>1</v>
      </c>
      <c r="F108" s="110">
        <f t="shared" si="17"/>
        <v>5450.8641269792006</v>
      </c>
      <c r="G108" s="111">
        <f>SUM($F$26:F108)</f>
        <v>121413.56683557843</v>
      </c>
      <c r="H108" s="110">
        <f>ROUNDUP(G108/副本时间模板!$D$7,0)</f>
        <v>810</v>
      </c>
      <c r="I108" s="89"/>
      <c r="J108" s="100"/>
      <c r="K108" s="89"/>
      <c r="L108" s="89"/>
      <c r="O108" s="89">
        <v>84</v>
      </c>
      <c r="P108" s="110">
        <f>F108*副本时间模板!$C$75</f>
        <v>3633.9094179861336</v>
      </c>
      <c r="Q108" s="111">
        <f>SUM($P$26:P108)</f>
        <v>80942.377890385615</v>
      </c>
      <c r="R108" s="110">
        <f>ROUNDUP(Q108/副本时间模板!$D$7,0)</f>
        <v>540</v>
      </c>
      <c r="T108" s="89">
        <v>84</v>
      </c>
      <c r="U108" s="110">
        <f>F108*副本时间模板!$D$89</f>
        <v>2483.4033590914537</v>
      </c>
      <c r="V108" s="111">
        <f>SUM($U$26:U108)</f>
        <v>55315.790798448703</v>
      </c>
      <c r="W108" s="110">
        <f>ROUNDUP(V108/副本时间模板!$D$7,0)</f>
        <v>369</v>
      </c>
      <c r="Y108" s="89">
        <v>84</v>
      </c>
      <c r="Z108" s="110">
        <f>F108*副本时间模板!$D$104</f>
        <v>1886.6145790816493</v>
      </c>
      <c r="AA108" s="111">
        <f>SUM($Z$26:Z108)</f>
        <v>42022.805917425969</v>
      </c>
      <c r="AB108" s="110">
        <f>ROUNDUP(AA108/副本时间模板!$D$7,0)</f>
        <v>281</v>
      </c>
    </row>
    <row r="109" spans="1:28">
      <c r="A109" s="70" t="s">
        <v>394</v>
      </c>
      <c r="B109" s="110">
        <f>(D114-D105)/10</f>
        <v>3.4260294153923175E-3</v>
      </c>
      <c r="C109" s="76">
        <v>85</v>
      </c>
      <c r="D109" s="117">
        <f t="shared" si="18"/>
        <v>0.97944382350764592</v>
      </c>
      <c r="E109" s="71">
        <v>1</v>
      </c>
      <c r="F109" s="110">
        <f t="shared" si="17"/>
        <v>5617.9923339981651</v>
      </c>
      <c r="G109" s="111">
        <f>SUM($F$26:F109)</f>
        <v>127031.55916957659</v>
      </c>
      <c r="H109" s="110">
        <f>ROUNDUP(G109/副本时间模板!$D$7,0)</f>
        <v>847</v>
      </c>
      <c r="I109" s="89"/>
      <c r="J109" s="100"/>
      <c r="K109" s="89"/>
      <c r="L109" s="89"/>
      <c r="O109" s="76">
        <v>85</v>
      </c>
      <c r="P109" s="110">
        <f>F109*副本时间模板!$C$75</f>
        <v>3745.3282226654433</v>
      </c>
      <c r="Q109" s="111">
        <f>SUM($P$26:P109)</f>
        <v>84687.706113051056</v>
      </c>
      <c r="R109" s="110">
        <f>ROUNDUP(Q109/副本时间模板!$D$7,0)</f>
        <v>565</v>
      </c>
      <c r="T109" s="76">
        <v>85</v>
      </c>
      <c r="U109" s="110">
        <f>F109*副本时间模板!$D$89</f>
        <v>2559.5466532630226</v>
      </c>
      <c r="V109" s="111">
        <f>SUM($U$26:U109)</f>
        <v>57875.337451711726</v>
      </c>
      <c r="W109" s="110">
        <f>ROUNDUP(V109/副本时间模板!$D$7,0)</f>
        <v>386</v>
      </c>
      <c r="Y109" s="76">
        <v>85</v>
      </c>
      <c r="Z109" s="110">
        <f>F109*副本时间模板!$D$104</f>
        <v>1944.4598132670212</v>
      </c>
      <c r="AA109" s="111">
        <f>SUM($Z$26:Z109)</f>
        <v>43967.26573069299</v>
      </c>
      <c r="AB109" s="110">
        <f>ROUNDUP(AA109/副本时间模板!$D$7,0)</f>
        <v>294</v>
      </c>
    </row>
    <row r="110" spans="1:28">
      <c r="A110" s="70" t="s">
        <v>399</v>
      </c>
      <c r="B110" s="114">
        <f>B108/B107</f>
        <v>1.1879930993339971</v>
      </c>
      <c r="C110" s="60">
        <v>86</v>
      </c>
      <c r="D110" s="117">
        <f t="shared" si="18"/>
        <v>0.98286985292303819</v>
      </c>
      <c r="E110" s="71">
        <v>1</v>
      </c>
      <c r="F110" s="110">
        <f t="shared" si="17"/>
        <v>5790.2448363454851</v>
      </c>
      <c r="G110" s="111">
        <f>SUM($F$26:F110)</f>
        <v>132821.80400592208</v>
      </c>
      <c r="H110" s="110">
        <f>ROUNDUP(G110/副本时间模板!$D$7,0)</f>
        <v>886</v>
      </c>
      <c r="I110" s="89"/>
      <c r="J110" s="100"/>
      <c r="K110" s="89"/>
      <c r="L110" s="89"/>
      <c r="O110" s="89">
        <v>86</v>
      </c>
      <c r="P110" s="110">
        <f>F110*副本时间模板!$C$75</f>
        <v>3860.1632242303231</v>
      </c>
      <c r="Q110" s="111">
        <f>SUM($P$26:P110)</f>
        <v>88547.869337281372</v>
      </c>
      <c r="R110" s="110">
        <f>ROUNDUP(Q110/副本时间模板!$D$7,0)</f>
        <v>591</v>
      </c>
      <c r="T110" s="89">
        <v>86</v>
      </c>
      <c r="U110" s="110">
        <f>F110*副本时间模板!$D$89</f>
        <v>2638.0245666683431</v>
      </c>
      <c r="V110" s="111">
        <f>SUM($U$26:U110)</f>
        <v>60513.362018380067</v>
      </c>
      <c r="W110" s="110">
        <f>ROUNDUP(V110/副本时间模板!$D$7,0)</f>
        <v>404</v>
      </c>
      <c r="Y110" s="89">
        <v>86</v>
      </c>
      <c r="Z110" s="110">
        <f>F110*副本时间模板!$D$104</f>
        <v>2004.0786323462351</v>
      </c>
      <c r="AA110" s="111">
        <f>SUM($Z$26:Z110)</f>
        <v>45971.344363039228</v>
      </c>
      <c r="AB110" s="110">
        <f>ROUNDUP(AA110/副本时间模板!$D$7,0)</f>
        <v>307</v>
      </c>
    </row>
    <row r="111" spans="1:28">
      <c r="C111" s="76">
        <v>87</v>
      </c>
      <c r="D111" s="117">
        <f t="shared" si="18"/>
        <v>0.98629588233843046</v>
      </c>
      <c r="E111" s="71">
        <v>1</v>
      </c>
      <c r="F111" s="110">
        <f t="shared" si="17"/>
        <v>5967.7787493464566</v>
      </c>
      <c r="G111" s="111">
        <f>SUM($F$26:F111)</f>
        <v>138789.58275526855</v>
      </c>
      <c r="H111" s="110">
        <f>ROUNDUP(G111/副本时间模板!$D$7,0)</f>
        <v>926</v>
      </c>
      <c r="I111" s="89"/>
      <c r="J111" s="100"/>
      <c r="K111" s="89"/>
      <c r="L111" s="89"/>
      <c r="O111" s="76">
        <v>87</v>
      </c>
      <c r="P111" s="110">
        <f>F111*副本时间模板!$C$75</f>
        <v>3978.5191662309708</v>
      </c>
      <c r="Q111" s="111">
        <f>SUM($P$26:P111)</f>
        <v>92526.388503512339</v>
      </c>
      <c r="R111" s="110">
        <f>ROUNDUP(Q111/副本时间模板!$D$7,0)</f>
        <v>617</v>
      </c>
      <c r="T111" s="76">
        <v>87</v>
      </c>
      <c r="U111" s="110">
        <f>F111*副本时间模板!$D$89</f>
        <v>2718.9086807516633</v>
      </c>
      <c r="V111" s="111">
        <f>SUM($U$26:U111)</f>
        <v>63232.270699131732</v>
      </c>
      <c r="W111" s="110">
        <f>ROUNDUP(V111/副本时间模板!$D$7,0)</f>
        <v>422</v>
      </c>
      <c r="Y111" s="76">
        <v>87</v>
      </c>
      <c r="Z111" s="110">
        <f>F111*副本时间模板!$D$104</f>
        <v>2065.5254159655992</v>
      </c>
      <c r="AA111" s="111">
        <f>SUM($Z$26:Z111)</f>
        <v>48036.869779004825</v>
      </c>
      <c r="AB111" s="110">
        <f>ROUNDUP(AA111/副本时间模板!$D$7,0)</f>
        <v>321</v>
      </c>
    </row>
    <row r="112" spans="1:28">
      <c r="C112" s="60">
        <v>88</v>
      </c>
      <c r="D112" s="117">
        <f t="shared" si="18"/>
        <v>0.98972191175382274</v>
      </c>
      <c r="E112" s="71">
        <v>1</v>
      </c>
      <c r="F112" s="110">
        <f t="shared" si="17"/>
        <v>6150.7560056180946</v>
      </c>
      <c r="G112" s="111">
        <f>SUM($F$26:F112)</f>
        <v>144940.33876088663</v>
      </c>
      <c r="H112" s="110">
        <f>ROUNDUP(G112/副本时间模板!$D$7,0)</f>
        <v>967</v>
      </c>
      <c r="I112" s="89"/>
      <c r="J112" s="100"/>
      <c r="K112" s="89"/>
      <c r="L112" s="89"/>
      <c r="O112" s="89">
        <v>88</v>
      </c>
      <c r="P112" s="110">
        <f>F112*副本时间模板!$C$75</f>
        <v>4100.5040037453964</v>
      </c>
      <c r="Q112" s="111">
        <f>SUM($P$26:P112)</f>
        <v>96626.89250725774</v>
      </c>
      <c r="R112" s="110">
        <f>ROUNDUP(Q112/副本时间模板!$D$7,0)</f>
        <v>645</v>
      </c>
      <c r="T112" s="89">
        <v>88</v>
      </c>
      <c r="U112" s="110">
        <f>F112*副本时间模板!$D$89</f>
        <v>2802.2727717062012</v>
      </c>
      <c r="V112" s="111">
        <f>SUM($U$26:U112)</f>
        <v>66034.543470837933</v>
      </c>
      <c r="W112" s="110">
        <f>ROUNDUP(V112/副本时间模板!$D$7,0)</f>
        <v>441</v>
      </c>
      <c r="Y112" s="89">
        <v>88</v>
      </c>
      <c r="Z112" s="110">
        <f>F112*副本时间模板!$D$104</f>
        <v>2128.8562110983962</v>
      </c>
      <c r="AA112" s="111">
        <f>SUM($Z$26:Z112)</f>
        <v>50165.725990103223</v>
      </c>
      <c r="AB112" s="110">
        <f>ROUNDUP(AA112/副本时间模板!$D$7,0)</f>
        <v>335</v>
      </c>
    </row>
    <row r="113" spans="1:28">
      <c r="C113" s="76">
        <v>89</v>
      </c>
      <c r="D113" s="117">
        <f t="shared" si="18"/>
        <v>0.99314794116921501</v>
      </c>
      <c r="E113" s="71">
        <v>1</v>
      </c>
      <c r="F113" s="110">
        <f t="shared" si="17"/>
        <v>6339.3435027714622</v>
      </c>
      <c r="G113" s="111">
        <f>SUM($F$26:F113)</f>
        <v>151279.68226365809</v>
      </c>
      <c r="H113" s="110">
        <f>ROUNDUP(G113/副本时间模板!$D$7,0)</f>
        <v>1009</v>
      </c>
      <c r="I113" s="89"/>
      <c r="J113" s="100"/>
      <c r="K113" s="89"/>
      <c r="L113" s="89"/>
      <c r="O113" s="76">
        <v>89</v>
      </c>
      <c r="P113" s="110">
        <f>F113*副本时间模板!$C$75</f>
        <v>4226.2290018476415</v>
      </c>
      <c r="Q113" s="111">
        <f>SUM($P$26:P113)</f>
        <v>100853.12150910537</v>
      </c>
      <c r="R113" s="110">
        <f>ROUNDUP(Q113/副本时间模板!$D$7,0)</f>
        <v>673</v>
      </c>
      <c r="T113" s="76">
        <v>89</v>
      </c>
      <c r="U113" s="110">
        <f>F113*副本时间模板!$D$89</f>
        <v>2888.1928777670491</v>
      </c>
      <c r="V113" s="111">
        <f>SUM($U$26:U113)</f>
        <v>68922.736348604987</v>
      </c>
      <c r="W113" s="110">
        <f>ROUNDUP(V113/副本时间模板!$D$7,0)</f>
        <v>460</v>
      </c>
      <c r="Y113" s="76">
        <v>89</v>
      </c>
      <c r="Z113" s="110">
        <f>F113*副本时间模板!$D$104</f>
        <v>2194.1287831665682</v>
      </c>
      <c r="AA113" s="111">
        <f>SUM($Z$26:Z113)</f>
        <v>52359.854773269792</v>
      </c>
      <c r="AB113" s="110">
        <f>ROUNDUP(AA113/副本时间模板!$D$7,0)</f>
        <v>350</v>
      </c>
    </row>
    <row r="114" spans="1:28">
      <c r="C114" s="60">
        <v>90</v>
      </c>
      <c r="D114" s="72">
        <v>1</v>
      </c>
      <c r="E114" s="71">
        <v>1</v>
      </c>
      <c r="F114" s="110">
        <f t="shared" si="17"/>
        <v>6734.0425531914889</v>
      </c>
      <c r="G114" s="111">
        <f>SUM($F$26:F114)</f>
        <v>158013.72481684957</v>
      </c>
      <c r="H114" s="110">
        <f>ROUNDUP(G114/副本时间模板!$D$7,0)</f>
        <v>1054</v>
      </c>
      <c r="I114" s="89"/>
      <c r="J114" s="100"/>
      <c r="K114" s="89"/>
      <c r="L114" s="89"/>
      <c r="O114" s="89">
        <v>90</v>
      </c>
      <c r="P114" s="110">
        <f>F114*副本时间模板!$C$75</f>
        <v>4489.3617021276586</v>
      </c>
      <c r="Q114" s="111">
        <f>SUM($P$26:P114)</f>
        <v>105342.48321123303</v>
      </c>
      <c r="R114" s="110">
        <f>ROUNDUP(Q114/副本时间模板!$D$7,0)</f>
        <v>703</v>
      </c>
      <c r="T114" s="89">
        <v>90</v>
      </c>
      <c r="U114" s="110">
        <f>F114*副本时间模板!$D$89</f>
        <v>3068.017016620885</v>
      </c>
      <c r="V114" s="111">
        <f>SUM($U$26:U114)</f>
        <v>71990.753365225872</v>
      </c>
      <c r="W114" s="110">
        <f>ROUNDUP(V114/副本时间模板!$D$7,0)</f>
        <v>480</v>
      </c>
      <c r="Y114" s="89">
        <v>90</v>
      </c>
      <c r="Z114" s="110">
        <f>F114*副本时间模板!$D$104</f>
        <v>2330.7392297903361</v>
      </c>
      <c r="AA114" s="111">
        <f>SUM($Z$26:Z114)</f>
        <v>54690.594003060127</v>
      </c>
      <c r="AB114" s="110">
        <f>ROUNDUP(AA114/副本时间模板!$D$7,0)</f>
        <v>365</v>
      </c>
    </row>
    <row r="115" spans="1:28">
      <c r="A115" s="75" t="s">
        <v>377</v>
      </c>
      <c r="B115" s="110">
        <f>(B116+B106)/$F$22</f>
        <v>6734.0425531914889</v>
      </c>
      <c r="C115" s="74">
        <v>91</v>
      </c>
      <c r="D115" s="72">
        <v>1</v>
      </c>
      <c r="E115" s="115">
        <v>1</v>
      </c>
      <c r="F115" s="110">
        <f t="shared" si="17"/>
        <v>6734.0425531914889</v>
      </c>
      <c r="G115" s="111">
        <f>SUM($F$26:F115)</f>
        <v>164747.76737004105</v>
      </c>
      <c r="H115" s="110">
        <f>ROUNDUP(G115/副本时间模板!$D$7,0)</f>
        <v>1099</v>
      </c>
      <c r="I115" s="89"/>
      <c r="J115" s="100"/>
      <c r="K115" s="89"/>
      <c r="L115" s="89"/>
      <c r="O115" s="74">
        <v>91</v>
      </c>
      <c r="P115" s="110">
        <f>F115*副本时间模板!$C$75</f>
        <v>4489.3617021276586</v>
      </c>
      <c r="Q115" s="111">
        <f>SUM($P$26:P115)</f>
        <v>109831.84491336069</v>
      </c>
      <c r="R115" s="110">
        <f>ROUNDUP(Q115/副本时间模板!$D$7,0)</f>
        <v>733</v>
      </c>
      <c r="T115" s="74">
        <v>91</v>
      </c>
      <c r="U115" s="110">
        <f>F115*副本时间模板!$D$89</f>
        <v>3068.017016620885</v>
      </c>
      <c r="V115" s="111">
        <f>SUM($U$26:U115)</f>
        <v>75058.770381846756</v>
      </c>
      <c r="W115" s="110">
        <f>ROUNDUP(V115/副本时间模板!$D$7,0)</f>
        <v>501</v>
      </c>
      <c r="Y115" s="74">
        <v>91</v>
      </c>
      <c r="Z115" s="110">
        <f>F115*副本时间模板!$D$104</f>
        <v>2330.7392297903361</v>
      </c>
      <c r="AA115" s="111">
        <f>SUM($Z$26:Z115)</f>
        <v>57021.333232850462</v>
      </c>
      <c r="AB115" s="110">
        <f>ROUNDUP(AA115/副本时间模板!$D$7,0)</f>
        <v>381</v>
      </c>
    </row>
    <row r="116" spans="1:28">
      <c r="A116" s="70" t="s">
        <v>397</v>
      </c>
      <c r="B116" s="110">
        <f>A22</f>
        <v>9000</v>
      </c>
      <c r="C116" s="60">
        <v>92</v>
      </c>
      <c r="D116" s="72">
        <v>1</v>
      </c>
      <c r="E116" s="115">
        <v>1</v>
      </c>
      <c r="F116" s="110">
        <f t="shared" si="17"/>
        <v>6734.0425531914889</v>
      </c>
      <c r="G116" s="111">
        <f>SUM($F$26:F116)</f>
        <v>171481.80992323253</v>
      </c>
      <c r="H116" s="110">
        <f>ROUNDUP(G116/副本时间模板!$D$7,0)</f>
        <v>1144</v>
      </c>
      <c r="I116" s="89"/>
      <c r="J116" s="100"/>
      <c r="O116" s="89">
        <v>92</v>
      </c>
      <c r="P116" s="110">
        <f>F116*副本时间模板!$C$75</f>
        <v>4489.3617021276586</v>
      </c>
      <c r="Q116" s="111">
        <f>SUM($P$26:P116)</f>
        <v>114321.20661548835</v>
      </c>
      <c r="R116" s="110">
        <f>ROUNDUP(Q116/副本时间模板!$D$7,0)</f>
        <v>763</v>
      </c>
      <c r="T116" s="89">
        <v>92</v>
      </c>
      <c r="U116" s="110">
        <f>F116*副本时间模板!$D$89</f>
        <v>3068.017016620885</v>
      </c>
      <c r="V116" s="111">
        <f>SUM($U$26:U116)</f>
        <v>78126.787398467641</v>
      </c>
      <c r="W116" s="110">
        <f>ROUNDUP(V116/副本时间模板!$D$7,0)</f>
        <v>521</v>
      </c>
      <c r="Y116" s="89">
        <v>92</v>
      </c>
      <c r="Z116" s="110">
        <f>F116*副本时间模板!$D$104</f>
        <v>2330.7392297903361</v>
      </c>
      <c r="AA116" s="111">
        <f>SUM($Z$26:Z116)</f>
        <v>59352.072462640797</v>
      </c>
      <c r="AB116" s="110">
        <f>ROUNDUP(AA116/副本时间模板!$D$7,0)</f>
        <v>396</v>
      </c>
    </row>
    <row r="117" spans="1:28">
      <c r="A117" s="70" t="s">
        <v>398</v>
      </c>
      <c r="B117" s="111">
        <f>SUM(F115:F124)</f>
        <v>67340.425531914894</v>
      </c>
      <c r="C117" s="76">
        <v>93</v>
      </c>
      <c r="D117" s="72">
        <v>1</v>
      </c>
      <c r="E117" s="115">
        <v>1</v>
      </c>
      <c r="F117" s="110">
        <f t="shared" si="17"/>
        <v>6734.0425531914889</v>
      </c>
      <c r="G117" s="111">
        <f>SUM($F$26:F117)</f>
        <v>178215.85247642401</v>
      </c>
      <c r="H117" s="110">
        <f>ROUNDUP(G117/副本时间模板!$D$7,0)</f>
        <v>1189</v>
      </c>
      <c r="I117" s="100"/>
      <c r="J117" s="100"/>
      <c r="O117" s="76">
        <v>93</v>
      </c>
      <c r="P117" s="110">
        <f>F117*副本时间模板!$C$75</f>
        <v>4489.3617021276586</v>
      </c>
      <c r="Q117" s="111">
        <f>SUM($P$26:P117)</f>
        <v>118810.56831761601</v>
      </c>
      <c r="R117" s="110">
        <f>ROUNDUP(Q117/副本时间模板!$D$7,0)</f>
        <v>793</v>
      </c>
      <c r="T117" s="76">
        <v>93</v>
      </c>
      <c r="U117" s="110">
        <f>F117*副本时间模板!$D$89</f>
        <v>3068.017016620885</v>
      </c>
      <c r="V117" s="111">
        <f>SUM($U$26:U117)</f>
        <v>81194.804415088525</v>
      </c>
      <c r="W117" s="110">
        <f>ROUNDUP(V117/副本时间模板!$D$7,0)</f>
        <v>542</v>
      </c>
      <c r="Y117" s="76">
        <v>93</v>
      </c>
      <c r="Z117" s="110">
        <f>F117*副本时间模板!$D$104</f>
        <v>2330.7392297903361</v>
      </c>
      <c r="AA117" s="111">
        <f>SUM($Z$26:Z117)</f>
        <v>61682.811692431133</v>
      </c>
      <c r="AB117" s="110">
        <f>ROUNDUP(AA117/副本时间模板!$D$7,0)</f>
        <v>412</v>
      </c>
    </row>
    <row r="118" spans="1:28">
      <c r="A118" s="70" t="s">
        <v>396</v>
      </c>
      <c r="B118" s="114">
        <f>B116*10</f>
        <v>90000</v>
      </c>
      <c r="C118" s="60">
        <v>94</v>
      </c>
      <c r="D118" s="72">
        <v>1</v>
      </c>
      <c r="E118" s="115">
        <v>1</v>
      </c>
      <c r="F118" s="110">
        <f t="shared" si="17"/>
        <v>6734.0425531914889</v>
      </c>
      <c r="G118" s="111">
        <f>SUM($F$26:F118)</f>
        <v>184949.89502961549</v>
      </c>
      <c r="H118" s="110">
        <f>ROUNDUP(G118/副本时间模板!$D$7,0)</f>
        <v>1233</v>
      </c>
      <c r="I118" s="89"/>
      <c r="J118" s="100"/>
      <c r="O118" s="89">
        <v>94</v>
      </c>
      <c r="P118" s="110">
        <f>F118*副本时间模板!$C$75</f>
        <v>4489.3617021276586</v>
      </c>
      <c r="Q118" s="111">
        <f>SUM($P$26:P118)</f>
        <v>123299.93001974367</v>
      </c>
      <c r="R118" s="110">
        <f>ROUNDUP(Q118/副本时间模板!$D$7,0)</f>
        <v>822</v>
      </c>
      <c r="T118" s="89">
        <v>94</v>
      </c>
      <c r="U118" s="110">
        <f>F118*副本时间模板!$D$89</f>
        <v>3068.017016620885</v>
      </c>
      <c r="V118" s="111">
        <f>SUM($U$26:U118)</f>
        <v>84262.82143170941</v>
      </c>
      <c r="W118" s="110">
        <f>ROUNDUP(V118/副本时间模板!$D$7,0)</f>
        <v>562</v>
      </c>
      <c r="Y118" s="89">
        <v>94</v>
      </c>
      <c r="Z118" s="110">
        <f>F118*副本时间模板!$D$104</f>
        <v>2330.7392297903361</v>
      </c>
      <c r="AA118" s="111">
        <f>SUM($Z$26:Z118)</f>
        <v>64013.550922221468</v>
      </c>
      <c r="AB118" s="110">
        <f>ROUNDUP(AA118/副本时间模板!$D$7,0)</f>
        <v>427</v>
      </c>
    </row>
    <row r="119" spans="1:28">
      <c r="A119" s="70" t="s">
        <v>394</v>
      </c>
      <c r="B119" s="81">
        <f>(D124-D115)/10</f>
        <v>0</v>
      </c>
      <c r="C119" s="76">
        <v>95</v>
      </c>
      <c r="D119" s="72">
        <v>1</v>
      </c>
      <c r="E119" s="115">
        <v>1</v>
      </c>
      <c r="F119" s="110">
        <f t="shared" si="17"/>
        <v>6734.0425531914889</v>
      </c>
      <c r="G119" s="111">
        <f>SUM($F$26:F119)</f>
        <v>191683.93758280698</v>
      </c>
      <c r="H119" s="110">
        <f>ROUNDUP(G119/副本时间模板!$D$7,0)</f>
        <v>1278</v>
      </c>
      <c r="I119" s="89"/>
      <c r="J119" s="100"/>
      <c r="O119" s="76">
        <v>95</v>
      </c>
      <c r="P119" s="110">
        <f>F119*副本时间模板!$C$75</f>
        <v>4489.3617021276586</v>
      </c>
      <c r="Q119" s="111">
        <f>SUM($P$26:P119)</f>
        <v>127789.29172187133</v>
      </c>
      <c r="R119" s="110">
        <f>ROUNDUP(Q119/副本时间模板!$D$7,0)</f>
        <v>852</v>
      </c>
      <c r="T119" s="76">
        <v>95</v>
      </c>
      <c r="U119" s="110">
        <f>F119*副本时间模板!$D$89</f>
        <v>3068.017016620885</v>
      </c>
      <c r="V119" s="111">
        <f>SUM($U$26:U119)</f>
        <v>87330.838448330294</v>
      </c>
      <c r="W119" s="110">
        <f>ROUNDUP(V119/副本时间模板!$D$7,0)</f>
        <v>583</v>
      </c>
      <c r="Y119" s="76">
        <v>95</v>
      </c>
      <c r="Z119" s="110">
        <f>F119*副本时间模板!$D$104</f>
        <v>2330.7392297903361</v>
      </c>
      <c r="AA119" s="111">
        <f>SUM($Z$26:Z119)</f>
        <v>66344.290152011803</v>
      </c>
      <c r="AB119" s="110">
        <f>ROUNDUP(AA119/副本时间模板!$D$7,0)</f>
        <v>443</v>
      </c>
    </row>
    <row r="120" spans="1:28">
      <c r="A120" s="70" t="s">
        <v>399</v>
      </c>
      <c r="B120" s="114">
        <f>B118/B117</f>
        <v>1.3364928909952607</v>
      </c>
      <c r="C120" s="60">
        <v>96</v>
      </c>
      <c r="D120" s="72">
        <v>1</v>
      </c>
      <c r="E120" s="115">
        <v>1</v>
      </c>
      <c r="F120" s="110">
        <f t="shared" si="17"/>
        <v>6734.0425531914889</v>
      </c>
      <c r="G120" s="111">
        <f>SUM($F$26:F120)</f>
        <v>198417.98013599846</v>
      </c>
      <c r="H120" s="110">
        <f>ROUNDUP(G120/副本时间模板!$D$7,0)</f>
        <v>1323</v>
      </c>
      <c r="I120" s="89"/>
      <c r="J120" s="100"/>
      <c r="O120" s="89">
        <v>96</v>
      </c>
      <c r="P120" s="110">
        <f>F120*副本时间模板!$C$75</f>
        <v>4489.3617021276586</v>
      </c>
      <c r="Q120" s="111">
        <f>SUM($P$26:P120)</f>
        <v>132278.65342399897</v>
      </c>
      <c r="R120" s="110">
        <f>ROUNDUP(Q120/副本时间模板!$D$7,0)</f>
        <v>882</v>
      </c>
      <c r="T120" s="89">
        <v>96</v>
      </c>
      <c r="U120" s="110">
        <f>F120*副本时间模板!$D$89</f>
        <v>3068.017016620885</v>
      </c>
      <c r="V120" s="111">
        <f>SUM($U$26:U120)</f>
        <v>90398.855464951179</v>
      </c>
      <c r="W120" s="110">
        <f>ROUNDUP(V120/副本时间模板!$D$7,0)</f>
        <v>603</v>
      </c>
      <c r="Y120" s="89">
        <v>96</v>
      </c>
      <c r="Z120" s="110">
        <f>F120*副本时间模板!$D$104</f>
        <v>2330.7392297903361</v>
      </c>
      <c r="AA120" s="111">
        <f>SUM($Z$26:Z120)</f>
        <v>68675.029381802146</v>
      </c>
      <c r="AB120" s="110">
        <f>ROUNDUP(AA120/副本时间模板!$D$7,0)</f>
        <v>458</v>
      </c>
    </row>
    <row r="121" spans="1:28">
      <c r="C121" s="76">
        <v>97</v>
      </c>
      <c r="D121" s="72">
        <v>1</v>
      </c>
      <c r="E121" s="115">
        <v>1</v>
      </c>
      <c r="F121" s="110">
        <f t="shared" si="17"/>
        <v>6734.0425531914889</v>
      </c>
      <c r="G121" s="111">
        <f>SUM($F$26:F121)</f>
        <v>205152.02268918994</v>
      </c>
      <c r="H121" s="110">
        <f>ROUNDUP(G121/副本时间模板!$D$7,0)</f>
        <v>1368</v>
      </c>
      <c r="I121" s="89"/>
      <c r="J121" s="100"/>
      <c r="O121" s="76">
        <v>97</v>
      </c>
      <c r="P121" s="110">
        <f>F121*副本时间模板!$C$75</f>
        <v>4489.3617021276586</v>
      </c>
      <c r="Q121" s="111">
        <f>SUM($P$26:P121)</f>
        <v>136768.01512612664</v>
      </c>
      <c r="R121" s="110">
        <f>ROUNDUP(Q121/副本时间模板!$D$7,0)</f>
        <v>912</v>
      </c>
      <c r="T121" s="76">
        <v>97</v>
      </c>
      <c r="U121" s="110">
        <f>F121*副本时间模板!$D$89</f>
        <v>3068.017016620885</v>
      </c>
      <c r="V121" s="111">
        <f>SUM($U$26:U121)</f>
        <v>93466.872481572063</v>
      </c>
      <c r="W121" s="110">
        <f>ROUNDUP(V121/副本时间模板!$D$7,0)</f>
        <v>624</v>
      </c>
      <c r="Y121" s="76">
        <v>97</v>
      </c>
      <c r="Z121" s="110">
        <f>F121*副本时间模板!$D$104</f>
        <v>2330.7392297903361</v>
      </c>
      <c r="AA121" s="111">
        <f>SUM($Z$26:Z121)</f>
        <v>71005.768611592488</v>
      </c>
      <c r="AB121" s="110">
        <f>ROUNDUP(AA121/副本时间模板!$D$7,0)</f>
        <v>474</v>
      </c>
    </row>
    <row r="122" spans="1:28">
      <c r="C122" s="60">
        <v>98</v>
      </c>
      <c r="D122" s="72">
        <v>1</v>
      </c>
      <c r="E122" s="115">
        <v>1</v>
      </c>
      <c r="F122" s="110">
        <f t="shared" si="17"/>
        <v>6734.0425531914889</v>
      </c>
      <c r="G122" s="111">
        <f>SUM($F$26:F122)</f>
        <v>211886.06524238142</v>
      </c>
      <c r="H122" s="110">
        <f>ROUNDUP(G122/副本时间模板!$D$7,0)</f>
        <v>1413</v>
      </c>
      <c r="I122" s="89"/>
      <c r="J122" s="100"/>
      <c r="O122" s="89">
        <v>98</v>
      </c>
      <c r="P122" s="110">
        <f>F122*副本时间模板!$C$75</f>
        <v>4489.3617021276586</v>
      </c>
      <c r="Q122" s="111">
        <f>SUM($P$26:P122)</f>
        <v>141257.37682825432</v>
      </c>
      <c r="R122" s="110">
        <f>ROUNDUP(Q122/副本时间模板!$D$7,0)</f>
        <v>942</v>
      </c>
      <c r="T122" s="89">
        <v>98</v>
      </c>
      <c r="U122" s="110">
        <f>F122*副本时间模板!$D$89</f>
        <v>3068.017016620885</v>
      </c>
      <c r="V122" s="111">
        <f>SUM($U$26:U122)</f>
        <v>96534.889498192948</v>
      </c>
      <c r="W122" s="110">
        <f>ROUNDUP(V122/副本时间模板!$D$7,0)</f>
        <v>644</v>
      </c>
      <c r="Y122" s="89">
        <v>98</v>
      </c>
      <c r="Z122" s="110">
        <f>F122*副本时间模板!$D$104</f>
        <v>2330.7392297903361</v>
      </c>
      <c r="AA122" s="111">
        <f>SUM($Z$26:Z122)</f>
        <v>73336.507841382831</v>
      </c>
      <c r="AB122" s="110">
        <f>ROUNDUP(AA122/副本时间模板!$D$7,0)</f>
        <v>489</v>
      </c>
    </row>
    <row r="123" spans="1:28">
      <c r="C123" s="76">
        <v>99</v>
      </c>
      <c r="D123" s="72">
        <v>1</v>
      </c>
      <c r="E123" s="115">
        <v>1</v>
      </c>
      <c r="F123" s="110">
        <f t="shared" si="17"/>
        <v>6734.0425531914889</v>
      </c>
      <c r="G123" s="111">
        <f>SUM($F$26:F123)</f>
        <v>218620.1077955729</v>
      </c>
      <c r="H123" s="110">
        <f>ROUNDUP(G123/副本时间模板!$D$7,0)</f>
        <v>1458</v>
      </c>
      <c r="I123" s="89"/>
      <c r="J123" s="100"/>
      <c r="O123" s="76">
        <v>99</v>
      </c>
      <c r="P123" s="110">
        <f>F123*副本时间模板!$C$75</f>
        <v>4489.3617021276586</v>
      </c>
      <c r="Q123" s="111">
        <f>SUM($P$26:P123)</f>
        <v>145746.73853038199</v>
      </c>
      <c r="R123" s="110">
        <f>ROUNDUP(Q123/副本时间模板!$D$7,0)</f>
        <v>972</v>
      </c>
      <c r="T123" s="76">
        <v>99</v>
      </c>
      <c r="U123" s="110">
        <f>F123*副本时间模板!$D$89</f>
        <v>3068.017016620885</v>
      </c>
      <c r="V123" s="111">
        <f>SUM($U$26:U123)</f>
        <v>99602.906514813832</v>
      </c>
      <c r="W123" s="110">
        <f>ROUNDUP(V123/副本时间模板!$D$7,0)</f>
        <v>665</v>
      </c>
      <c r="Y123" s="76">
        <v>99</v>
      </c>
      <c r="Z123" s="110">
        <f>F123*副本时间模板!$D$104</f>
        <v>2330.7392297903361</v>
      </c>
      <c r="AA123" s="111">
        <f>SUM($Z$26:Z123)</f>
        <v>75667.247071173173</v>
      </c>
      <c r="AB123" s="110">
        <f>ROUNDUP(AA123/副本时间模板!$D$7,0)</f>
        <v>505</v>
      </c>
    </row>
    <row r="124" spans="1:28">
      <c r="C124" s="54">
        <v>100</v>
      </c>
      <c r="D124" s="72">
        <v>1</v>
      </c>
      <c r="E124" s="115">
        <v>1</v>
      </c>
      <c r="F124" s="110">
        <f t="shared" si="17"/>
        <v>6734.0425531914889</v>
      </c>
      <c r="G124" s="111">
        <f>SUM($F$26:F124)</f>
        <v>225354.15034876438</v>
      </c>
      <c r="H124" s="110">
        <f>ROUNDUP(G124/副本时间模板!$D$7,0)</f>
        <v>1503</v>
      </c>
      <c r="I124" s="89"/>
      <c r="J124" s="100"/>
      <c r="O124" s="81">
        <v>100</v>
      </c>
      <c r="P124" s="110">
        <f>F124*副本时间模板!$C$75</f>
        <v>4489.3617021276586</v>
      </c>
      <c r="Q124" s="111">
        <f>SUM($P$26:P124)</f>
        <v>150236.10023250966</v>
      </c>
      <c r="R124" s="110">
        <f>ROUNDUP(Q124/副本时间模板!$D$7,0)</f>
        <v>1002</v>
      </c>
      <c r="T124" s="81">
        <v>100</v>
      </c>
      <c r="U124" s="110">
        <f>F124*副本时间模板!$D$89</f>
        <v>3068.017016620885</v>
      </c>
      <c r="V124" s="111">
        <f>SUM($U$26:U124)</f>
        <v>102670.92353143472</v>
      </c>
      <c r="W124" s="110">
        <f>ROUNDUP(V124/副本时间模板!$D$7,0)</f>
        <v>685</v>
      </c>
      <c r="Y124" s="81">
        <v>100</v>
      </c>
      <c r="Z124" s="110">
        <f>F124*副本时间模板!$D$104</f>
        <v>2330.7392297903361</v>
      </c>
      <c r="AA124" s="111">
        <f>SUM($Z$26:Z124)</f>
        <v>77997.986300963516</v>
      </c>
      <c r="AB124" s="110">
        <f>ROUNDUP(AA124/副本时间模板!$D$7,0)</f>
        <v>520</v>
      </c>
    </row>
  </sheetData>
  <mergeCells count="5">
    <mergeCell ref="F23:H23"/>
    <mergeCell ref="J23:L23"/>
    <mergeCell ref="O23:R23"/>
    <mergeCell ref="T23:W23"/>
    <mergeCell ref="Y23:AB23"/>
  </mergeCells>
  <phoneticPr fontId="1"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dimension ref="A1:AE60"/>
  <sheetViews>
    <sheetView topLeftCell="A46" workbookViewId="0">
      <selection activeCell="J62" sqref="J62"/>
    </sheetView>
  </sheetViews>
  <sheetFormatPr defaultRowHeight="16.5"/>
  <cols>
    <col min="1" max="16384" width="9" style="81"/>
  </cols>
  <sheetData>
    <row r="1" spans="1:31">
      <c r="A1" s="141" t="s">
        <v>533</v>
      </c>
    </row>
    <row r="2" spans="1:31">
      <c r="B2" s="81" t="s">
        <v>403</v>
      </c>
    </row>
    <row r="3" spans="1:31">
      <c r="C3" s="81" t="s">
        <v>404</v>
      </c>
    </row>
    <row r="4" spans="1:31">
      <c r="C4" s="81" t="s">
        <v>405</v>
      </c>
      <c r="AB4" s="81">
        <f>24*60</f>
        <v>1440</v>
      </c>
      <c r="AC4" s="81">
        <f>AB4/6</f>
        <v>240</v>
      </c>
      <c r="AD4" s="81">
        <f>AC4/6</f>
        <v>40</v>
      </c>
    </row>
    <row r="5" spans="1:31">
      <c r="C5" s="81" t="s">
        <v>406</v>
      </c>
      <c r="AC5" s="81">
        <v>180</v>
      </c>
    </row>
    <row r="6" spans="1:31">
      <c r="D6" s="81" t="s">
        <v>407</v>
      </c>
    </row>
    <row r="7" spans="1:31">
      <c r="E7" s="81" t="s">
        <v>408</v>
      </c>
    </row>
    <row r="8" spans="1:31">
      <c r="F8" s="81" t="s">
        <v>409</v>
      </c>
    </row>
    <row r="9" spans="1:31">
      <c r="E9" s="81" t="s">
        <v>410</v>
      </c>
    </row>
    <row r="11" spans="1:31">
      <c r="C11" s="81" t="s">
        <v>411</v>
      </c>
    </row>
    <row r="12" spans="1:31">
      <c r="D12" s="81" t="s">
        <v>412</v>
      </c>
    </row>
    <row r="13" spans="1:31">
      <c r="F13" s="81" t="s">
        <v>413</v>
      </c>
    </row>
    <row r="14" spans="1:31">
      <c r="F14" s="81" t="s">
        <v>414</v>
      </c>
    </row>
    <row r="15" spans="1:31">
      <c r="F15" s="81" t="s">
        <v>415</v>
      </c>
    </row>
    <row r="16" spans="1:31">
      <c r="AB16" s="81">
        <v>25000</v>
      </c>
      <c r="AC16" s="81">
        <v>1</v>
      </c>
      <c r="AD16" s="81">
        <f>AB16*AC16</f>
        <v>25000</v>
      </c>
      <c r="AE16" s="81">
        <f>AD18/AD16</f>
        <v>4.5359999999999996</v>
      </c>
    </row>
    <row r="17" spans="3:30">
      <c r="C17" s="81" t="s">
        <v>416</v>
      </c>
    </row>
    <row r="18" spans="3:30">
      <c r="E18" s="81" t="s">
        <v>417</v>
      </c>
      <c r="AB18" s="81">
        <v>1800</v>
      </c>
      <c r="AC18" s="81">
        <v>63</v>
      </c>
      <c r="AD18" s="81">
        <f>AB18*AC18</f>
        <v>113400</v>
      </c>
    </row>
    <row r="19" spans="3:30">
      <c r="F19" s="81" t="s">
        <v>418</v>
      </c>
    </row>
    <row r="20" spans="3:30">
      <c r="F20" s="81" t="s">
        <v>419</v>
      </c>
    </row>
    <row r="21" spans="3:30">
      <c r="F21" s="81" t="s">
        <v>420</v>
      </c>
    </row>
    <row r="22" spans="3:30">
      <c r="G22" s="81" t="s">
        <v>421</v>
      </c>
    </row>
    <row r="23" spans="3:30">
      <c r="F23" s="81" t="s">
        <v>422</v>
      </c>
    </row>
    <row r="24" spans="3:30">
      <c r="E24" s="81" t="s">
        <v>423</v>
      </c>
    </row>
    <row r="25" spans="3:30">
      <c r="F25" s="81" t="s">
        <v>424</v>
      </c>
    </row>
    <row r="26" spans="3:30">
      <c r="F26" s="81" t="s">
        <v>425</v>
      </c>
    </row>
    <row r="27" spans="3:30">
      <c r="G27" s="81" t="s">
        <v>426</v>
      </c>
    </row>
    <row r="28" spans="3:30">
      <c r="G28" s="81" t="s">
        <v>427</v>
      </c>
    </row>
    <row r="29" spans="3:30">
      <c r="G29" s="81" t="s">
        <v>428</v>
      </c>
    </row>
    <row r="31" spans="3:30">
      <c r="C31" s="81" t="s">
        <v>429</v>
      </c>
    </row>
    <row r="32" spans="3:30">
      <c r="D32" s="81" t="s">
        <v>430</v>
      </c>
    </row>
    <row r="33" spans="3:7">
      <c r="E33" s="81" t="s">
        <v>431</v>
      </c>
    </row>
    <row r="34" spans="3:7">
      <c r="F34" s="81" t="s">
        <v>432</v>
      </c>
    </row>
    <row r="35" spans="3:7">
      <c r="F35" s="81" t="s">
        <v>433</v>
      </c>
    </row>
    <row r="36" spans="3:7">
      <c r="E36" s="81" t="s">
        <v>423</v>
      </c>
    </row>
    <row r="37" spans="3:7">
      <c r="F37" s="81" t="s">
        <v>434</v>
      </c>
    </row>
    <row r="38" spans="3:7">
      <c r="F38" s="81" t="s">
        <v>425</v>
      </c>
    </row>
    <row r="39" spans="3:7">
      <c r="G39" s="81" t="s">
        <v>426</v>
      </c>
    </row>
    <row r="40" spans="3:7">
      <c r="G40" s="81" t="s">
        <v>427</v>
      </c>
    </row>
    <row r="41" spans="3:7">
      <c r="G41" s="81" t="s">
        <v>428</v>
      </c>
    </row>
    <row r="43" spans="3:7">
      <c r="C43" s="81" t="s">
        <v>435</v>
      </c>
    </row>
    <row r="44" spans="3:7">
      <c r="D44" s="81" t="s">
        <v>436</v>
      </c>
    </row>
    <row r="45" spans="3:7">
      <c r="F45" s="81" t="s">
        <v>437</v>
      </c>
    </row>
    <row r="46" spans="3:7">
      <c r="F46" s="81" t="s">
        <v>438</v>
      </c>
    </row>
    <row r="47" spans="3:7">
      <c r="G47" s="81" t="s">
        <v>439</v>
      </c>
    </row>
    <row r="48" spans="3:7">
      <c r="F48" s="81" t="s">
        <v>440</v>
      </c>
    </row>
    <row r="49" spans="3:7">
      <c r="E49" s="81" t="s">
        <v>423</v>
      </c>
    </row>
    <row r="50" spans="3:7">
      <c r="F50" s="81" t="s">
        <v>434</v>
      </c>
    </row>
    <row r="51" spans="3:7">
      <c r="F51" s="81" t="s">
        <v>425</v>
      </c>
    </row>
    <row r="52" spans="3:7">
      <c r="G52" s="81" t="s">
        <v>426</v>
      </c>
    </row>
    <row r="53" spans="3:7">
      <c r="G53" s="81" t="s">
        <v>427</v>
      </c>
    </row>
    <row r="54" spans="3:7">
      <c r="G54" s="81" t="s">
        <v>428</v>
      </c>
    </row>
    <row r="55" spans="3:7">
      <c r="C55" s="81" t="s">
        <v>441</v>
      </c>
    </row>
    <row r="56" spans="3:7">
      <c r="D56" s="81" t="s">
        <v>442</v>
      </c>
    </row>
    <row r="57" spans="3:7">
      <c r="D57" s="81" t="s">
        <v>443</v>
      </c>
      <c r="E57" s="81" t="s">
        <v>444</v>
      </c>
    </row>
    <row r="58" spans="3:7">
      <c r="F58" s="81" t="s">
        <v>445</v>
      </c>
    </row>
    <row r="59" spans="3:7">
      <c r="E59" s="81" t="s">
        <v>446</v>
      </c>
    </row>
    <row r="60" spans="3:7">
      <c r="F60" s="140" t="s">
        <v>534</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H80"/>
  <sheetViews>
    <sheetView topLeftCell="A28" workbookViewId="0">
      <selection activeCell="C34" sqref="C34"/>
    </sheetView>
  </sheetViews>
  <sheetFormatPr defaultRowHeight="16.5"/>
  <cols>
    <col min="1" max="1" width="9" style="136"/>
    <col min="2" max="16384" width="9" style="135"/>
  </cols>
  <sheetData>
    <row r="1" spans="1:4">
      <c r="A1" s="135"/>
      <c r="B1" s="137" t="s">
        <v>480</v>
      </c>
      <c r="C1" s="135" t="s">
        <v>483</v>
      </c>
    </row>
    <row r="2" spans="1:4">
      <c r="A2" s="135"/>
      <c r="B2" s="137" t="s">
        <v>481</v>
      </c>
      <c r="C2" s="135" t="s">
        <v>448</v>
      </c>
    </row>
    <row r="3" spans="1:4">
      <c r="B3" s="136"/>
      <c r="C3" s="135" t="s">
        <v>449</v>
      </c>
    </row>
    <row r="4" spans="1:4">
      <c r="B4" s="136"/>
      <c r="C4" s="135" t="s">
        <v>450</v>
      </c>
    </row>
    <row r="5" spans="1:4">
      <c r="B5" s="136"/>
      <c r="D5" s="135" t="s">
        <v>451</v>
      </c>
    </row>
    <row r="6" spans="1:4">
      <c r="B6" s="136"/>
      <c r="D6" s="135" t="s">
        <v>452</v>
      </c>
    </row>
    <row r="7" spans="1:4">
      <c r="B7" s="136"/>
    </row>
    <row r="8" spans="1:4">
      <c r="A8" s="135"/>
      <c r="B8" s="137" t="s">
        <v>480</v>
      </c>
      <c r="C8" s="135" t="s">
        <v>482</v>
      </c>
    </row>
    <row r="9" spans="1:4">
      <c r="A9" s="135"/>
      <c r="B9" s="137" t="s">
        <v>481</v>
      </c>
      <c r="C9" s="135" t="s">
        <v>453</v>
      </c>
    </row>
    <row r="10" spans="1:4">
      <c r="B10" s="136"/>
      <c r="C10" s="135" t="s">
        <v>454</v>
      </c>
    </row>
    <row r="11" spans="1:4">
      <c r="B11" s="136"/>
      <c r="C11" s="135" t="s">
        <v>455</v>
      </c>
    </row>
    <row r="12" spans="1:4">
      <c r="B12" s="136"/>
      <c r="C12" s="135" t="s">
        <v>456</v>
      </c>
    </row>
    <row r="13" spans="1:4">
      <c r="B13" s="136"/>
    </row>
    <row r="14" spans="1:4">
      <c r="B14" s="137" t="s">
        <v>480</v>
      </c>
      <c r="C14" s="135" t="s">
        <v>457</v>
      </c>
    </row>
    <row r="15" spans="1:4">
      <c r="B15" s="137" t="s">
        <v>481</v>
      </c>
      <c r="C15" s="135" t="s">
        <v>486</v>
      </c>
    </row>
    <row r="16" spans="1:4">
      <c r="B16" s="136"/>
      <c r="C16" s="135" t="s">
        <v>485</v>
      </c>
    </row>
    <row r="17" spans="1:7">
      <c r="B17" s="136"/>
      <c r="C17" s="135" t="s">
        <v>484</v>
      </c>
    </row>
    <row r="18" spans="1:7" s="140" customFormat="1">
      <c r="A18" s="143"/>
      <c r="B18" s="143"/>
    </row>
    <row r="19" spans="1:7">
      <c r="B19" s="137" t="s">
        <v>480</v>
      </c>
      <c r="C19" s="135" t="s">
        <v>458</v>
      </c>
    </row>
    <row r="20" spans="1:7">
      <c r="B20" s="137" t="s">
        <v>481</v>
      </c>
      <c r="C20" s="140" t="s">
        <v>499</v>
      </c>
    </row>
    <row r="21" spans="1:7">
      <c r="B21" s="136"/>
      <c r="C21" s="140" t="s">
        <v>501</v>
      </c>
    </row>
    <row r="22" spans="1:7" s="140" customFormat="1">
      <c r="A22" s="143"/>
      <c r="B22" s="143"/>
      <c r="C22" s="140" t="s">
        <v>500</v>
      </c>
    </row>
    <row r="23" spans="1:7">
      <c r="B23" s="136"/>
    </row>
    <row r="24" spans="1:7">
      <c r="B24" s="137" t="s">
        <v>480</v>
      </c>
      <c r="C24" s="135" t="s">
        <v>459</v>
      </c>
    </row>
    <row r="25" spans="1:7">
      <c r="B25" s="137" t="s">
        <v>481</v>
      </c>
      <c r="C25" s="135" t="s">
        <v>492</v>
      </c>
    </row>
    <row r="26" spans="1:7" s="140" customFormat="1">
      <c r="A26" s="143"/>
      <c r="B26" s="137"/>
    </row>
    <row r="27" spans="1:7">
      <c r="B27" s="137" t="s">
        <v>480</v>
      </c>
      <c r="C27" s="135" t="s">
        <v>460</v>
      </c>
    </row>
    <row r="28" spans="1:7" s="140" customFormat="1">
      <c r="A28" s="143"/>
      <c r="B28" s="137" t="s">
        <v>481</v>
      </c>
      <c r="C28" s="140" t="s">
        <v>524</v>
      </c>
    </row>
    <row r="29" spans="1:7" s="140" customFormat="1">
      <c r="A29" s="143"/>
      <c r="B29" s="143"/>
    </row>
    <row r="30" spans="1:7">
      <c r="B30" s="137" t="s">
        <v>480</v>
      </c>
      <c r="C30" s="135" t="s">
        <v>461</v>
      </c>
    </row>
    <row r="31" spans="1:7" s="140" customFormat="1">
      <c r="A31" s="143"/>
      <c r="B31" s="137" t="s">
        <v>481</v>
      </c>
      <c r="C31" s="140" t="s">
        <v>523</v>
      </c>
    </row>
    <row r="32" spans="1:7" s="140" customFormat="1">
      <c r="A32" s="143"/>
      <c r="B32" s="137"/>
      <c r="C32" s="141" t="s">
        <v>531</v>
      </c>
      <c r="D32" s="141"/>
      <c r="E32" s="141" t="s">
        <v>529</v>
      </c>
      <c r="F32" s="141"/>
      <c r="G32" s="141" t="s">
        <v>530</v>
      </c>
    </row>
    <row r="33" spans="1:7" s="140" customFormat="1">
      <c r="A33" s="143"/>
      <c r="B33" s="137"/>
      <c r="C33" s="140" t="s">
        <v>502</v>
      </c>
      <c r="E33" s="140" t="s">
        <v>503</v>
      </c>
    </row>
    <row r="34" spans="1:7" s="140" customFormat="1">
      <c r="A34" s="143"/>
      <c r="B34" s="137"/>
      <c r="C34" s="140" t="s">
        <v>532</v>
      </c>
      <c r="E34" s="140" t="s">
        <v>504</v>
      </c>
    </row>
    <row r="35" spans="1:7" s="140" customFormat="1">
      <c r="A35" s="143"/>
      <c r="B35" s="137"/>
      <c r="C35" s="140" t="s">
        <v>505</v>
      </c>
      <c r="E35" s="140" t="s">
        <v>507</v>
      </c>
      <c r="G35" s="140" t="s">
        <v>509</v>
      </c>
    </row>
    <row r="36" spans="1:7" s="140" customFormat="1">
      <c r="A36" s="143"/>
      <c r="B36" s="137"/>
      <c r="C36" s="140" t="s">
        <v>506</v>
      </c>
      <c r="E36" s="140" t="s">
        <v>508</v>
      </c>
      <c r="G36" s="140" t="s">
        <v>510</v>
      </c>
    </row>
    <row r="37" spans="1:7" s="140" customFormat="1">
      <c r="A37" s="143"/>
      <c r="B37" s="137"/>
      <c r="C37" s="140" t="s">
        <v>511</v>
      </c>
      <c r="E37" s="140" t="s">
        <v>512</v>
      </c>
    </row>
    <row r="38" spans="1:7" s="140" customFormat="1">
      <c r="A38" s="143"/>
      <c r="B38" s="137"/>
      <c r="C38" s="140" t="s">
        <v>518</v>
      </c>
      <c r="E38" s="140" t="s">
        <v>519</v>
      </c>
      <c r="G38" s="140" t="s">
        <v>521</v>
      </c>
    </row>
    <row r="39" spans="1:7" s="140" customFormat="1">
      <c r="A39" s="143"/>
      <c r="B39" s="137"/>
      <c r="C39" s="140" t="s">
        <v>513</v>
      </c>
      <c r="E39" s="140" t="s">
        <v>514</v>
      </c>
      <c r="G39" s="140" t="s">
        <v>520</v>
      </c>
    </row>
    <row r="40" spans="1:7" s="140" customFormat="1">
      <c r="A40" s="143"/>
      <c r="B40" s="137"/>
      <c r="C40" s="140" t="s">
        <v>515</v>
      </c>
      <c r="E40" s="140" t="s">
        <v>516</v>
      </c>
    </row>
    <row r="41" spans="1:7" s="140" customFormat="1">
      <c r="A41" s="143"/>
      <c r="B41" s="137"/>
      <c r="C41" s="140" t="s">
        <v>517</v>
      </c>
      <c r="E41" s="140" t="s">
        <v>516</v>
      </c>
    </row>
    <row r="42" spans="1:7" s="140" customFormat="1">
      <c r="A42" s="143"/>
      <c r="B42" s="137"/>
      <c r="C42" s="140" t="s">
        <v>520</v>
      </c>
      <c r="E42" s="140" t="s">
        <v>522</v>
      </c>
    </row>
    <row r="43" spans="1:7" s="140" customFormat="1">
      <c r="A43" s="143"/>
      <c r="B43" s="143"/>
    </row>
    <row r="44" spans="1:7">
      <c r="B44" s="137" t="s">
        <v>480</v>
      </c>
      <c r="C44" s="135" t="s">
        <v>462</v>
      </c>
    </row>
    <row r="45" spans="1:7">
      <c r="B45" s="137" t="s">
        <v>481</v>
      </c>
      <c r="C45" s="135" t="s">
        <v>463</v>
      </c>
    </row>
    <row r="46" spans="1:7">
      <c r="B46" s="136"/>
      <c r="C46" s="135" t="s">
        <v>464</v>
      </c>
    </row>
    <row r="47" spans="1:7">
      <c r="B47" s="136"/>
    </row>
    <row r="48" spans="1:7">
      <c r="B48" s="137" t="s">
        <v>480</v>
      </c>
      <c r="C48" s="135" t="s">
        <v>465</v>
      </c>
    </row>
    <row r="49" spans="1:8">
      <c r="B49" s="137" t="s">
        <v>481</v>
      </c>
      <c r="C49" s="135" t="s">
        <v>466</v>
      </c>
    </row>
    <row r="50" spans="1:8">
      <c r="B50" s="136"/>
      <c r="C50" s="135" t="s">
        <v>467</v>
      </c>
    </row>
    <row r="51" spans="1:8">
      <c r="B51" s="136"/>
      <c r="C51" s="135" t="s">
        <v>468</v>
      </c>
    </row>
    <row r="52" spans="1:8" s="140" customFormat="1">
      <c r="A52" s="143"/>
      <c r="B52" s="143"/>
    </row>
    <row r="53" spans="1:8">
      <c r="B53" s="137" t="s">
        <v>480</v>
      </c>
      <c r="C53" s="135" t="s">
        <v>469</v>
      </c>
    </row>
    <row r="54" spans="1:8">
      <c r="B54" s="137" t="s">
        <v>481</v>
      </c>
      <c r="C54" s="135" t="s">
        <v>490</v>
      </c>
    </row>
    <row r="55" spans="1:8" s="140" customFormat="1">
      <c r="A55" s="143"/>
      <c r="B55" s="137"/>
      <c r="C55" s="135" t="s">
        <v>491</v>
      </c>
    </row>
    <row r="56" spans="1:8" s="140" customFormat="1">
      <c r="A56" s="143"/>
      <c r="B56" s="137"/>
      <c r="C56" s="135" t="s">
        <v>489</v>
      </c>
    </row>
    <row r="57" spans="1:8" s="140" customFormat="1">
      <c r="A57" s="143"/>
      <c r="B57" s="137"/>
    </row>
    <row r="58" spans="1:8">
      <c r="B58" s="137" t="s">
        <v>480</v>
      </c>
      <c r="C58" s="135" t="s">
        <v>470</v>
      </c>
    </row>
    <row r="59" spans="1:8">
      <c r="B59" s="137" t="s">
        <v>481</v>
      </c>
      <c r="C59" s="140" t="s">
        <v>487</v>
      </c>
    </row>
    <row r="60" spans="1:8" s="140" customFormat="1">
      <c r="A60" s="143"/>
      <c r="B60" s="143"/>
      <c r="C60" s="140" t="s">
        <v>488</v>
      </c>
    </row>
    <row r="61" spans="1:8" s="140" customFormat="1">
      <c r="A61" s="143"/>
      <c r="B61" s="143"/>
    </row>
    <row r="62" spans="1:8">
      <c r="B62" s="137" t="s">
        <v>480</v>
      </c>
      <c r="C62" s="135" t="s">
        <v>471</v>
      </c>
    </row>
    <row r="63" spans="1:8">
      <c r="B63" s="137" t="s">
        <v>481</v>
      </c>
      <c r="H63" s="140"/>
    </row>
    <row r="64" spans="1:8" s="140" customFormat="1">
      <c r="A64" s="143"/>
      <c r="B64" s="137"/>
    </row>
    <row r="65" spans="1:8">
      <c r="B65" s="137" t="s">
        <v>480</v>
      </c>
      <c r="C65" s="135" t="s">
        <v>472</v>
      </c>
      <c r="H65" s="140"/>
    </row>
    <row r="66" spans="1:8">
      <c r="B66" s="137" t="s">
        <v>481</v>
      </c>
      <c r="C66" s="140" t="s">
        <v>525</v>
      </c>
    </row>
    <row r="67" spans="1:8" s="140" customFormat="1">
      <c r="A67" s="143"/>
      <c r="B67" s="137"/>
    </row>
    <row r="68" spans="1:8">
      <c r="B68" s="137" t="s">
        <v>480</v>
      </c>
      <c r="C68" s="135" t="s">
        <v>473</v>
      </c>
    </row>
    <row r="69" spans="1:8">
      <c r="B69" s="137" t="s">
        <v>481</v>
      </c>
      <c r="C69" s="140" t="s">
        <v>526</v>
      </c>
    </row>
    <row r="70" spans="1:8" s="140" customFormat="1">
      <c r="A70" s="143"/>
      <c r="B70" s="137"/>
    </row>
    <row r="71" spans="1:8">
      <c r="B71" s="137" t="s">
        <v>480</v>
      </c>
      <c r="C71" s="135" t="s">
        <v>474</v>
      </c>
    </row>
    <row r="72" spans="1:8">
      <c r="B72" s="137" t="s">
        <v>481</v>
      </c>
      <c r="C72" s="140" t="s">
        <v>475</v>
      </c>
    </row>
    <row r="73" spans="1:8">
      <c r="B73" s="136"/>
      <c r="C73" s="140" t="s">
        <v>476</v>
      </c>
    </row>
    <row r="74" spans="1:8" s="140" customFormat="1">
      <c r="A74" s="143"/>
      <c r="B74" s="143"/>
    </row>
    <row r="75" spans="1:8">
      <c r="B75" s="137" t="s">
        <v>480</v>
      </c>
      <c r="C75" s="135" t="s">
        <v>477</v>
      </c>
    </row>
    <row r="76" spans="1:8">
      <c r="B76" s="137" t="s">
        <v>481</v>
      </c>
      <c r="C76" s="140" t="s">
        <v>527</v>
      </c>
    </row>
    <row r="78" spans="1:8">
      <c r="B78" s="137" t="s">
        <v>480</v>
      </c>
      <c r="C78" s="135" t="s">
        <v>478</v>
      </c>
    </row>
    <row r="79" spans="1:8">
      <c r="B79" s="137" t="s">
        <v>481</v>
      </c>
      <c r="C79" s="135" t="s">
        <v>479</v>
      </c>
    </row>
    <row r="80" spans="1:8">
      <c r="C80" s="140" t="s">
        <v>528</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Y291"/>
  <sheetViews>
    <sheetView topLeftCell="A70" workbookViewId="0">
      <selection activeCell="G65" sqref="G65"/>
    </sheetView>
  </sheetViews>
  <sheetFormatPr defaultRowHeight="16.5"/>
  <cols>
    <col min="1" max="3" width="9" style="1"/>
    <col min="4" max="4" width="9.75" style="1" customWidth="1"/>
    <col min="5" max="7" width="9" style="1"/>
    <col min="8" max="8" width="11.75" style="1" customWidth="1"/>
    <col min="9" max="9" width="13.25" style="1" bestFit="1" customWidth="1"/>
    <col min="10" max="10" width="9.5" style="1" bestFit="1" customWidth="1"/>
    <col min="11" max="11" width="9.625" style="1" bestFit="1" customWidth="1"/>
    <col min="12" max="13" width="9" style="1"/>
    <col min="14" max="15" width="9.5" style="1" bestFit="1" customWidth="1"/>
    <col min="16" max="22" width="9" style="1"/>
    <col min="23" max="23" width="9.5" style="1" bestFit="1" customWidth="1"/>
    <col min="24" max="16384" width="9" style="1"/>
  </cols>
  <sheetData>
    <row r="1" spans="1:14">
      <c r="A1" s="1" t="s">
        <v>47</v>
      </c>
      <c r="G1" s="1" t="s">
        <v>48</v>
      </c>
    </row>
    <row r="2" spans="1:14">
      <c r="A2" s="1" t="s">
        <v>17</v>
      </c>
      <c r="H2" s="1" t="s">
        <v>50</v>
      </c>
      <c r="I2" s="1" t="s">
        <v>49</v>
      </c>
    </row>
    <row r="3" spans="1:14">
      <c r="B3" s="1" t="s">
        <v>14</v>
      </c>
      <c r="D3" s="1" t="s">
        <v>21</v>
      </c>
      <c r="F3" s="1" t="s">
        <v>21</v>
      </c>
      <c r="H3" s="1" t="s">
        <v>51</v>
      </c>
      <c r="I3" s="1" t="s">
        <v>54</v>
      </c>
    </row>
    <row r="4" spans="1:14">
      <c r="B4" s="1" t="s">
        <v>15</v>
      </c>
      <c r="D4" s="1" t="s">
        <v>23</v>
      </c>
      <c r="F4" s="1" t="s">
        <v>18</v>
      </c>
      <c r="G4" s="1" t="s">
        <v>52</v>
      </c>
    </row>
    <row r="5" spans="1:14">
      <c r="B5" s="1" t="s">
        <v>16</v>
      </c>
      <c r="D5" s="1" t="s">
        <v>22</v>
      </c>
      <c r="F5" s="1" t="s">
        <v>24</v>
      </c>
      <c r="H5" s="1" t="s">
        <v>50</v>
      </c>
      <c r="I5" s="1" t="s">
        <v>53</v>
      </c>
    </row>
    <row r="6" spans="1:14">
      <c r="A6" s="1" t="s">
        <v>19</v>
      </c>
      <c r="H6" s="1" t="s">
        <v>51</v>
      </c>
      <c r="I6" s="1" t="s">
        <v>54</v>
      </c>
    </row>
    <row r="7" spans="1:14">
      <c r="B7" s="1" t="s">
        <v>18</v>
      </c>
      <c r="D7" s="1" t="s">
        <v>14</v>
      </c>
      <c r="F7" s="1" t="s">
        <v>27</v>
      </c>
      <c r="G7" s="1" t="s">
        <v>55</v>
      </c>
    </row>
    <row r="8" spans="1:14">
      <c r="B8" s="1" t="s">
        <v>7</v>
      </c>
      <c r="D8" s="1" t="s">
        <v>25</v>
      </c>
      <c r="F8" s="1" t="s">
        <v>25</v>
      </c>
      <c r="H8" s="1" t="s">
        <v>50</v>
      </c>
      <c r="I8" s="1" t="s">
        <v>65</v>
      </c>
    </row>
    <row r="9" spans="1:14">
      <c r="B9" s="1" t="s">
        <v>20</v>
      </c>
      <c r="D9" s="1" t="s">
        <v>26</v>
      </c>
      <c r="F9" s="1" t="s">
        <v>25</v>
      </c>
      <c r="H9" s="1" t="s">
        <v>51</v>
      </c>
      <c r="I9" s="1" t="s">
        <v>21</v>
      </c>
    </row>
    <row r="10" spans="1:14">
      <c r="A10" s="1" t="s">
        <v>28</v>
      </c>
    </row>
    <row r="11" spans="1:14">
      <c r="A11" s="1" t="s">
        <v>17</v>
      </c>
      <c r="G11" s="1" t="s">
        <v>42</v>
      </c>
    </row>
    <row r="12" spans="1:14">
      <c r="B12" s="1" t="s">
        <v>27</v>
      </c>
      <c r="D12" s="1" t="s">
        <v>30</v>
      </c>
      <c r="H12" s="1" t="s">
        <v>66</v>
      </c>
    </row>
    <row r="13" spans="1:14">
      <c r="B13" s="1" t="s">
        <v>29</v>
      </c>
      <c r="D13" s="1" t="s">
        <v>29</v>
      </c>
      <c r="L13" s="1" t="s">
        <v>145</v>
      </c>
    </row>
    <row r="14" spans="1:14">
      <c r="B14" s="1" t="s">
        <v>22</v>
      </c>
      <c r="D14" s="1" t="s">
        <v>22</v>
      </c>
      <c r="L14" s="1" t="s">
        <v>171</v>
      </c>
      <c r="M14" s="1" t="s">
        <v>146</v>
      </c>
      <c r="N14" s="1" t="s">
        <v>147</v>
      </c>
    </row>
    <row r="15" spans="1:14">
      <c r="A15" s="1" t="s">
        <v>19</v>
      </c>
      <c r="L15" s="1">
        <v>72</v>
      </c>
      <c r="M15" s="1">
        <v>18</v>
      </c>
      <c r="N15" s="1">
        <f t="shared" ref="N15:N20" si="0">L15/M15</f>
        <v>4</v>
      </c>
    </row>
    <row r="16" spans="1:14">
      <c r="B16" s="1" t="s">
        <v>18</v>
      </c>
      <c r="D16" s="1" t="s">
        <v>31</v>
      </c>
      <c r="F16" s="1" t="s">
        <v>21</v>
      </c>
      <c r="L16" s="1">
        <v>120</v>
      </c>
      <c r="M16" s="1">
        <v>30</v>
      </c>
      <c r="N16" s="1">
        <f t="shared" si="0"/>
        <v>4</v>
      </c>
    </row>
    <row r="17" spans="1:14">
      <c r="B17" s="1" t="s">
        <v>23</v>
      </c>
      <c r="F17" s="1" t="s">
        <v>30</v>
      </c>
      <c r="K17" s="1" t="s">
        <v>172</v>
      </c>
      <c r="L17" s="1">
        <v>250</v>
      </c>
      <c r="M17" s="1">
        <v>68</v>
      </c>
      <c r="N17" s="1">
        <f t="shared" si="0"/>
        <v>3.6764705882352939</v>
      </c>
    </row>
    <row r="18" spans="1:14">
      <c r="B18" s="1" t="s">
        <v>7</v>
      </c>
      <c r="D18" s="1" t="s">
        <v>32</v>
      </c>
      <c r="F18" s="1" t="s">
        <v>33</v>
      </c>
      <c r="K18" s="1" t="s">
        <v>172</v>
      </c>
      <c r="L18" s="1">
        <v>500</v>
      </c>
      <c r="M18" s="1">
        <v>128</v>
      </c>
      <c r="N18" s="1">
        <f t="shared" si="0"/>
        <v>3.90625</v>
      </c>
    </row>
    <row r="19" spans="1:14">
      <c r="A19" s="1" t="s">
        <v>36</v>
      </c>
      <c r="L19" s="1">
        <v>1400</v>
      </c>
      <c r="M19" s="1">
        <v>328</v>
      </c>
      <c r="N19" s="1">
        <f t="shared" si="0"/>
        <v>4.2682926829268295</v>
      </c>
    </row>
    <row r="20" spans="1:14">
      <c r="A20" s="1" t="s">
        <v>17</v>
      </c>
      <c r="L20" s="1">
        <v>3000</v>
      </c>
      <c r="M20" s="1">
        <v>648</v>
      </c>
      <c r="N20" s="1">
        <f t="shared" si="0"/>
        <v>4.6296296296296298</v>
      </c>
    </row>
    <row r="21" spans="1:14">
      <c r="B21" s="1" t="s">
        <v>34</v>
      </c>
      <c r="D21" s="1" t="s">
        <v>37</v>
      </c>
    </row>
    <row r="22" spans="1:14">
      <c r="B22" s="1" t="s">
        <v>35</v>
      </c>
      <c r="D22" s="1" t="s">
        <v>35</v>
      </c>
    </row>
    <row r="23" spans="1:14">
      <c r="B23" s="1" t="s">
        <v>7</v>
      </c>
      <c r="D23" s="1" t="s">
        <v>38</v>
      </c>
    </row>
    <row r="24" spans="1:14">
      <c r="A24" s="1" t="s">
        <v>19</v>
      </c>
    </row>
    <row r="25" spans="1:14">
      <c r="B25" s="1" t="s">
        <v>40</v>
      </c>
      <c r="D25" s="1" t="s">
        <v>35</v>
      </c>
    </row>
    <row r="26" spans="1:14">
      <c r="B26" s="1" t="s">
        <v>39</v>
      </c>
      <c r="D26" s="1" t="s">
        <v>41</v>
      </c>
    </row>
    <row r="27" spans="1:14">
      <c r="B27" s="1" t="s">
        <v>39</v>
      </c>
      <c r="D27" s="1" t="s">
        <v>35</v>
      </c>
    </row>
    <row r="28" spans="1:14">
      <c r="A28" s="1" t="s">
        <v>44</v>
      </c>
    </row>
    <row r="29" spans="1:14">
      <c r="A29" s="1" t="s">
        <v>17</v>
      </c>
    </row>
    <row r="30" spans="1:14">
      <c r="B30" s="1" t="s">
        <v>18</v>
      </c>
    </row>
    <row r="31" spans="1:14">
      <c r="B31" s="1" t="s">
        <v>45</v>
      </c>
    </row>
    <row r="32" spans="1:14">
      <c r="B32" s="1" t="s">
        <v>30</v>
      </c>
    </row>
    <row r="33" spans="1:9">
      <c r="A33" s="1" t="s">
        <v>46</v>
      </c>
    </row>
    <row r="34" spans="1:9">
      <c r="B34" s="1" t="s">
        <v>18</v>
      </c>
    </row>
    <row r="35" spans="1:9">
      <c r="B35" s="1" t="s">
        <v>32</v>
      </c>
    </row>
    <row r="36" spans="1:9">
      <c r="B36" s="1" t="s">
        <v>20</v>
      </c>
    </row>
    <row r="38" spans="1:9">
      <c r="A38" s="1" t="s">
        <v>42</v>
      </c>
    </row>
    <row r="39" spans="1:9">
      <c r="B39" s="1" t="s">
        <v>43</v>
      </c>
    </row>
    <row r="43" spans="1:9">
      <c r="A43" s="2" t="s">
        <v>170</v>
      </c>
      <c r="H43" s="1" t="s">
        <v>182</v>
      </c>
    </row>
    <row r="44" spans="1:9">
      <c r="B44" s="2" t="s">
        <v>173</v>
      </c>
      <c r="H44" s="2" t="s">
        <v>187</v>
      </c>
    </row>
    <row r="45" spans="1:9">
      <c r="C45" s="2" t="s">
        <v>175</v>
      </c>
      <c r="D45" s="1" t="s">
        <v>177</v>
      </c>
      <c r="E45" s="1" t="s">
        <v>174</v>
      </c>
      <c r="I45" s="1">
        <v>535</v>
      </c>
    </row>
    <row r="46" spans="1:9">
      <c r="C46" s="2" t="s">
        <v>176</v>
      </c>
      <c r="D46" s="1">
        <v>10000</v>
      </c>
      <c r="E46" s="1" t="s">
        <v>178</v>
      </c>
    </row>
    <row r="47" spans="1:9">
      <c r="C47" s="2" t="s">
        <v>180</v>
      </c>
      <c r="D47" s="1" t="s">
        <v>181</v>
      </c>
      <c r="E47" s="1" t="s">
        <v>179</v>
      </c>
    </row>
    <row r="49" spans="2:25">
      <c r="B49" s="2" t="s">
        <v>183</v>
      </c>
      <c r="D49" s="2" t="s">
        <v>285</v>
      </c>
      <c r="E49" s="2" t="s">
        <v>286</v>
      </c>
      <c r="F49" s="2" t="s">
        <v>298</v>
      </c>
    </row>
    <row r="50" spans="2:25">
      <c r="C50" s="35" t="s">
        <v>184</v>
      </c>
      <c r="D50" s="1">
        <v>1</v>
      </c>
      <c r="E50" s="1">
        <v>120</v>
      </c>
      <c r="F50" s="48">
        <f>SUM($E$50:E50)</f>
        <v>120</v>
      </c>
      <c r="I50" s="2" t="s">
        <v>196</v>
      </c>
      <c r="J50" s="1">
        <v>1</v>
      </c>
      <c r="K50" s="2" t="s">
        <v>221</v>
      </c>
      <c r="L50" s="1">
        <v>240</v>
      </c>
      <c r="M50" s="2" t="s">
        <v>194</v>
      </c>
      <c r="N50" s="1">
        <v>180</v>
      </c>
      <c r="O50" s="2" t="s">
        <v>222</v>
      </c>
      <c r="P50" s="1">
        <v>120</v>
      </c>
    </row>
    <row r="51" spans="2:25">
      <c r="C51" s="2" t="s">
        <v>190</v>
      </c>
      <c r="D51" s="1">
        <v>1</v>
      </c>
      <c r="E51" s="1">
        <v>80</v>
      </c>
      <c r="F51" s="48">
        <f>SUM($E$50:E51)</f>
        <v>200</v>
      </c>
      <c r="I51" s="2" t="s">
        <v>216</v>
      </c>
      <c r="J51" s="2" t="s">
        <v>220</v>
      </c>
      <c r="K51" s="2" t="s">
        <v>197</v>
      </c>
      <c r="L51" s="2" t="s">
        <v>198</v>
      </c>
      <c r="M51" s="2" t="s">
        <v>199</v>
      </c>
      <c r="N51" s="2" t="s">
        <v>200</v>
      </c>
      <c r="O51" s="2" t="s">
        <v>201</v>
      </c>
      <c r="P51" s="35" t="s">
        <v>202</v>
      </c>
      <c r="Q51" s="35" t="s">
        <v>203</v>
      </c>
      <c r="R51" s="2" t="s">
        <v>204</v>
      </c>
      <c r="S51" s="2" t="s">
        <v>205</v>
      </c>
      <c r="T51" s="2" t="s">
        <v>206</v>
      </c>
      <c r="U51" s="2" t="s">
        <v>207</v>
      </c>
      <c r="V51" s="2" t="s">
        <v>208</v>
      </c>
      <c r="W51" s="2" t="s">
        <v>209</v>
      </c>
      <c r="X51" s="2" t="s">
        <v>210</v>
      </c>
      <c r="Y51" s="2" t="s">
        <v>211</v>
      </c>
    </row>
    <row r="52" spans="2:25">
      <c r="C52" s="2" t="s">
        <v>188</v>
      </c>
      <c r="D52" s="1">
        <v>2</v>
      </c>
      <c r="E52" s="1">
        <v>60</v>
      </c>
      <c r="F52" s="48">
        <f>SUM($E$50:E52)</f>
        <v>260</v>
      </c>
      <c r="I52" s="1">
        <v>0</v>
      </c>
      <c r="J52" s="1">
        <v>1</v>
      </c>
      <c r="K52" s="1">
        <v>2</v>
      </c>
      <c r="L52" s="1">
        <v>3</v>
      </c>
      <c r="M52" s="1">
        <v>4</v>
      </c>
      <c r="N52" s="1">
        <v>5</v>
      </c>
      <c r="O52" s="1">
        <v>6</v>
      </c>
      <c r="P52" s="1">
        <v>7</v>
      </c>
      <c r="Q52" s="1">
        <v>8</v>
      </c>
      <c r="R52" s="1">
        <v>9</v>
      </c>
      <c r="S52" s="1">
        <v>10</v>
      </c>
      <c r="T52" s="1">
        <v>11</v>
      </c>
      <c r="U52" s="1">
        <v>12</v>
      </c>
      <c r="V52" s="1">
        <v>13</v>
      </c>
      <c r="W52" s="1">
        <v>14</v>
      </c>
      <c r="X52" s="1">
        <v>15</v>
      </c>
      <c r="Y52" s="1">
        <v>16</v>
      </c>
    </row>
    <row r="53" spans="2:25">
      <c r="C53" s="35" t="s">
        <v>288</v>
      </c>
      <c r="D53" s="1">
        <v>10</v>
      </c>
      <c r="E53" s="1">
        <v>100</v>
      </c>
      <c r="F53" s="48">
        <f>SUM($E$50:E53)</f>
        <v>360</v>
      </c>
      <c r="H53" s="2" t="s">
        <v>195</v>
      </c>
      <c r="I53" s="6">
        <f t="shared" ref="I53:Y53" si="1">($L$50+$N$50)*$J$50+$P$50*I52</f>
        <v>420</v>
      </c>
      <c r="J53" s="6">
        <f t="shared" si="1"/>
        <v>540</v>
      </c>
      <c r="K53" s="6">
        <f t="shared" si="1"/>
        <v>660</v>
      </c>
      <c r="L53" s="6">
        <f t="shared" si="1"/>
        <v>780</v>
      </c>
      <c r="M53" s="6">
        <f t="shared" si="1"/>
        <v>900</v>
      </c>
      <c r="N53" s="6">
        <f t="shared" si="1"/>
        <v>1020</v>
      </c>
      <c r="O53" s="6">
        <f t="shared" si="1"/>
        <v>1140</v>
      </c>
      <c r="P53" s="37">
        <f t="shared" si="1"/>
        <v>1260</v>
      </c>
      <c r="Q53" s="37">
        <f t="shared" si="1"/>
        <v>1380</v>
      </c>
      <c r="R53" s="6">
        <f t="shared" si="1"/>
        <v>1500</v>
      </c>
      <c r="S53" s="6">
        <f t="shared" si="1"/>
        <v>1620</v>
      </c>
      <c r="T53" s="6">
        <f t="shared" si="1"/>
        <v>1740</v>
      </c>
      <c r="U53" s="6">
        <f t="shared" si="1"/>
        <v>1860</v>
      </c>
      <c r="V53" s="6">
        <f t="shared" si="1"/>
        <v>1980</v>
      </c>
      <c r="W53" s="6">
        <f t="shared" si="1"/>
        <v>2100</v>
      </c>
      <c r="X53" s="6">
        <f t="shared" si="1"/>
        <v>2220</v>
      </c>
      <c r="Y53" s="6">
        <f t="shared" si="1"/>
        <v>2340</v>
      </c>
    </row>
    <row r="54" spans="2:25">
      <c r="C54" s="35" t="s">
        <v>287</v>
      </c>
      <c r="D54" s="1">
        <v>11</v>
      </c>
      <c r="E54" s="1">
        <v>150</v>
      </c>
      <c r="F54" s="48">
        <f>SUM($E$50:E54)</f>
        <v>510</v>
      </c>
      <c r="H54" s="2" t="s">
        <v>217</v>
      </c>
      <c r="I54" s="6">
        <f t="shared" ref="I54:Y54" si="2">SUM($E$50:$E$64)+I53</f>
        <v>1530</v>
      </c>
      <c r="J54" s="6">
        <f t="shared" si="2"/>
        <v>1650</v>
      </c>
      <c r="K54" s="6">
        <f t="shared" si="2"/>
        <v>1770</v>
      </c>
      <c r="L54" s="6">
        <f t="shared" si="2"/>
        <v>1890</v>
      </c>
      <c r="M54" s="6">
        <f t="shared" si="2"/>
        <v>2010</v>
      </c>
      <c r="N54" s="6">
        <f t="shared" si="2"/>
        <v>2130</v>
      </c>
      <c r="O54" s="6">
        <f t="shared" si="2"/>
        <v>2250</v>
      </c>
      <c r="P54" s="37">
        <f t="shared" si="2"/>
        <v>2370</v>
      </c>
      <c r="Q54" s="37">
        <f t="shared" si="2"/>
        <v>2490</v>
      </c>
      <c r="R54" s="6">
        <f t="shared" si="2"/>
        <v>2610</v>
      </c>
      <c r="S54" s="6">
        <f t="shared" si="2"/>
        <v>2730</v>
      </c>
      <c r="T54" s="6">
        <f t="shared" si="2"/>
        <v>2850</v>
      </c>
      <c r="U54" s="6">
        <f t="shared" si="2"/>
        <v>2970</v>
      </c>
      <c r="V54" s="6">
        <f t="shared" si="2"/>
        <v>3090</v>
      </c>
      <c r="W54" s="6">
        <f t="shared" si="2"/>
        <v>3210</v>
      </c>
      <c r="X54" s="6">
        <f t="shared" si="2"/>
        <v>3330</v>
      </c>
      <c r="Y54" s="6">
        <f t="shared" si="2"/>
        <v>3450</v>
      </c>
    </row>
    <row r="55" spans="2:25">
      <c r="C55" s="35" t="s">
        <v>185</v>
      </c>
      <c r="D55" s="1">
        <v>15</v>
      </c>
      <c r="E55" s="1">
        <v>100</v>
      </c>
      <c r="F55" s="48">
        <f>SUM($E$50:E55)</f>
        <v>610</v>
      </c>
      <c r="H55" s="2" t="s">
        <v>218</v>
      </c>
      <c r="I55" s="17">
        <f t="shared" ref="I55:Y55" si="3">I54/$I$54</f>
        <v>1</v>
      </c>
      <c r="J55" s="17">
        <f t="shared" si="3"/>
        <v>1.0784313725490196</v>
      </c>
      <c r="K55" s="17">
        <f t="shared" si="3"/>
        <v>1.1568627450980393</v>
      </c>
      <c r="L55" s="17">
        <f t="shared" si="3"/>
        <v>1.2352941176470589</v>
      </c>
      <c r="M55" s="17">
        <f t="shared" si="3"/>
        <v>1.3137254901960784</v>
      </c>
      <c r="N55" s="17">
        <f t="shared" si="3"/>
        <v>1.392156862745098</v>
      </c>
      <c r="O55" s="17">
        <f t="shared" si="3"/>
        <v>1.4705882352941178</v>
      </c>
      <c r="P55" s="39">
        <f t="shared" si="3"/>
        <v>1.5490196078431373</v>
      </c>
      <c r="Q55" s="39">
        <f t="shared" si="3"/>
        <v>1.6274509803921569</v>
      </c>
      <c r="R55" s="17">
        <f t="shared" si="3"/>
        <v>1.7058823529411764</v>
      </c>
      <c r="S55" s="17">
        <f t="shared" si="3"/>
        <v>1.7843137254901962</v>
      </c>
      <c r="T55" s="17">
        <f t="shared" si="3"/>
        <v>1.8627450980392157</v>
      </c>
      <c r="U55" s="17">
        <f t="shared" si="3"/>
        <v>1.9411764705882353</v>
      </c>
      <c r="V55" s="17">
        <f t="shared" si="3"/>
        <v>2.0196078431372548</v>
      </c>
      <c r="W55" s="17">
        <f t="shared" si="3"/>
        <v>2.0980392156862746</v>
      </c>
      <c r="X55" s="17">
        <f t="shared" si="3"/>
        <v>2.1764705882352939</v>
      </c>
      <c r="Y55" s="17">
        <f t="shared" si="3"/>
        <v>2.2549019607843137</v>
      </c>
    </row>
    <row r="56" spans="2:25">
      <c r="C56" s="141" t="s">
        <v>189</v>
      </c>
      <c r="D56" s="1">
        <v>15</v>
      </c>
      <c r="E56" s="1">
        <v>40</v>
      </c>
      <c r="F56" s="48">
        <f>SUM($E$50:E56)</f>
        <v>650</v>
      </c>
      <c r="Y56" s="1">
        <f>Y54/J54</f>
        <v>2.0909090909090908</v>
      </c>
    </row>
    <row r="57" spans="2:25">
      <c r="C57" s="141" t="s">
        <v>496</v>
      </c>
      <c r="D57" s="1">
        <v>20</v>
      </c>
      <c r="E57" s="1">
        <v>50</v>
      </c>
      <c r="F57" s="48">
        <f>SUM($E$50:E57)</f>
        <v>700</v>
      </c>
      <c r="I57" s="7"/>
    </row>
    <row r="58" spans="2:25">
      <c r="C58" s="35" t="s">
        <v>186</v>
      </c>
      <c r="D58" s="1">
        <v>25</v>
      </c>
      <c r="E58" s="1">
        <v>100</v>
      </c>
      <c r="F58" s="48">
        <f>SUM($E$50:E58)</f>
        <v>800</v>
      </c>
    </row>
    <row r="59" spans="2:25">
      <c r="C59" s="35" t="s">
        <v>497</v>
      </c>
      <c r="D59" s="1">
        <v>30</v>
      </c>
      <c r="E59" s="1">
        <v>100</v>
      </c>
      <c r="F59" s="48">
        <f>SUM($E$50:E59)</f>
        <v>900</v>
      </c>
      <c r="H59" s="2" t="s">
        <v>290</v>
      </c>
      <c r="I59" s="48">
        <f>$F52+I$53</f>
        <v>680</v>
      </c>
      <c r="J59" s="48">
        <f t="shared" ref="J59:Y59" si="4">$F52+J$53</f>
        <v>800</v>
      </c>
      <c r="K59" s="48">
        <f t="shared" si="4"/>
        <v>920</v>
      </c>
      <c r="L59" s="48">
        <f t="shared" si="4"/>
        <v>1040</v>
      </c>
      <c r="M59" s="48">
        <f t="shared" si="4"/>
        <v>1160</v>
      </c>
      <c r="N59" s="48">
        <f t="shared" si="4"/>
        <v>1280</v>
      </c>
      <c r="O59" s="48">
        <f t="shared" si="4"/>
        <v>1400</v>
      </c>
      <c r="P59" s="48">
        <f t="shared" si="4"/>
        <v>1520</v>
      </c>
      <c r="Q59" s="48">
        <f t="shared" si="4"/>
        <v>1640</v>
      </c>
      <c r="R59" s="48">
        <f t="shared" si="4"/>
        <v>1760</v>
      </c>
      <c r="S59" s="48">
        <f t="shared" si="4"/>
        <v>1880</v>
      </c>
      <c r="T59" s="48">
        <f t="shared" si="4"/>
        <v>2000</v>
      </c>
      <c r="U59" s="48">
        <f t="shared" si="4"/>
        <v>2120</v>
      </c>
      <c r="V59" s="48">
        <f t="shared" si="4"/>
        <v>2240</v>
      </c>
      <c r="W59" s="48">
        <f t="shared" si="4"/>
        <v>2360</v>
      </c>
      <c r="X59" s="48">
        <f t="shared" si="4"/>
        <v>2480</v>
      </c>
      <c r="Y59" s="48">
        <f t="shared" si="4"/>
        <v>2600</v>
      </c>
    </row>
    <row r="60" spans="2:25">
      <c r="C60" s="2" t="s">
        <v>191</v>
      </c>
      <c r="D60" s="1">
        <v>32</v>
      </c>
      <c r="E60" s="1">
        <v>20</v>
      </c>
      <c r="F60" s="48">
        <f>SUM($E$50:E60)</f>
        <v>920</v>
      </c>
      <c r="H60" s="50">
        <v>10</v>
      </c>
      <c r="I60" s="48">
        <f>$F53+I$53</f>
        <v>780</v>
      </c>
      <c r="J60" s="48">
        <f t="shared" ref="J60:Y60" si="5">$F53+J$53</f>
        <v>900</v>
      </c>
      <c r="K60" s="48">
        <f t="shared" si="5"/>
        <v>1020</v>
      </c>
      <c r="L60" s="48">
        <f t="shared" si="5"/>
        <v>1140</v>
      </c>
      <c r="M60" s="48">
        <f t="shared" si="5"/>
        <v>1260</v>
      </c>
      <c r="N60" s="48">
        <f t="shared" si="5"/>
        <v>1380</v>
      </c>
      <c r="O60" s="48">
        <f t="shared" si="5"/>
        <v>1500</v>
      </c>
      <c r="P60" s="48">
        <f t="shared" si="5"/>
        <v>1620</v>
      </c>
      <c r="Q60" s="48">
        <f t="shared" si="5"/>
        <v>1740</v>
      </c>
      <c r="R60" s="48">
        <f t="shared" si="5"/>
        <v>1860</v>
      </c>
      <c r="S60" s="48">
        <f t="shared" si="5"/>
        <v>1980</v>
      </c>
      <c r="T60" s="48">
        <f t="shared" si="5"/>
        <v>2100</v>
      </c>
      <c r="U60" s="48">
        <f t="shared" si="5"/>
        <v>2220</v>
      </c>
      <c r="V60" s="48">
        <f t="shared" si="5"/>
        <v>2340</v>
      </c>
      <c r="W60" s="48">
        <f t="shared" si="5"/>
        <v>2460</v>
      </c>
      <c r="X60" s="48">
        <f t="shared" si="5"/>
        <v>2580</v>
      </c>
      <c r="Y60" s="48">
        <f t="shared" si="5"/>
        <v>2700</v>
      </c>
    </row>
    <row r="61" spans="2:25">
      <c r="C61" s="2" t="s">
        <v>215</v>
      </c>
      <c r="D61" s="1">
        <v>32</v>
      </c>
      <c r="E61" s="1">
        <v>30</v>
      </c>
      <c r="F61" s="48">
        <f>SUM($E$50:E61)</f>
        <v>950</v>
      </c>
      <c r="H61" s="2" t="s">
        <v>292</v>
      </c>
      <c r="I61" s="48">
        <f>$F54+I$53</f>
        <v>930</v>
      </c>
      <c r="J61" s="48">
        <f t="shared" ref="J61:Y61" si="6">$F54+J$53</f>
        <v>1050</v>
      </c>
      <c r="K61" s="48">
        <f t="shared" si="6"/>
        <v>1170</v>
      </c>
      <c r="L61" s="48">
        <f t="shared" si="6"/>
        <v>1290</v>
      </c>
      <c r="M61" s="48">
        <f t="shared" si="6"/>
        <v>1410</v>
      </c>
      <c r="N61" s="48">
        <f t="shared" si="6"/>
        <v>1530</v>
      </c>
      <c r="O61" s="48">
        <f t="shared" si="6"/>
        <v>1650</v>
      </c>
      <c r="P61" s="48">
        <f t="shared" si="6"/>
        <v>1770</v>
      </c>
      <c r="Q61" s="48">
        <f t="shared" si="6"/>
        <v>1890</v>
      </c>
      <c r="R61" s="48">
        <f t="shared" si="6"/>
        <v>2010</v>
      </c>
      <c r="S61" s="48">
        <f t="shared" si="6"/>
        <v>2130</v>
      </c>
      <c r="T61" s="48">
        <f t="shared" si="6"/>
        <v>2250</v>
      </c>
      <c r="U61" s="48">
        <f t="shared" si="6"/>
        <v>2370</v>
      </c>
      <c r="V61" s="48">
        <f t="shared" si="6"/>
        <v>2490</v>
      </c>
      <c r="W61" s="48">
        <f t="shared" si="6"/>
        <v>2610</v>
      </c>
      <c r="X61" s="48">
        <f t="shared" si="6"/>
        <v>2730</v>
      </c>
      <c r="Y61" s="48">
        <f t="shared" si="6"/>
        <v>2850</v>
      </c>
    </row>
    <row r="62" spans="2:25">
      <c r="C62" s="35" t="s">
        <v>289</v>
      </c>
      <c r="D62" s="1">
        <v>42</v>
      </c>
      <c r="E62" s="1">
        <v>60</v>
      </c>
      <c r="F62" s="48">
        <f>SUM($E$50:E62)</f>
        <v>1010</v>
      </c>
      <c r="H62" s="2" t="s">
        <v>293</v>
      </c>
      <c r="I62" s="48">
        <f t="shared" ref="I62:X64" si="7">$F56+I$53</f>
        <v>1070</v>
      </c>
      <c r="J62" s="48">
        <f t="shared" si="7"/>
        <v>1190</v>
      </c>
      <c r="K62" s="48">
        <f t="shared" si="7"/>
        <v>1310</v>
      </c>
      <c r="L62" s="48">
        <f t="shared" si="7"/>
        <v>1430</v>
      </c>
      <c r="M62" s="48">
        <f t="shared" si="7"/>
        <v>1550</v>
      </c>
      <c r="N62" s="48">
        <f t="shared" si="7"/>
        <v>1670</v>
      </c>
      <c r="O62" s="48">
        <f t="shared" si="7"/>
        <v>1790</v>
      </c>
      <c r="P62" s="48">
        <f t="shared" si="7"/>
        <v>1910</v>
      </c>
      <c r="Q62" s="48">
        <f t="shared" si="7"/>
        <v>2030</v>
      </c>
      <c r="R62" s="48">
        <f t="shared" si="7"/>
        <v>2150</v>
      </c>
      <c r="S62" s="48">
        <f t="shared" si="7"/>
        <v>2270</v>
      </c>
      <c r="T62" s="48">
        <f t="shared" si="7"/>
        <v>2390</v>
      </c>
      <c r="U62" s="48">
        <f t="shared" si="7"/>
        <v>2510</v>
      </c>
      <c r="V62" s="48">
        <f t="shared" si="7"/>
        <v>2630</v>
      </c>
      <c r="W62" s="48">
        <f t="shared" si="7"/>
        <v>2750</v>
      </c>
      <c r="X62" s="48">
        <f t="shared" si="7"/>
        <v>2870</v>
      </c>
      <c r="Y62" s="48">
        <f t="shared" ref="J62:Y64" si="8">$F56+Y$53</f>
        <v>2990</v>
      </c>
    </row>
    <row r="63" spans="2:25">
      <c r="C63" s="35" t="s">
        <v>192</v>
      </c>
      <c r="D63" s="1">
        <v>55</v>
      </c>
      <c r="E63" s="1">
        <v>50</v>
      </c>
      <c r="F63" s="48">
        <f>SUM($E$50:E63)</f>
        <v>1060</v>
      </c>
      <c r="H63" s="2" t="s">
        <v>294</v>
      </c>
      <c r="I63" s="48">
        <f t="shared" si="7"/>
        <v>1120</v>
      </c>
      <c r="J63" s="48">
        <f t="shared" si="8"/>
        <v>1240</v>
      </c>
      <c r="K63" s="48">
        <f t="shared" si="8"/>
        <v>1360</v>
      </c>
      <c r="L63" s="48">
        <f t="shared" si="8"/>
        <v>1480</v>
      </c>
      <c r="M63" s="48">
        <f t="shared" si="8"/>
        <v>1600</v>
      </c>
      <c r="N63" s="48">
        <f t="shared" si="8"/>
        <v>1720</v>
      </c>
      <c r="O63" s="48">
        <f t="shared" si="8"/>
        <v>1840</v>
      </c>
      <c r="P63" s="48">
        <f t="shared" si="8"/>
        <v>1960</v>
      </c>
      <c r="Q63" s="48">
        <f t="shared" si="8"/>
        <v>2080</v>
      </c>
      <c r="R63" s="48">
        <f t="shared" si="8"/>
        <v>2200</v>
      </c>
      <c r="S63" s="48">
        <f t="shared" si="8"/>
        <v>2320</v>
      </c>
      <c r="T63" s="48">
        <f t="shared" si="8"/>
        <v>2440</v>
      </c>
      <c r="U63" s="48">
        <f t="shared" si="8"/>
        <v>2560</v>
      </c>
      <c r="V63" s="48">
        <f t="shared" si="8"/>
        <v>2680</v>
      </c>
      <c r="W63" s="48">
        <f t="shared" si="8"/>
        <v>2800</v>
      </c>
      <c r="X63" s="48">
        <f t="shared" si="8"/>
        <v>2920</v>
      </c>
      <c r="Y63" s="48">
        <f t="shared" si="8"/>
        <v>3040</v>
      </c>
    </row>
    <row r="64" spans="2:25">
      <c r="C64" s="35" t="s">
        <v>193</v>
      </c>
      <c r="D64" s="1">
        <v>60</v>
      </c>
      <c r="E64" s="1">
        <v>50</v>
      </c>
      <c r="F64" s="48">
        <f>SUM($E$50:E64)</f>
        <v>1110</v>
      </c>
      <c r="H64" s="2" t="s">
        <v>295</v>
      </c>
      <c r="I64" s="48">
        <f t="shared" si="7"/>
        <v>1220</v>
      </c>
      <c r="J64" s="48">
        <f t="shared" si="8"/>
        <v>1340</v>
      </c>
      <c r="K64" s="48">
        <f t="shared" si="8"/>
        <v>1460</v>
      </c>
      <c r="L64" s="48">
        <f t="shared" si="8"/>
        <v>1580</v>
      </c>
      <c r="M64" s="48">
        <f t="shared" si="8"/>
        <v>1700</v>
      </c>
      <c r="N64" s="48">
        <f t="shared" si="8"/>
        <v>1820</v>
      </c>
      <c r="O64" s="48">
        <f t="shared" si="8"/>
        <v>1940</v>
      </c>
      <c r="P64" s="48">
        <f t="shared" si="8"/>
        <v>2060</v>
      </c>
      <c r="Q64" s="48">
        <f t="shared" si="8"/>
        <v>2180</v>
      </c>
      <c r="R64" s="48">
        <f t="shared" si="8"/>
        <v>2300</v>
      </c>
      <c r="S64" s="48">
        <f t="shared" si="8"/>
        <v>2420</v>
      </c>
      <c r="T64" s="48">
        <f t="shared" si="8"/>
        <v>2540</v>
      </c>
      <c r="U64" s="48">
        <f t="shared" si="8"/>
        <v>2660</v>
      </c>
      <c r="V64" s="48">
        <f t="shared" si="8"/>
        <v>2780</v>
      </c>
      <c r="W64" s="48">
        <f t="shared" si="8"/>
        <v>2900</v>
      </c>
      <c r="X64" s="48">
        <f t="shared" si="8"/>
        <v>3020</v>
      </c>
      <c r="Y64" s="48">
        <f t="shared" si="8"/>
        <v>3140</v>
      </c>
    </row>
    <row r="65" spans="2:25">
      <c r="H65" s="2" t="s">
        <v>291</v>
      </c>
      <c r="I65" s="48">
        <f>$F59+I$53</f>
        <v>1320</v>
      </c>
      <c r="J65" s="48">
        <f t="shared" ref="J65:Y65" si="9">$F59+J$53</f>
        <v>1440</v>
      </c>
      <c r="K65" s="48">
        <f t="shared" si="9"/>
        <v>1560</v>
      </c>
      <c r="L65" s="48">
        <f t="shared" si="9"/>
        <v>1680</v>
      </c>
      <c r="M65" s="48">
        <f t="shared" si="9"/>
        <v>1800</v>
      </c>
      <c r="N65" s="48">
        <f t="shared" si="9"/>
        <v>1920</v>
      </c>
      <c r="O65" s="48">
        <f t="shared" si="9"/>
        <v>2040</v>
      </c>
      <c r="P65" s="48">
        <f t="shared" si="9"/>
        <v>2160</v>
      </c>
      <c r="Q65" s="48">
        <f t="shared" si="9"/>
        <v>2280</v>
      </c>
      <c r="R65" s="48">
        <f t="shared" si="9"/>
        <v>2400</v>
      </c>
      <c r="S65" s="48">
        <f t="shared" si="9"/>
        <v>2520</v>
      </c>
      <c r="T65" s="48">
        <f t="shared" si="9"/>
        <v>2640</v>
      </c>
      <c r="U65" s="48">
        <f t="shared" si="9"/>
        <v>2760</v>
      </c>
      <c r="V65" s="48">
        <f t="shared" si="9"/>
        <v>2880</v>
      </c>
      <c r="W65" s="48">
        <f t="shared" si="9"/>
        <v>3000</v>
      </c>
      <c r="X65" s="48">
        <f t="shared" si="9"/>
        <v>3120</v>
      </c>
      <c r="Y65" s="48">
        <f t="shared" si="9"/>
        <v>3240</v>
      </c>
    </row>
    <row r="66" spans="2:25">
      <c r="J66" s="38"/>
    </row>
    <row r="67" spans="2:25">
      <c r="J67" s="38"/>
    </row>
    <row r="68" spans="2:25">
      <c r="J68" s="38"/>
    </row>
    <row r="69" spans="2:25">
      <c r="J69" s="38"/>
    </row>
    <row r="70" spans="2:25">
      <c r="B70" s="2" t="s">
        <v>223</v>
      </c>
      <c r="H70" s="2"/>
    </row>
    <row r="71" spans="2:25" ht="30">
      <c r="C71" s="32" t="s">
        <v>212</v>
      </c>
      <c r="D71" s="32" t="s">
        <v>213</v>
      </c>
      <c r="E71" s="2" t="s">
        <v>282</v>
      </c>
      <c r="F71" s="49" t="s">
        <v>296</v>
      </c>
      <c r="G71" s="2" t="s">
        <v>297</v>
      </c>
      <c r="I71" s="49" t="s">
        <v>299</v>
      </c>
      <c r="J71" s="2" t="s">
        <v>297</v>
      </c>
    </row>
    <row r="72" spans="2:25" ht="30">
      <c r="C72" s="33">
        <v>1</v>
      </c>
      <c r="D72" s="33">
        <v>25</v>
      </c>
      <c r="E72" s="48">
        <f>SUM($D$72:D72)</f>
        <v>25</v>
      </c>
      <c r="F72" s="48">
        <f t="shared" ref="F72:F79" si="10">D72/$I$59</f>
        <v>3.6764705882352942E-2</v>
      </c>
      <c r="G72" s="48">
        <f>ROUNDDOWN(SUM($F$72:F72),0)+1</f>
        <v>1</v>
      </c>
      <c r="H72" s="142" t="s">
        <v>493</v>
      </c>
      <c r="I72" s="48">
        <f t="shared" ref="I72:I80" si="11">D72/$Q$59</f>
        <v>1.524390243902439E-2</v>
      </c>
      <c r="J72" s="48">
        <f>ROUNDDOWN(SUM($I$72:I72),0)+1</f>
        <v>1</v>
      </c>
      <c r="K72" s="142" t="s">
        <v>493</v>
      </c>
    </row>
    <row r="73" spans="2:25">
      <c r="C73" s="33">
        <v>2</v>
      </c>
      <c r="D73" s="33">
        <v>25</v>
      </c>
      <c r="E73" s="48">
        <f>SUM($D$72:D73)</f>
        <v>50</v>
      </c>
      <c r="F73" s="48">
        <f t="shared" si="10"/>
        <v>3.6764705882352942E-2</v>
      </c>
      <c r="G73" s="48">
        <f>ROUNDDOWN(SUM($F$72:F73),0)+1</f>
        <v>1</v>
      </c>
      <c r="H73" s="141" t="s">
        <v>188</v>
      </c>
      <c r="I73" s="48">
        <f t="shared" si="11"/>
        <v>1.524390243902439E-2</v>
      </c>
      <c r="J73" s="48">
        <f>ROUNDDOWN(SUM($I$72:I73),0)+1</f>
        <v>1</v>
      </c>
      <c r="K73" s="141" t="s">
        <v>188</v>
      </c>
    </row>
    <row r="74" spans="2:25">
      <c r="C74" s="33">
        <v>3</v>
      </c>
      <c r="D74" s="33">
        <v>25</v>
      </c>
      <c r="E74" s="48">
        <f>SUM($D$72:D74)</f>
        <v>75</v>
      </c>
      <c r="F74" s="48">
        <f t="shared" si="10"/>
        <v>3.6764705882352942E-2</v>
      </c>
      <c r="G74" s="48">
        <f>ROUNDDOWN(SUM($F$72:F74),0)+1</f>
        <v>1</v>
      </c>
      <c r="I74" s="48">
        <f t="shared" si="11"/>
        <v>1.524390243902439E-2</v>
      </c>
      <c r="J74" s="48">
        <f>ROUNDDOWN(SUM($I$72:I74),0)+1</f>
        <v>1</v>
      </c>
      <c r="K74" s="140"/>
    </row>
    <row r="75" spans="2:25">
      <c r="C75" s="33">
        <v>4</v>
      </c>
      <c r="D75" s="33">
        <v>30</v>
      </c>
      <c r="E75" s="48">
        <f>SUM($D$72:D75)</f>
        <v>105</v>
      </c>
      <c r="F75" s="48">
        <f t="shared" si="10"/>
        <v>4.4117647058823532E-2</v>
      </c>
      <c r="G75" s="48">
        <f>ROUNDDOWN(SUM($F$72:F75),0)+1</f>
        <v>1</v>
      </c>
      <c r="I75" s="48">
        <f t="shared" si="11"/>
        <v>1.8292682926829267E-2</v>
      </c>
      <c r="J75" s="48">
        <f>ROUNDDOWN(SUM($I$72:I75),0)+1</f>
        <v>1</v>
      </c>
      <c r="K75" s="140"/>
    </row>
    <row r="76" spans="2:25">
      <c r="C76" s="33">
        <v>5</v>
      </c>
      <c r="D76" s="33">
        <v>30</v>
      </c>
      <c r="E76" s="48">
        <f>SUM($D$72:D76)</f>
        <v>135</v>
      </c>
      <c r="F76" s="48">
        <f t="shared" si="10"/>
        <v>4.4117647058823532E-2</v>
      </c>
      <c r="G76" s="48">
        <f>ROUNDDOWN(SUM($F$72:F76),0)+1</f>
        <v>1</v>
      </c>
      <c r="I76" s="48">
        <f t="shared" si="11"/>
        <v>1.8292682926829267E-2</v>
      </c>
      <c r="J76" s="48">
        <f>ROUNDDOWN(SUM($I$72:I76),0)+1</f>
        <v>1</v>
      </c>
      <c r="K76" s="140"/>
    </row>
    <row r="77" spans="2:25">
      <c r="C77" s="33">
        <v>6</v>
      </c>
      <c r="D77" s="33">
        <v>30</v>
      </c>
      <c r="E77" s="48">
        <f>SUM($D$72:D77)</f>
        <v>165</v>
      </c>
      <c r="F77" s="48">
        <f t="shared" si="10"/>
        <v>4.4117647058823532E-2</v>
      </c>
      <c r="G77" s="48">
        <f>ROUNDDOWN(SUM($F$72:F77),0)+1</f>
        <v>1</v>
      </c>
      <c r="I77" s="48">
        <f t="shared" si="11"/>
        <v>1.8292682926829267E-2</v>
      </c>
      <c r="J77" s="48">
        <f>ROUNDDOWN(SUM($I$72:I77),0)+1</f>
        <v>1</v>
      </c>
      <c r="K77" s="140"/>
    </row>
    <row r="78" spans="2:25">
      <c r="C78" s="33">
        <v>7</v>
      </c>
      <c r="D78" s="33">
        <v>50</v>
      </c>
      <c r="E78" s="48">
        <f>SUM($D$72:D78)</f>
        <v>215</v>
      </c>
      <c r="F78" s="48">
        <f t="shared" si="10"/>
        <v>7.3529411764705885E-2</v>
      </c>
      <c r="G78" s="48">
        <f>ROUNDDOWN(SUM($F$72:F78),0)+1</f>
        <v>1</v>
      </c>
      <c r="I78" s="48">
        <f t="shared" si="11"/>
        <v>3.048780487804878E-2</v>
      </c>
      <c r="J78" s="48">
        <f>ROUNDDOWN(SUM($I$72:I78),0)+1</f>
        <v>1</v>
      </c>
      <c r="K78" s="140"/>
    </row>
    <row r="79" spans="2:25">
      <c r="C79" s="33">
        <v>8</v>
      </c>
      <c r="D79" s="33">
        <v>80</v>
      </c>
      <c r="E79" s="48">
        <f>SUM($D$72:D79)</f>
        <v>295</v>
      </c>
      <c r="F79" s="48">
        <f t="shared" si="10"/>
        <v>0.11764705882352941</v>
      </c>
      <c r="G79" s="48">
        <f>ROUNDDOWN(SUM($F$72:F79),0)+1</f>
        <v>1</v>
      </c>
      <c r="I79" s="48">
        <f t="shared" si="11"/>
        <v>4.878048780487805E-2</v>
      </c>
      <c r="J79" s="48">
        <f>ROUNDDOWN(SUM($I$72:I79),0)+1</f>
        <v>1</v>
      </c>
      <c r="K79" s="140"/>
    </row>
    <row r="80" spans="2:25">
      <c r="C80" s="33">
        <v>9</v>
      </c>
      <c r="D80" s="33">
        <v>100</v>
      </c>
      <c r="E80" s="48">
        <f>SUM($D$72:D80)</f>
        <v>395</v>
      </c>
      <c r="F80" s="48">
        <f>D80/$I$59</f>
        <v>0.14705882352941177</v>
      </c>
      <c r="G80" s="48">
        <f>ROUNDDOWN(SUM($F$72:F80),0)+1</f>
        <v>1</v>
      </c>
      <c r="I80" s="48">
        <f t="shared" si="11"/>
        <v>6.097560975609756E-2</v>
      </c>
      <c r="J80" s="48">
        <f>ROUNDDOWN(SUM($I$72:I80),0)+1</f>
        <v>1</v>
      </c>
      <c r="K80" s="140"/>
    </row>
    <row r="81" spans="3:11">
      <c r="C81" s="33">
        <v>10</v>
      </c>
      <c r="D81" s="33">
        <v>130</v>
      </c>
      <c r="E81" s="48">
        <f>SUM($D$72:D81)</f>
        <v>525</v>
      </c>
      <c r="F81" s="48">
        <f>$D$81/$I$60</f>
        <v>0.16666666666666666</v>
      </c>
      <c r="G81" s="48">
        <f>ROUNDDOWN(SUM($F$72:F81),0)+1</f>
        <v>1</v>
      </c>
      <c r="H81" s="35" t="s">
        <v>288</v>
      </c>
      <c r="I81" s="48">
        <f>$D$81/$Q$60</f>
        <v>7.4712643678160925E-2</v>
      </c>
      <c r="J81" s="48">
        <f>ROUNDDOWN(SUM($I$72:I81),0)+1</f>
        <v>1</v>
      </c>
      <c r="K81" s="35" t="s">
        <v>288</v>
      </c>
    </row>
    <row r="82" spans="3:11">
      <c r="C82" s="33">
        <v>11</v>
      </c>
      <c r="D82" s="33">
        <v>130</v>
      </c>
      <c r="E82" s="48">
        <f>SUM($D$72:D82)</f>
        <v>655</v>
      </c>
      <c r="F82" s="48">
        <f t="shared" ref="F82:F84" si="12">D82/$I$61</f>
        <v>0.13978494623655913</v>
      </c>
      <c r="G82" s="48">
        <f>ROUNDDOWN(SUM($F$72:F82),0)+1</f>
        <v>1</v>
      </c>
      <c r="H82" s="35" t="s">
        <v>287</v>
      </c>
      <c r="I82" s="48">
        <f>D82/$Q$61</f>
        <v>6.8783068783068779E-2</v>
      </c>
      <c r="J82" s="48">
        <f>ROUNDDOWN(SUM($I$72:I82),0)+1</f>
        <v>1</v>
      </c>
      <c r="K82" s="35" t="s">
        <v>287</v>
      </c>
    </row>
    <row r="83" spans="3:11">
      <c r="C83" s="33">
        <v>12</v>
      </c>
      <c r="D83" s="33">
        <v>130</v>
      </c>
      <c r="E83" s="48">
        <f>SUM($D$72:D83)</f>
        <v>785</v>
      </c>
      <c r="F83" s="48">
        <f t="shared" si="12"/>
        <v>0.13978494623655913</v>
      </c>
      <c r="G83" s="48">
        <f>ROUNDDOWN(SUM($F$72:F83),0)+1</f>
        <v>2</v>
      </c>
      <c r="I83" s="48">
        <f>D83/$Q$61</f>
        <v>6.8783068783068779E-2</v>
      </c>
      <c r="J83" s="48">
        <f>ROUNDDOWN(SUM($I$72:I83),0)+1</f>
        <v>1</v>
      </c>
      <c r="K83" s="140"/>
    </row>
    <row r="84" spans="3:11">
      <c r="C84" s="33">
        <v>13</v>
      </c>
      <c r="D84" s="33">
        <v>130</v>
      </c>
      <c r="E84" s="48">
        <f>SUM($D$72:D84)</f>
        <v>915</v>
      </c>
      <c r="F84" s="48">
        <f t="shared" si="12"/>
        <v>0.13978494623655913</v>
      </c>
      <c r="G84" s="48">
        <f>ROUNDDOWN(SUM($F$72:F84),0)+1</f>
        <v>2</v>
      </c>
      <c r="I84" s="48">
        <f>D84/$Q$61</f>
        <v>6.8783068783068779E-2</v>
      </c>
      <c r="J84" s="48">
        <f>ROUNDDOWN(SUM($I$72:I84),0)+1</f>
        <v>1</v>
      </c>
      <c r="K84" s="140"/>
    </row>
    <row r="85" spans="3:11">
      <c r="C85" s="33">
        <v>14</v>
      </c>
      <c r="D85" s="33">
        <v>130</v>
      </c>
      <c r="E85" s="48">
        <f>SUM($D$72:D85)</f>
        <v>1045</v>
      </c>
      <c r="F85" s="48">
        <f>D85/$I$61</f>
        <v>0.13978494623655913</v>
      </c>
      <c r="G85" s="48">
        <f>ROUNDDOWN(SUM($F$72:F85),0)+1</f>
        <v>2</v>
      </c>
      <c r="I85" s="48">
        <f>D85/$Q$61</f>
        <v>6.8783068783068779E-2</v>
      </c>
      <c r="J85" s="48">
        <f>ROUNDDOWN(SUM($I$72:I85),0)+1</f>
        <v>1</v>
      </c>
      <c r="K85" s="140"/>
    </row>
    <row r="86" spans="3:11" ht="30">
      <c r="C86" s="33">
        <v>15</v>
      </c>
      <c r="D86" s="33">
        <v>130</v>
      </c>
      <c r="E86" s="48">
        <f>SUM($D$72:D86)</f>
        <v>1175</v>
      </c>
      <c r="F86" s="48">
        <f t="shared" ref="F86:F89" si="13">D86/$I$62</f>
        <v>0.12149532710280374</v>
      </c>
      <c r="G86" s="48">
        <f>ROUNDDOWN(SUM($F$72:F86),0)+1</f>
        <v>2</v>
      </c>
      <c r="H86" s="142" t="s">
        <v>494</v>
      </c>
      <c r="I86" s="48">
        <f>D86/$Q$62</f>
        <v>6.4039408866995079E-2</v>
      </c>
      <c r="J86" s="48">
        <f>ROUNDDOWN(SUM($I$72:I86),0)+1</f>
        <v>1</v>
      </c>
      <c r="K86" s="142" t="s">
        <v>494</v>
      </c>
    </row>
    <row r="87" spans="3:11">
      <c r="C87" s="33">
        <v>16</v>
      </c>
      <c r="D87" s="33">
        <v>130</v>
      </c>
      <c r="E87" s="48">
        <f>SUM($D$72:D87)</f>
        <v>1305</v>
      </c>
      <c r="F87" s="48">
        <f t="shared" si="13"/>
        <v>0.12149532710280374</v>
      </c>
      <c r="G87" s="48">
        <f>ROUNDDOWN(SUM($F$72:F87),0)+1</f>
        <v>2</v>
      </c>
      <c r="I87" s="48">
        <f>D87/$Q$62</f>
        <v>6.4039408866995079E-2</v>
      </c>
      <c r="J87" s="48">
        <f>ROUNDDOWN(SUM($I$72:I87),0)+1</f>
        <v>1</v>
      </c>
      <c r="K87" s="140"/>
    </row>
    <row r="88" spans="3:11">
      <c r="C88" s="33">
        <v>17</v>
      </c>
      <c r="D88" s="33">
        <v>130</v>
      </c>
      <c r="E88" s="48">
        <f>SUM($D$72:D88)</f>
        <v>1435</v>
      </c>
      <c r="F88" s="48">
        <f t="shared" si="13"/>
        <v>0.12149532710280374</v>
      </c>
      <c r="G88" s="48">
        <f>ROUNDDOWN(SUM($F$72:F88),0)+1</f>
        <v>2</v>
      </c>
      <c r="I88" s="48">
        <f>D88/$Q$62</f>
        <v>6.4039408866995079E-2</v>
      </c>
      <c r="J88" s="48">
        <f>ROUNDDOWN(SUM($I$72:I88),0)+1</f>
        <v>1</v>
      </c>
      <c r="K88" s="140"/>
    </row>
    <row r="89" spans="3:11">
      <c r="C89" s="33">
        <v>18</v>
      </c>
      <c r="D89" s="33">
        <v>130</v>
      </c>
      <c r="E89" s="48">
        <f>SUM($D$72:D89)</f>
        <v>1565</v>
      </c>
      <c r="F89" s="48">
        <f t="shared" si="13"/>
        <v>0.12149532710280374</v>
      </c>
      <c r="G89" s="48">
        <f>ROUNDDOWN(SUM($F$72:F89),0)+1</f>
        <v>2</v>
      </c>
      <c r="I89" s="48">
        <f>D89/$Q$62</f>
        <v>6.4039408866995079E-2</v>
      </c>
      <c r="J89" s="48">
        <f>ROUNDDOWN(SUM($I$72:I89),0)+1</f>
        <v>1</v>
      </c>
      <c r="K89" s="140"/>
    </row>
    <row r="90" spans="3:11">
      <c r="C90" s="33">
        <v>19</v>
      </c>
      <c r="D90" s="33">
        <v>130</v>
      </c>
      <c r="E90" s="48">
        <f>SUM($D$72:D90)</f>
        <v>1695</v>
      </c>
      <c r="F90" s="48">
        <f>D90/$I$62</f>
        <v>0.12149532710280374</v>
      </c>
      <c r="G90" s="48">
        <f>ROUNDDOWN(SUM($F$72:F90),0)+1</f>
        <v>2</v>
      </c>
      <c r="I90" s="48">
        <f>D90/$Q$62</f>
        <v>6.4039408866995079E-2</v>
      </c>
      <c r="J90" s="48">
        <f>ROUNDDOWN(SUM($I$72:I90),0)+1</f>
        <v>1</v>
      </c>
      <c r="K90" s="140"/>
    </row>
    <row r="91" spans="3:11">
      <c r="C91" s="33">
        <v>20</v>
      </c>
      <c r="D91" s="33">
        <v>130</v>
      </c>
      <c r="E91" s="48">
        <f>SUM($D$72:D91)</f>
        <v>1825</v>
      </c>
      <c r="F91" s="48">
        <f t="shared" ref="F91:F94" si="14">D91/$I$63</f>
        <v>0.11607142857142858</v>
      </c>
      <c r="G91" s="48">
        <f>ROUNDDOWN(SUM($F$72:F91),0)+1</f>
        <v>3</v>
      </c>
      <c r="H91" s="141" t="s">
        <v>495</v>
      </c>
      <c r="I91" s="48">
        <f>D91/$Q$63</f>
        <v>6.25E-2</v>
      </c>
      <c r="J91" s="48">
        <f>ROUNDDOWN(SUM($I$72:I91),0)+1</f>
        <v>1</v>
      </c>
      <c r="K91" s="141" t="s">
        <v>495</v>
      </c>
    </row>
    <row r="92" spans="3:11">
      <c r="C92" s="33">
        <v>21</v>
      </c>
      <c r="D92" s="33">
        <v>130</v>
      </c>
      <c r="E92" s="48">
        <f>SUM($D$72:D92)</f>
        <v>1955</v>
      </c>
      <c r="F92" s="48">
        <f t="shared" si="14"/>
        <v>0.11607142857142858</v>
      </c>
      <c r="G92" s="48">
        <f>ROUNDDOWN(SUM($F$72:F92),0)+1</f>
        <v>3</v>
      </c>
      <c r="I92" s="48">
        <f>D92/$Q$63</f>
        <v>6.25E-2</v>
      </c>
      <c r="J92" s="48">
        <f>ROUNDDOWN(SUM($I$72:I92),0)+1</f>
        <v>2</v>
      </c>
      <c r="K92" s="140"/>
    </row>
    <row r="93" spans="3:11">
      <c r="C93" s="33">
        <v>22</v>
      </c>
      <c r="D93" s="33">
        <v>150</v>
      </c>
      <c r="E93" s="48">
        <f>SUM($D$72:D93)</f>
        <v>2105</v>
      </c>
      <c r="F93" s="48">
        <f t="shared" si="14"/>
        <v>0.13392857142857142</v>
      </c>
      <c r="G93" s="48">
        <f>ROUNDDOWN(SUM($F$72:F93),0)+1</f>
        <v>3</v>
      </c>
      <c r="I93" s="48">
        <f>D93/$Q$63</f>
        <v>7.2115384615384609E-2</v>
      </c>
      <c r="J93" s="48">
        <f>ROUNDDOWN(SUM($I$72:I93),0)+1</f>
        <v>2</v>
      </c>
      <c r="K93" s="140"/>
    </row>
    <row r="94" spans="3:11">
      <c r="C94" s="33">
        <v>23</v>
      </c>
      <c r="D94" s="33">
        <v>160</v>
      </c>
      <c r="E94" s="48">
        <f>SUM($D$72:D94)</f>
        <v>2265</v>
      </c>
      <c r="F94" s="48">
        <f t="shared" si="14"/>
        <v>0.14285714285714285</v>
      </c>
      <c r="G94" s="48">
        <f>ROUNDDOWN(SUM($F$72:F94),0)+1</f>
        <v>3</v>
      </c>
      <c r="I94" s="48">
        <f>D94/$Q$63</f>
        <v>7.6923076923076927E-2</v>
      </c>
      <c r="J94" s="48">
        <f>ROUNDDOWN(SUM($I$72:I94),0)+1</f>
        <v>2</v>
      </c>
      <c r="K94" s="140"/>
    </row>
    <row r="95" spans="3:11">
      <c r="C95" s="33">
        <v>24</v>
      </c>
      <c r="D95" s="33">
        <v>180</v>
      </c>
      <c r="E95" s="48">
        <f>SUM($D$72:D95)</f>
        <v>2445</v>
      </c>
      <c r="F95" s="48">
        <f>D95/$I$63</f>
        <v>0.16071428571428573</v>
      </c>
      <c r="G95" s="48">
        <f>ROUNDDOWN(SUM($F$72:F95),0)+1</f>
        <v>3</v>
      </c>
      <c r="I95" s="48">
        <f>D95/$Q$63</f>
        <v>8.6538461538461536E-2</v>
      </c>
      <c r="J95" s="48">
        <f>ROUNDDOWN(SUM($I$72:I95),0)+1</f>
        <v>2</v>
      </c>
      <c r="K95" s="140"/>
    </row>
    <row r="96" spans="3:11">
      <c r="C96" s="33">
        <v>25</v>
      </c>
      <c r="D96" s="33">
        <v>190</v>
      </c>
      <c r="E96" s="48">
        <f>SUM($D$72:D96)</f>
        <v>2635</v>
      </c>
      <c r="F96" s="48">
        <f t="shared" ref="F96:F99" si="15">D96/$I$64</f>
        <v>0.15573770491803279</v>
      </c>
      <c r="G96" s="48">
        <f>ROUNDDOWN(SUM($F$72:F96),0)+1</f>
        <v>3</v>
      </c>
      <c r="H96" s="35" t="s">
        <v>186</v>
      </c>
      <c r="I96" s="48">
        <f>D96/$Q$64</f>
        <v>8.7155963302752298E-2</v>
      </c>
      <c r="J96" s="48">
        <f>ROUNDDOWN(SUM($I$72:I96),0)+1</f>
        <v>2</v>
      </c>
      <c r="K96" s="35" t="s">
        <v>186</v>
      </c>
    </row>
    <row r="97" spans="3:11">
      <c r="C97" s="33">
        <v>26</v>
      </c>
      <c r="D97" s="33">
        <v>200</v>
      </c>
      <c r="E97" s="48">
        <f>SUM($D$72:D97)</f>
        <v>2835</v>
      </c>
      <c r="F97" s="48">
        <f t="shared" si="15"/>
        <v>0.16393442622950818</v>
      </c>
      <c r="G97" s="48">
        <f>ROUNDDOWN(SUM($F$72:F97),0)+1</f>
        <v>3</v>
      </c>
      <c r="I97" s="48">
        <f>D97/$Q$64</f>
        <v>9.1743119266055051E-2</v>
      </c>
      <c r="J97" s="48">
        <f>ROUNDDOWN(SUM($I$72:I97),0)+1</f>
        <v>2</v>
      </c>
      <c r="K97" s="140"/>
    </row>
    <row r="98" spans="3:11">
      <c r="C98" s="33">
        <v>27</v>
      </c>
      <c r="D98" s="33">
        <v>240</v>
      </c>
      <c r="E98" s="48">
        <f>SUM($D$72:D98)</f>
        <v>3075</v>
      </c>
      <c r="F98" s="48">
        <f t="shared" si="15"/>
        <v>0.19672131147540983</v>
      </c>
      <c r="G98" s="48">
        <f>ROUNDDOWN(SUM($F$72:F98),0)+1</f>
        <v>4</v>
      </c>
      <c r="I98" s="48">
        <f>D98/$Q$64</f>
        <v>0.11009174311926606</v>
      </c>
      <c r="J98" s="48">
        <f>ROUNDDOWN(SUM($I$72:I98),0)+1</f>
        <v>2</v>
      </c>
      <c r="K98" s="140"/>
    </row>
    <row r="99" spans="3:11">
      <c r="C99" s="33">
        <v>28</v>
      </c>
      <c r="D99" s="33">
        <v>280</v>
      </c>
      <c r="E99" s="48">
        <f>SUM($D$72:D99)</f>
        <v>3355</v>
      </c>
      <c r="F99" s="48">
        <f t="shared" si="15"/>
        <v>0.22950819672131148</v>
      </c>
      <c r="G99" s="48">
        <f>ROUNDDOWN(SUM($F$72:F99),0)+1</f>
        <v>4</v>
      </c>
      <c r="I99" s="48">
        <f>D99/$Q$64</f>
        <v>0.12844036697247707</v>
      </c>
      <c r="J99" s="48">
        <f>ROUNDDOWN(SUM($I$72:I99),0)+1</f>
        <v>2</v>
      </c>
      <c r="K99" s="140"/>
    </row>
    <row r="100" spans="3:11">
      <c r="C100" s="33">
        <v>29</v>
      </c>
      <c r="D100" s="33">
        <v>300</v>
      </c>
      <c r="E100" s="48">
        <f>SUM($D$72:D100)</f>
        <v>3655</v>
      </c>
      <c r="F100" s="48">
        <f>D100/$I$64</f>
        <v>0.24590163934426229</v>
      </c>
      <c r="G100" s="48">
        <f>ROUNDDOWN(SUM($F$72:F100),0)+1</f>
        <v>4</v>
      </c>
      <c r="I100" s="48">
        <f>D100/$Q$64</f>
        <v>0.13761467889908258</v>
      </c>
      <c r="J100" s="48">
        <f>ROUNDDOWN(SUM($I$72:I100),0)+1</f>
        <v>2</v>
      </c>
      <c r="K100" s="140"/>
    </row>
    <row r="101" spans="3:11">
      <c r="C101" s="33">
        <v>30</v>
      </c>
      <c r="D101" s="33">
        <v>350</v>
      </c>
      <c r="E101" s="48">
        <f>SUM($D$72:D101)</f>
        <v>4005</v>
      </c>
      <c r="F101" s="48">
        <f>D101/$I$65</f>
        <v>0.26515151515151514</v>
      </c>
      <c r="G101" s="48">
        <f>ROUNDDOWN(SUM($F$72:F101),0)+1</f>
        <v>4</v>
      </c>
      <c r="H101" s="35" t="s">
        <v>497</v>
      </c>
      <c r="I101" s="48">
        <f t="shared" ref="I101:I132" si="16">D101/$Q$65</f>
        <v>0.15350877192982457</v>
      </c>
      <c r="J101" s="48">
        <f>ROUNDDOWN(SUM($I$72:I101),0)+1</f>
        <v>2</v>
      </c>
      <c r="K101" s="35" t="s">
        <v>497</v>
      </c>
    </row>
    <row r="102" spans="3:11">
      <c r="C102" s="33">
        <v>31</v>
      </c>
      <c r="D102" s="33">
        <v>400</v>
      </c>
      <c r="E102" s="48">
        <f>SUM($D$72:D102)</f>
        <v>4405</v>
      </c>
      <c r="F102" s="48">
        <f t="shared" ref="F102:F161" si="17">D102/$I$65</f>
        <v>0.30303030303030304</v>
      </c>
      <c r="G102" s="48">
        <f>ROUNDDOWN(SUM($F$72:F102),0)+1</f>
        <v>5</v>
      </c>
      <c r="I102" s="48">
        <f t="shared" si="16"/>
        <v>0.17543859649122806</v>
      </c>
      <c r="J102" s="48">
        <f>ROUNDDOWN(SUM($I$72:I102),0)+1</f>
        <v>3</v>
      </c>
      <c r="K102" s="140"/>
    </row>
    <row r="103" spans="3:11" ht="30">
      <c r="C103" s="33">
        <v>32</v>
      </c>
      <c r="D103" s="33">
        <v>450</v>
      </c>
      <c r="E103" s="48">
        <f>SUM($D$72:D103)</f>
        <v>4855</v>
      </c>
      <c r="F103" s="48">
        <f t="shared" si="17"/>
        <v>0.34090909090909088</v>
      </c>
      <c r="G103" s="48">
        <f>ROUNDDOWN(SUM($F$72:F103),0)+1</f>
        <v>5</v>
      </c>
      <c r="H103" s="142" t="s">
        <v>498</v>
      </c>
      <c r="I103" s="48">
        <f t="shared" si="16"/>
        <v>0.19736842105263158</v>
      </c>
      <c r="J103" s="48">
        <f>ROUNDDOWN(SUM($I$72:I103),0)+1</f>
        <v>3</v>
      </c>
      <c r="K103" s="142" t="s">
        <v>498</v>
      </c>
    </row>
    <row r="104" spans="3:11">
      <c r="C104" s="33">
        <v>33</v>
      </c>
      <c r="D104" s="33">
        <v>500</v>
      </c>
      <c r="E104" s="48">
        <f>SUM($D$72:D104)</f>
        <v>5355</v>
      </c>
      <c r="F104" s="48">
        <f t="shared" si="17"/>
        <v>0.37878787878787878</v>
      </c>
      <c r="G104" s="48">
        <f>ROUNDDOWN(SUM($F$72:F104),0)+1</f>
        <v>5</v>
      </c>
      <c r="I104" s="48">
        <f t="shared" si="16"/>
        <v>0.21929824561403508</v>
      </c>
      <c r="J104" s="48">
        <f>ROUNDDOWN(SUM($I$72:I104),0)+1</f>
        <v>3</v>
      </c>
    </row>
    <row r="105" spans="3:11">
      <c r="C105" s="33">
        <v>34</v>
      </c>
      <c r="D105" s="33">
        <v>610</v>
      </c>
      <c r="E105" s="48">
        <f>SUM($D$72:D105)</f>
        <v>5965</v>
      </c>
      <c r="F105" s="48">
        <f t="shared" si="17"/>
        <v>0.4621212121212121</v>
      </c>
      <c r="G105" s="48">
        <f>ROUNDDOWN(SUM($F$72:F105),0)+1</f>
        <v>6</v>
      </c>
      <c r="I105" s="48">
        <f t="shared" si="16"/>
        <v>0.26754385964912281</v>
      </c>
      <c r="J105" s="48">
        <f>ROUNDDOWN(SUM($I$72:I105),0)+1</f>
        <v>3</v>
      </c>
    </row>
    <row r="106" spans="3:11">
      <c r="C106" s="33">
        <v>35</v>
      </c>
      <c r="D106" s="33">
        <v>720</v>
      </c>
      <c r="E106" s="48">
        <f>SUM($D$72:D106)</f>
        <v>6685</v>
      </c>
      <c r="F106" s="48">
        <f t="shared" si="17"/>
        <v>0.54545454545454541</v>
      </c>
      <c r="G106" s="48">
        <f>ROUNDDOWN(SUM($F$72:F106),0)+1</f>
        <v>6</v>
      </c>
      <c r="I106" s="48">
        <f t="shared" si="16"/>
        <v>0.31578947368421051</v>
      </c>
      <c r="J106" s="48">
        <f>ROUNDDOWN(SUM($I$72:I106),0)+1</f>
        <v>4</v>
      </c>
    </row>
    <row r="107" spans="3:11">
      <c r="C107" s="33">
        <v>36</v>
      </c>
      <c r="D107" s="33">
        <v>830</v>
      </c>
      <c r="E107" s="48">
        <f>SUM($D$72:D107)</f>
        <v>7515</v>
      </c>
      <c r="F107" s="48">
        <f t="shared" si="17"/>
        <v>0.62878787878787878</v>
      </c>
      <c r="G107" s="48">
        <f>ROUNDDOWN(SUM($F$72:F107),0)+1</f>
        <v>7</v>
      </c>
      <c r="I107" s="48">
        <f t="shared" si="16"/>
        <v>0.36403508771929827</v>
      </c>
      <c r="J107" s="48">
        <f>ROUNDDOWN(SUM($I$72:I107),0)+1</f>
        <v>4</v>
      </c>
    </row>
    <row r="108" spans="3:11">
      <c r="C108" s="33">
        <v>37</v>
      </c>
      <c r="D108" s="33">
        <v>1100</v>
      </c>
      <c r="E108" s="48">
        <f>SUM($D$72:D108)</f>
        <v>8615</v>
      </c>
      <c r="F108" s="48">
        <f t="shared" si="17"/>
        <v>0.83333333333333337</v>
      </c>
      <c r="G108" s="48">
        <f>ROUNDDOWN(SUM($F$72:F108),0)+1</f>
        <v>8</v>
      </c>
      <c r="I108" s="48">
        <f t="shared" si="16"/>
        <v>0.48245614035087719</v>
      </c>
      <c r="J108" s="48">
        <f>ROUNDDOWN(SUM($I$72:I108),0)+1</f>
        <v>5</v>
      </c>
    </row>
    <row r="109" spans="3:11">
      <c r="C109" s="33">
        <v>38</v>
      </c>
      <c r="D109" s="33">
        <v>1200</v>
      </c>
      <c r="E109" s="48">
        <f>SUM($D$72:D109)</f>
        <v>9815</v>
      </c>
      <c r="F109" s="48">
        <f t="shared" si="17"/>
        <v>0.90909090909090906</v>
      </c>
      <c r="G109" s="48">
        <f>ROUNDDOWN(SUM($F$72:F109),0)+1</f>
        <v>9</v>
      </c>
      <c r="I109" s="48">
        <f t="shared" si="16"/>
        <v>0.52631578947368418</v>
      </c>
      <c r="J109" s="48">
        <f>ROUNDDOWN(SUM($I$72:I109),0)+1</f>
        <v>5</v>
      </c>
    </row>
    <row r="110" spans="3:11">
      <c r="C110" s="33">
        <v>39</v>
      </c>
      <c r="D110" s="33">
        <v>1200</v>
      </c>
      <c r="E110" s="48">
        <f>SUM($D$72:D110)</f>
        <v>11015</v>
      </c>
      <c r="F110" s="48">
        <f t="shared" si="17"/>
        <v>0.90909090909090906</v>
      </c>
      <c r="G110" s="48">
        <f>ROUNDDOWN(SUM($F$72:F110),0)+1</f>
        <v>10</v>
      </c>
      <c r="I110" s="48">
        <f t="shared" si="16"/>
        <v>0.52631578947368418</v>
      </c>
      <c r="J110" s="48">
        <f>ROUNDDOWN(SUM($I$72:I110),0)+1</f>
        <v>6</v>
      </c>
    </row>
    <row r="111" spans="3:11">
      <c r="C111" s="33">
        <v>40</v>
      </c>
      <c r="D111" s="33">
        <v>1500</v>
      </c>
      <c r="E111" s="48">
        <f>SUM($D$72:D111)</f>
        <v>12515</v>
      </c>
      <c r="F111" s="48">
        <f t="shared" si="17"/>
        <v>1.1363636363636365</v>
      </c>
      <c r="G111" s="48">
        <f>ROUNDDOWN(SUM($F$72:F111),0)+1</f>
        <v>11</v>
      </c>
      <c r="I111" s="48">
        <f t="shared" si="16"/>
        <v>0.65789473684210531</v>
      </c>
      <c r="J111" s="48">
        <f>ROUNDDOWN(SUM($I$72:I111),0)+1</f>
        <v>6</v>
      </c>
    </row>
    <row r="112" spans="3:11">
      <c r="C112" s="33">
        <v>41</v>
      </c>
      <c r="D112" s="33">
        <v>1500</v>
      </c>
      <c r="E112" s="48">
        <f>SUM($D$72:D112)</f>
        <v>14015</v>
      </c>
      <c r="F112" s="48">
        <f t="shared" si="17"/>
        <v>1.1363636363636365</v>
      </c>
      <c r="G112" s="48">
        <f>ROUNDDOWN(SUM($F$72:F112),0)+1</f>
        <v>12</v>
      </c>
      <c r="I112" s="48">
        <f t="shared" si="16"/>
        <v>0.65789473684210531</v>
      </c>
      <c r="J112" s="48">
        <f>ROUNDDOWN(SUM($I$72:I112),0)+1</f>
        <v>7</v>
      </c>
    </row>
    <row r="113" spans="3:10">
      <c r="C113" s="33">
        <v>42</v>
      </c>
      <c r="D113" s="33">
        <v>1700</v>
      </c>
      <c r="E113" s="48">
        <f>SUM($D$72:D113)</f>
        <v>15715</v>
      </c>
      <c r="F113" s="48">
        <f t="shared" si="17"/>
        <v>1.2878787878787878</v>
      </c>
      <c r="G113" s="48">
        <f>ROUNDDOWN(SUM($F$72:F113),0)+1</f>
        <v>13</v>
      </c>
      <c r="I113" s="48">
        <f t="shared" si="16"/>
        <v>0.74561403508771928</v>
      </c>
      <c r="J113" s="48">
        <f>ROUNDDOWN(SUM($I$72:I113),0)+1</f>
        <v>8</v>
      </c>
    </row>
    <row r="114" spans="3:10">
      <c r="C114" s="33">
        <v>43</v>
      </c>
      <c r="D114" s="33">
        <v>1700</v>
      </c>
      <c r="E114" s="48">
        <f>SUM($D$72:D114)</f>
        <v>17415</v>
      </c>
      <c r="F114" s="48">
        <f t="shared" si="17"/>
        <v>1.2878787878787878</v>
      </c>
      <c r="G114" s="48">
        <f>ROUNDDOWN(SUM($F$72:F114),0)+1</f>
        <v>14</v>
      </c>
      <c r="I114" s="48">
        <f t="shared" si="16"/>
        <v>0.74561403508771928</v>
      </c>
      <c r="J114" s="48">
        <f>ROUNDDOWN(SUM($I$72:I114),0)+1</f>
        <v>8</v>
      </c>
    </row>
    <row r="115" spans="3:10">
      <c r="C115" s="33">
        <v>44</v>
      </c>
      <c r="D115" s="33">
        <v>1700</v>
      </c>
      <c r="E115" s="48">
        <f>SUM($D$72:D115)</f>
        <v>19115</v>
      </c>
      <c r="F115" s="48">
        <f t="shared" si="17"/>
        <v>1.2878787878787878</v>
      </c>
      <c r="G115" s="48">
        <f>ROUNDDOWN(SUM($F$72:F115),0)+1</f>
        <v>16</v>
      </c>
      <c r="I115" s="48">
        <f t="shared" si="16"/>
        <v>0.74561403508771928</v>
      </c>
      <c r="J115" s="48">
        <f>ROUNDDOWN(SUM($I$72:I115),0)+1</f>
        <v>9</v>
      </c>
    </row>
    <row r="116" spans="3:10">
      <c r="C116" s="33">
        <v>45</v>
      </c>
      <c r="D116" s="33">
        <v>1800</v>
      </c>
      <c r="E116" s="48">
        <f>SUM($D$72:D116)</f>
        <v>20915</v>
      </c>
      <c r="F116" s="48">
        <f t="shared" si="17"/>
        <v>1.3636363636363635</v>
      </c>
      <c r="G116" s="48">
        <f>ROUNDDOWN(SUM($F$72:F116),0)+1</f>
        <v>17</v>
      </c>
      <c r="I116" s="48">
        <f t="shared" si="16"/>
        <v>0.78947368421052633</v>
      </c>
      <c r="J116" s="48">
        <f>ROUNDDOWN(SUM($I$72:I116),0)+1</f>
        <v>10</v>
      </c>
    </row>
    <row r="117" spans="3:10">
      <c r="C117" s="33">
        <v>46</v>
      </c>
      <c r="D117" s="33">
        <v>2000</v>
      </c>
      <c r="E117" s="48">
        <f>SUM($D$72:D117)</f>
        <v>22915</v>
      </c>
      <c r="F117" s="48">
        <f t="shared" si="17"/>
        <v>1.5151515151515151</v>
      </c>
      <c r="G117" s="48">
        <f>ROUNDDOWN(SUM($F$72:F117),0)+1</f>
        <v>19</v>
      </c>
      <c r="I117" s="48">
        <f t="shared" si="16"/>
        <v>0.8771929824561403</v>
      </c>
      <c r="J117" s="48">
        <f>ROUNDDOWN(SUM($I$72:I117),0)+1</f>
        <v>11</v>
      </c>
    </row>
    <row r="118" spans="3:10">
      <c r="C118" s="33">
        <v>47</v>
      </c>
      <c r="D118" s="33">
        <v>2000</v>
      </c>
      <c r="E118" s="48">
        <f>SUM($D$72:D118)</f>
        <v>24915</v>
      </c>
      <c r="F118" s="48">
        <f t="shared" si="17"/>
        <v>1.5151515151515151</v>
      </c>
      <c r="G118" s="48">
        <f>ROUNDDOWN(SUM($F$72:F118),0)+1</f>
        <v>20</v>
      </c>
      <c r="I118" s="48">
        <f t="shared" si="16"/>
        <v>0.8771929824561403</v>
      </c>
      <c r="J118" s="48">
        <f>ROUNDDOWN(SUM($I$72:I118),0)+1</f>
        <v>12</v>
      </c>
    </row>
    <row r="119" spans="3:10">
      <c r="C119" s="33">
        <v>48</v>
      </c>
      <c r="D119" s="33">
        <v>2200</v>
      </c>
      <c r="E119" s="48">
        <f>SUM($D$72:D119)</f>
        <v>27115</v>
      </c>
      <c r="F119" s="48">
        <f t="shared" si="17"/>
        <v>1.6666666666666667</v>
      </c>
      <c r="G119" s="48">
        <f>ROUNDDOWN(SUM($F$72:F119),0)+1</f>
        <v>22</v>
      </c>
      <c r="I119" s="48">
        <f t="shared" si="16"/>
        <v>0.96491228070175439</v>
      </c>
      <c r="J119" s="48">
        <f>ROUNDDOWN(SUM($I$72:I119),0)+1</f>
        <v>13</v>
      </c>
    </row>
    <row r="120" spans="3:10">
      <c r="C120" s="33">
        <v>49</v>
      </c>
      <c r="D120" s="33">
        <v>2200</v>
      </c>
      <c r="E120" s="48">
        <f>SUM($D$72:D120)</f>
        <v>29315</v>
      </c>
      <c r="F120" s="48">
        <f t="shared" si="17"/>
        <v>1.6666666666666667</v>
      </c>
      <c r="G120" s="48">
        <f>ROUNDDOWN(SUM($F$72:F120),0)+1</f>
        <v>24</v>
      </c>
      <c r="I120" s="48">
        <f t="shared" si="16"/>
        <v>0.96491228070175439</v>
      </c>
      <c r="J120" s="48">
        <f>ROUNDDOWN(SUM($I$72:I120),0)+1</f>
        <v>14</v>
      </c>
    </row>
    <row r="121" spans="3:10">
      <c r="C121" s="33">
        <v>50</v>
      </c>
      <c r="D121" s="33">
        <v>2300</v>
      </c>
      <c r="E121" s="48">
        <f>SUM($D$72:D121)</f>
        <v>31615</v>
      </c>
      <c r="F121" s="48">
        <f t="shared" si="17"/>
        <v>1.7424242424242424</v>
      </c>
      <c r="G121" s="48">
        <f>ROUNDDOWN(SUM($F$72:F121),0)+1</f>
        <v>25</v>
      </c>
      <c r="I121" s="48">
        <f t="shared" si="16"/>
        <v>1.0087719298245614</v>
      </c>
      <c r="J121" s="48">
        <f>ROUNDDOWN(SUM($I$72:I121),0)+1</f>
        <v>15</v>
      </c>
    </row>
    <row r="122" spans="3:10">
      <c r="C122" s="33">
        <v>51</v>
      </c>
      <c r="D122" s="33">
        <v>2300</v>
      </c>
      <c r="E122" s="48">
        <f>SUM($D$72:D122)</f>
        <v>33915</v>
      </c>
      <c r="F122" s="48">
        <f t="shared" si="17"/>
        <v>1.7424242424242424</v>
      </c>
      <c r="G122" s="48">
        <f>ROUNDDOWN(SUM($F$72:F122),0)+1</f>
        <v>27</v>
      </c>
      <c r="I122" s="48">
        <f t="shared" si="16"/>
        <v>1.0087719298245614</v>
      </c>
      <c r="J122" s="48">
        <f>ROUNDDOWN(SUM($I$72:I122),0)+1</f>
        <v>16</v>
      </c>
    </row>
    <row r="123" spans="3:10">
      <c r="C123" s="33">
        <v>52</v>
      </c>
      <c r="D123" s="33">
        <v>2300</v>
      </c>
      <c r="E123" s="48">
        <f>SUM($D$72:D123)</f>
        <v>36215</v>
      </c>
      <c r="F123" s="48">
        <f t="shared" si="17"/>
        <v>1.7424242424242424</v>
      </c>
      <c r="G123" s="48">
        <f>ROUNDDOWN(SUM($F$72:F123),0)+1</f>
        <v>29</v>
      </c>
      <c r="I123" s="48">
        <f t="shared" si="16"/>
        <v>1.0087719298245614</v>
      </c>
      <c r="J123" s="48">
        <f>ROUNDDOWN(SUM($I$72:I123),0)+1</f>
        <v>17</v>
      </c>
    </row>
    <row r="124" spans="3:10">
      <c r="C124" s="33">
        <v>53</v>
      </c>
      <c r="D124" s="33">
        <v>2500</v>
      </c>
      <c r="E124" s="48">
        <f>SUM($D$72:D124)</f>
        <v>38715</v>
      </c>
      <c r="F124" s="48">
        <f t="shared" si="17"/>
        <v>1.893939393939394</v>
      </c>
      <c r="G124" s="48">
        <f>ROUNDDOWN(SUM($F$72:F124),0)+1</f>
        <v>31</v>
      </c>
      <c r="I124" s="48">
        <f t="shared" si="16"/>
        <v>1.0964912280701755</v>
      </c>
      <c r="J124" s="48">
        <f>ROUNDDOWN(SUM($I$72:I124),0)+1</f>
        <v>18</v>
      </c>
    </row>
    <row r="125" spans="3:10">
      <c r="C125" s="33">
        <v>54</v>
      </c>
      <c r="D125" s="33">
        <v>2700</v>
      </c>
      <c r="E125" s="48">
        <f>SUM($D$72:D125)</f>
        <v>41415</v>
      </c>
      <c r="F125" s="48">
        <f t="shared" si="17"/>
        <v>2.0454545454545454</v>
      </c>
      <c r="G125" s="48">
        <f>ROUNDDOWN(SUM($F$72:F125),0)+1</f>
        <v>33</v>
      </c>
      <c r="I125" s="48">
        <f t="shared" si="16"/>
        <v>1.1842105263157894</v>
      </c>
      <c r="J125" s="48">
        <f>ROUNDDOWN(SUM($I$72:I125),0)+1</f>
        <v>19</v>
      </c>
    </row>
    <row r="126" spans="3:10">
      <c r="C126" s="33">
        <v>55</v>
      </c>
      <c r="D126" s="33">
        <v>2700</v>
      </c>
      <c r="E126" s="48">
        <f>SUM($D$72:D126)</f>
        <v>44115</v>
      </c>
      <c r="F126" s="48">
        <f t="shared" si="17"/>
        <v>2.0454545454545454</v>
      </c>
      <c r="G126" s="48">
        <f>ROUNDDOWN(SUM($F$72:F126),0)+1</f>
        <v>35</v>
      </c>
      <c r="I126" s="48">
        <f t="shared" si="16"/>
        <v>1.1842105263157894</v>
      </c>
      <c r="J126" s="48">
        <f>ROUNDDOWN(SUM($I$72:I126),0)+1</f>
        <v>20</v>
      </c>
    </row>
    <row r="127" spans="3:10">
      <c r="C127" s="33">
        <v>56</v>
      </c>
      <c r="D127" s="33">
        <v>2800</v>
      </c>
      <c r="E127" s="48">
        <f>SUM($D$72:D127)</f>
        <v>46915</v>
      </c>
      <c r="F127" s="48">
        <f t="shared" si="17"/>
        <v>2.1212121212121211</v>
      </c>
      <c r="G127" s="48">
        <f>ROUNDDOWN(SUM($F$72:F127),0)+1</f>
        <v>37</v>
      </c>
      <c r="I127" s="48">
        <f t="shared" si="16"/>
        <v>1.2280701754385965</v>
      </c>
      <c r="J127" s="48">
        <f>ROUNDDOWN(SUM($I$72:I127),0)+1</f>
        <v>21</v>
      </c>
    </row>
    <row r="128" spans="3:10">
      <c r="C128" s="33">
        <v>57</v>
      </c>
      <c r="D128" s="33">
        <v>3000</v>
      </c>
      <c r="E128" s="48">
        <f>SUM($D$72:D128)</f>
        <v>49915</v>
      </c>
      <c r="F128" s="48">
        <f t="shared" si="17"/>
        <v>2.2727272727272729</v>
      </c>
      <c r="G128" s="48">
        <f>ROUNDDOWN(SUM($F$72:F128),0)+1</f>
        <v>39</v>
      </c>
      <c r="I128" s="48">
        <f t="shared" si="16"/>
        <v>1.3157894736842106</v>
      </c>
      <c r="J128" s="48">
        <f>ROUNDDOWN(SUM($I$72:I128),0)+1</f>
        <v>23</v>
      </c>
    </row>
    <row r="129" spans="3:10">
      <c r="C129" s="33">
        <v>58</v>
      </c>
      <c r="D129" s="33">
        <v>3200</v>
      </c>
      <c r="E129" s="48">
        <f>SUM($D$72:D129)</f>
        <v>53115</v>
      </c>
      <c r="F129" s="48">
        <f t="shared" si="17"/>
        <v>2.4242424242424243</v>
      </c>
      <c r="G129" s="48">
        <f>ROUNDDOWN(SUM($F$72:F129),0)+1</f>
        <v>42</v>
      </c>
      <c r="I129" s="48">
        <f t="shared" si="16"/>
        <v>1.4035087719298245</v>
      </c>
      <c r="J129" s="48">
        <f>ROUNDDOWN(SUM($I$72:I129),0)+1</f>
        <v>24</v>
      </c>
    </row>
    <row r="130" spans="3:10">
      <c r="C130" s="33">
        <v>59</v>
      </c>
      <c r="D130" s="33">
        <v>3300</v>
      </c>
      <c r="E130" s="48">
        <f>SUM($D$72:D130)</f>
        <v>56415</v>
      </c>
      <c r="F130" s="48">
        <f t="shared" si="17"/>
        <v>2.5</v>
      </c>
      <c r="G130" s="48">
        <f>ROUNDDOWN(SUM($F$72:F130),0)+1</f>
        <v>44</v>
      </c>
      <c r="I130" s="48">
        <f t="shared" si="16"/>
        <v>1.4473684210526316</v>
      </c>
      <c r="J130" s="48">
        <f>ROUNDDOWN(SUM($I$72:I130),0)+1</f>
        <v>25</v>
      </c>
    </row>
    <row r="131" spans="3:10">
      <c r="C131" s="33">
        <v>60</v>
      </c>
      <c r="D131" s="33">
        <v>3300</v>
      </c>
      <c r="E131" s="48">
        <f>SUM($D$72:D131)</f>
        <v>59715</v>
      </c>
      <c r="F131" s="48">
        <f t="shared" si="17"/>
        <v>2.5</v>
      </c>
      <c r="G131" s="48">
        <f>ROUNDDOWN(SUM($F$72:F131),0)+1</f>
        <v>47</v>
      </c>
      <c r="I131" s="48">
        <f t="shared" si="16"/>
        <v>1.4473684210526316</v>
      </c>
      <c r="J131" s="48">
        <f>ROUNDDOWN(SUM($I$72:I131),0)+1</f>
        <v>27</v>
      </c>
    </row>
    <row r="132" spans="3:10">
      <c r="C132" s="33">
        <v>61</v>
      </c>
      <c r="D132" s="33">
        <v>3300</v>
      </c>
      <c r="E132" s="48">
        <f>SUM($D$72:D132)</f>
        <v>63015</v>
      </c>
      <c r="F132" s="48">
        <f t="shared" si="17"/>
        <v>2.5</v>
      </c>
      <c r="G132" s="48">
        <f>ROUNDDOWN(SUM($F$72:F132),0)+1</f>
        <v>49</v>
      </c>
      <c r="I132" s="48">
        <f t="shared" si="16"/>
        <v>1.4473684210526316</v>
      </c>
      <c r="J132" s="48">
        <f>ROUNDDOWN(SUM($I$72:I132),0)+1</f>
        <v>28</v>
      </c>
    </row>
    <row r="133" spans="3:10">
      <c r="C133" s="33">
        <v>62</v>
      </c>
      <c r="D133" s="33">
        <v>3500</v>
      </c>
      <c r="E133" s="48">
        <f>SUM($D$72:D133)</f>
        <v>66515</v>
      </c>
      <c r="F133" s="48">
        <f t="shared" si="17"/>
        <v>2.6515151515151514</v>
      </c>
      <c r="G133" s="48">
        <f>ROUNDDOWN(SUM($F$72:F133),0)+1</f>
        <v>52</v>
      </c>
      <c r="I133" s="48">
        <f t="shared" ref="I133:I161" si="18">D133/$Q$65</f>
        <v>1.5350877192982457</v>
      </c>
      <c r="J133" s="48">
        <f>ROUNDDOWN(SUM($I$72:I133),0)+1</f>
        <v>30</v>
      </c>
    </row>
    <row r="134" spans="3:10">
      <c r="C134" s="33">
        <v>63</v>
      </c>
      <c r="D134" s="33">
        <v>3500</v>
      </c>
      <c r="E134" s="48">
        <f>SUM($D$72:D134)</f>
        <v>70015</v>
      </c>
      <c r="F134" s="48">
        <f t="shared" si="17"/>
        <v>2.6515151515151514</v>
      </c>
      <c r="G134" s="48">
        <f>ROUNDDOWN(SUM($F$72:F134),0)+1</f>
        <v>54</v>
      </c>
      <c r="I134" s="48">
        <f t="shared" si="18"/>
        <v>1.5350877192982457</v>
      </c>
      <c r="J134" s="48">
        <f>ROUNDDOWN(SUM($I$72:I134),0)+1</f>
        <v>31</v>
      </c>
    </row>
    <row r="135" spans="3:10">
      <c r="C135" s="33">
        <v>64</v>
      </c>
      <c r="D135" s="33">
        <v>3700</v>
      </c>
      <c r="E135" s="48">
        <f>SUM($D$72:D135)</f>
        <v>73715</v>
      </c>
      <c r="F135" s="48">
        <f t="shared" si="17"/>
        <v>2.8030303030303032</v>
      </c>
      <c r="G135" s="48">
        <f>ROUNDDOWN(SUM($F$72:F135),0)+1</f>
        <v>57</v>
      </c>
      <c r="I135" s="48">
        <f t="shared" si="18"/>
        <v>1.6228070175438596</v>
      </c>
      <c r="J135" s="48">
        <f>ROUNDDOWN(SUM($I$72:I135),0)+1</f>
        <v>33</v>
      </c>
    </row>
    <row r="136" spans="3:10">
      <c r="C136" s="33">
        <v>65</v>
      </c>
      <c r="D136" s="33">
        <v>3800</v>
      </c>
      <c r="E136" s="48">
        <f>SUM($D$72:D136)</f>
        <v>77515</v>
      </c>
      <c r="F136" s="48">
        <f t="shared" si="17"/>
        <v>2.8787878787878789</v>
      </c>
      <c r="G136" s="48">
        <f>ROUNDDOWN(SUM($F$72:F136),0)+1</f>
        <v>60</v>
      </c>
      <c r="I136" s="48">
        <f t="shared" si="18"/>
        <v>1.6666666666666667</v>
      </c>
      <c r="J136" s="48">
        <f>ROUNDDOWN(SUM($I$72:I136),0)+1</f>
        <v>35</v>
      </c>
    </row>
    <row r="137" spans="3:10">
      <c r="C137" s="33">
        <v>66</v>
      </c>
      <c r="D137" s="33">
        <v>4000</v>
      </c>
      <c r="E137" s="48">
        <f>SUM($D$72:D137)</f>
        <v>81515</v>
      </c>
      <c r="F137" s="48">
        <f t="shared" si="17"/>
        <v>3.0303030303030303</v>
      </c>
      <c r="G137" s="48">
        <f>ROUNDDOWN(SUM($F$72:F137),0)+1</f>
        <v>63</v>
      </c>
      <c r="I137" s="48">
        <f t="shared" si="18"/>
        <v>1.7543859649122806</v>
      </c>
      <c r="J137" s="48">
        <f>ROUNDDOWN(SUM($I$72:I137),0)+1</f>
        <v>36</v>
      </c>
    </row>
    <row r="138" spans="3:10">
      <c r="C138" s="33">
        <v>67</v>
      </c>
      <c r="D138" s="33">
        <v>4200</v>
      </c>
      <c r="E138" s="48">
        <f>SUM($D$72:D138)</f>
        <v>85715</v>
      </c>
      <c r="F138" s="48">
        <f t="shared" si="17"/>
        <v>3.1818181818181817</v>
      </c>
      <c r="G138" s="48">
        <f>ROUNDDOWN(SUM($F$72:F138),0)+1</f>
        <v>66</v>
      </c>
      <c r="I138" s="48">
        <f t="shared" si="18"/>
        <v>1.8421052631578947</v>
      </c>
      <c r="J138" s="48">
        <f>ROUNDDOWN(SUM($I$72:I138),0)+1</f>
        <v>38</v>
      </c>
    </row>
    <row r="139" spans="3:10">
      <c r="C139" s="33">
        <v>68</v>
      </c>
      <c r="D139" s="33">
        <v>4300</v>
      </c>
      <c r="E139" s="48">
        <f>SUM($D$72:D139)</f>
        <v>90015</v>
      </c>
      <c r="F139" s="48">
        <f t="shared" si="17"/>
        <v>3.2575757575757578</v>
      </c>
      <c r="G139" s="48">
        <f>ROUNDDOWN(SUM($F$72:F139),0)+1</f>
        <v>69</v>
      </c>
      <c r="I139" s="48">
        <f t="shared" si="18"/>
        <v>1.8859649122807018</v>
      </c>
      <c r="J139" s="48">
        <f>ROUNDDOWN(SUM($I$72:I139),0)+1</f>
        <v>40</v>
      </c>
    </row>
    <row r="140" spans="3:10">
      <c r="C140" s="33">
        <v>69</v>
      </c>
      <c r="D140" s="33">
        <v>4500</v>
      </c>
      <c r="E140" s="48">
        <f>SUM($D$72:D140)</f>
        <v>94515</v>
      </c>
      <c r="F140" s="48">
        <f t="shared" si="17"/>
        <v>3.4090909090909092</v>
      </c>
      <c r="G140" s="48">
        <f>ROUNDDOWN(SUM($F$72:F140),0)+1</f>
        <v>73</v>
      </c>
      <c r="I140" s="48">
        <f t="shared" si="18"/>
        <v>1.9736842105263157</v>
      </c>
      <c r="J140" s="48">
        <f>ROUNDDOWN(SUM($I$72:I140),0)+1</f>
        <v>42</v>
      </c>
    </row>
    <row r="141" spans="3:10">
      <c r="C141" s="33">
        <v>70</v>
      </c>
      <c r="D141" s="33">
        <v>4700</v>
      </c>
      <c r="E141" s="48">
        <f>SUM($D$72:D141)</f>
        <v>99215</v>
      </c>
      <c r="F141" s="48">
        <f t="shared" si="17"/>
        <v>3.5606060606060606</v>
      </c>
      <c r="G141" s="48">
        <f>ROUNDDOWN(SUM($F$72:F141),0)+1</f>
        <v>76</v>
      </c>
      <c r="I141" s="48">
        <f t="shared" si="18"/>
        <v>2.0614035087719298</v>
      </c>
      <c r="J141" s="48">
        <f>ROUNDDOWN(SUM($I$72:I141),0)+1</f>
        <v>44</v>
      </c>
    </row>
    <row r="142" spans="3:10">
      <c r="C142" s="33">
        <v>71</v>
      </c>
      <c r="D142" s="33">
        <v>4700</v>
      </c>
      <c r="E142" s="48">
        <f>SUM($D$72:D142)</f>
        <v>103915</v>
      </c>
      <c r="F142" s="48">
        <f t="shared" si="17"/>
        <v>3.5606060606060606</v>
      </c>
      <c r="G142" s="48">
        <f>ROUNDDOWN(SUM($F$72:F142),0)+1</f>
        <v>80</v>
      </c>
      <c r="I142" s="48">
        <f t="shared" si="18"/>
        <v>2.0614035087719298</v>
      </c>
      <c r="J142" s="48">
        <f>ROUNDDOWN(SUM($I$72:I142),0)+1</f>
        <v>46</v>
      </c>
    </row>
    <row r="143" spans="3:10">
      <c r="C143" s="33">
        <v>72</v>
      </c>
      <c r="D143" s="33">
        <v>4700</v>
      </c>
      <c r="E143" s="48">
        <f>SUM($D$72:D143)</f>
        <v>108615</v>
      </c>
      <c r="F143" s="48">
        <f t="shared" si="17"/>
        <v>3.5606060606060606</v>
      </c>
      <c r="G143" s="48">
        <f>ROUNDDOWN(SUM($F$72:F143),0)+1</f>
        <v>84</v>
      </c>
      <c r="I143" s="48">
        <f t="shared" si="18"/>
        <v>2.0614035087719298</v>
      </c>
      <c r="J143" s="48">
        <f>ROUNDDOWN(SUM($I$72:I143),0)+1</f>
        <v>48</v>
      </c>
    </row>
    <row r="144" spans="3:10">
      <c r="C144" s="33">
        <v>73</v>
      </c>
      <c r="D144" s="33">
        <v>4700</v>
      </c>
      <c r="E144" s="48">
        <f>SUM($D$72:D144)</f>
        <v>113315</v>
      </c>
      <c r="F144" s="48">
        <f t="shared" si="17"/>
        <v>3.5606060606060606</v>
      </c>
      <c r="G144" s="48">
        <f>ROUNDDOWN(SUM($F$72:F144),0)+1</f>
        <v>87</v>
      </c>
      <c r="I144" s="48">
        <f t="shared" si="18"/>
        <v>2.0614035087719298</v>
      </c>
      <c r="J144" s="48">
        <f>ROUNDDOWN(SUM($I$72:I144),0)+1</f>
        <v>50</v>
      </c>
    </row>
    <row r="145" spans="3:10">
      <c r="C145" s="33">
        <v>74</v>
      </c>
      <c r="D145" s="33">
        <v>4700</v>
      </c>
      <c r="E145" s="48">
        <f>SUM($D$72:D145)</f>
        <v>118015</v>
      </c>
      <c r="F145" s="48">
        <f t="shared" si="17"/>
        <v>3.5606060606060606</v>
      </c>
      <c r="G145" s="48">
        <f>ROUNDDOWN(SUM($F$72:F145),0)+1</f>
        <v>91</v>
      </c>
      <c r="I145" s="48">
        <f t="shared" si="18"/>
        <v>2.0614035087719298</v>
      </c>
      <c r="J145" s="48">
        <f>ROUNDDOWN(SUM($I$72:I145),0)+1</f>
        <v>52</v>
      </c>
    </row>
    <row r="146" spans="3:10">
      <c r="C146" s="33">
        <v>75</v>
      </c>
      <c r="D146" s="33">
        <v>4700</v>
      </c>
      <c r="E146" s="48">
        <f>SUM($D$72:D146)</f>
        <v>122715</v>
      </c>
      <c r="F146" s="48">
        <f t="shared" si="17"/>
        <v>3.5606060606060606</v>
      </c>
      <c r="G146" s="48">
        <f>ROUNDDOWN(SUM($F$72:F146),0)+1</f>
        <v>94</v>
      </c>
      <c r="I146" s="48">
        <f t="shared" si="18"/>
        <v>2.0614035087719298</v>
      </c>
      <c r="J146" s="48">
        <f>ROUNDDOWN(SUM($I$72:I146),0)+1</f>
        <v>55</v>
      </c>
    </row>
    <row r="147" spans="3:10">
      <c r="C147" s="33">
        <v>76</v>
      </c>
      <c r="D147" s="33">
        <v>4700</v>
      </c>
      <c r="E147" s="48">
        <f>SUM($D$72:D147)</f>
        <v>127415</v>
      </c>
      <c r="F147" s="48">
        <f t="shared" si="17"/>
        <v>3.5606060606060606</v>
      </c>
      <c r="G147" s="48">
        <f>ROUNDDOWN(SUM($F$72:F147),0)+1</f>
        <v>98</v>
      </c>
      <c r="I147" s="48">
        <f t="shared" si="18"/>
        <v>2.0614035087719298</v>
      </c>
      <c r="J147" s="48">
        <f>ROUNDDOWN(SUM($I$72:I147),0)+1</f>
        <v>57</v>
      </c>
    </row>
    <row r="148" spans="3:10">
      <c r="C148" s="33">
        <v>77</v>
      </c>
      <c r="D148" s="33">
        <v>4700</v>
      </c>
      <c r="E148" s="48">
        <f>SUM($D$72:D148)</f>
        <v>132115</v>
      </c>
      <c r="F148" s="48">
        <f t="shared" si="17"/>
        <v>3.5606060606060606</v>
      </c>
      <c r="G148" s="48">
        <f>ROUNDDOWN(SUM($F$72:F148),0)+1</f>
        <v>101</v>
      </c>
      <c r="I148" s="48">
        <f t="shared" si="18"/>
        <v>2.0614035087719298</v>
      </c>
      <c r="J148" s="48">
        <f>ROUNDDOWN(SUM($I$72:I148),0)+1</f>
        <v>59</v>
      </c>
    </row>
    <row r="149" spans="3:10">
      <c r="C149" s="33">
        <v>78</v>
      </c>
      <c r="D149" s="33">
        <v>4700</v>
      </c>
      <c r="E149" s="48">
        <f>SUM($D$72:D149)</f>
        <v>136815</v>
      </c>
      <c r="F149" s="48">
        <f t="shared" si="17"/>
        <v>3.5606060606060606</v>
      </c>
      <c r="G149" s="48">
        <f>ROUNDDOWN(SUM($F$72:F149),0)+1</f>
        <v>105</v>
      </c>
      <c r="I149" s="48">
        <f t="shared" si="18"/>
        <v>2.0614035087719298</v>
      </c>
      <c r="J149" s="48">
        <f>ROUNDDOWN(SUM($I$72:I149),0)+1</f>
        <v>61</v>
      </c>
    </row>
    <row r="150" spans="3:10">
      <c r="C150" s="33">
        <v>79</v>
      </c>
      <c r="D150" s="33">
        <v>4800</v>
      </c>
      <c r="E150" s="48">
        <f>SUM($D$72:D150)</f>
        <v>141615</v>
      </c>
      <c r="F150" s="48">
        <f t="shared" si="17"/>
        <v>3.6363636363636362</v>
      </c>
      <c r="G150" s="48">
        <f>ROUNDDOWN(SUM($F$72:F150),0)+1</f>
        <v>109</v>
      </c>
      <c r="I150" s="48">
        <f t="shared" si="18"/>
        <v>2.1052631578947367</v>
      </c>
      <c r="J150" s="48">
        <f>ROUNDDOWN(SUM($I$72:I150),0)+1</f>
        <v>63</v>
      </c>
    </row>
    <row r="151" spans="3:10">
      <c r="C151" s="33">
        <v>80</v>
      </c>
      <c r="D151" s="33">
        <v>6000</v>
      </c>
      <c r="E151" s="48">
        <f>SUM($D$72:D151)</f>
        <v>147615</v>
      </c>
      <c r="F151" s="48">
        <f t="shared" si="17"/>
        <v>4.5454545454545459</v>
      </c>
      <c r="G151" s="48">
        <f>ROUNDDOWN(SUM($F$72:F151),0)+1</f>
        <v>113</v>
      </c>
      <c r="I151" s="48">
        <f t="shared" si="18"/>
        <v>2.6315789473684212</v>
      </c>
      <c r="J151" s="48">
        <f>ROUNDDOWN(SUM($I$72:I151),0)+1</f>
        <v>65</v>
      </c>
    </row>
    <row r="152" spans="3:10">
      <c r="C152" s="33">
        <v>81</v>
      </c>
      <c r="D152" s="33">
        <v>8000</v>
      </c>
      <c r="E152" s="48">
        <f>SUM($D$72:D152)</f>
        <v>155615</v>
      </c>
      <c r="F152" s="48">
        <f t="shared" si="17"/>
        <v>6.0606060606060606</v>
      </c>
      <c r="G152" s="48">
        <f>ROUNDDOWN(SUM($F$72:F152),0)+1</f>
        <v>119</v>
      </c>
      <c r="I152" s="48">
        <f t="shared" si="18"/>
        <v>3.5087719298245612</v>
      </c>
      <c r="J152" s="48">
        <f>ROUNDDOWN(SUM($I$72:I152),0)+1</f>
        <v>69</v>
      </c>
    </row>
    <row r="153" spans="3:10">
      <c r="C153" s="33">
        <v>82</v>
      </c>
      <c r="D153" s="33">
        <v>10000</v>
      </c>
      <c r="E153" s="48">
        <f>SUM($D$72:D153)</f>
        <v>165615</v>
      </c>
      <c r="F153" s="48">
        <f t="shared" si="17"/>
        <v>7.5757575757575761</v>
      </c>
      <c r="G153" s="48">
        <f>ROUNDDOWN(SUM($F$72:F153),0)+1</f>
        <v>127</v>
      </c>
      <c r="I153" s="48">
        <f t="shared" si="18"/>
        <v>4.3859649122807021</v>
      </c>
      <c r="J153" s="48">
        <f>ROUNDDOWN(SUM($I$72:I153),0)+1</f>
        <v>73</v>
      </c>
    </row>
    <row r="154" spans="3:10">
      <c r="C154" s="33">
        <v>83</v>
      </c>
      <c r="D154" s="33">
        <v>12000</v>
      </c>
      <c r="E154" s="48">
        <f>SUM($D$72:D154)</f>
        <v>177615</v>
      </c>
      <c r="F154" s="48">
        <f t="shared" si="17"/>
        <v>9.0909090909090917</v>
      </c>
      <c r="G154" s="48">
        <f>ROUNDDOWN(SUM($F$72:F154),0)+1</f>
        <v>136</v>
      </c>
      <c r="I154" s="48">
        <f t="shared" si="18"/>
        <v>5.2631578947368425</v>
      </c>
      <c r="J154" s="48">
        <f>ROUNDDOWN(SUM($I$72:I154),0)+1</f>
        <v>79</v>
      </c>
    </row>
    <row r="155" spans="3:10">
      <c r="C155" s="33">
        <v>84</v>
      </c>
      <c r="D155" s="33">
        <v>14000</v>
      </c>
      <c r="E155" s="48">
        <f>SUM($D$72:D155)</f>
        <v>191615</v>
      </c>
      <c r="F155" s="48">
        <f t="shared" si="17"/>
        <v>10.606060606060606</v>
      </c>
      <c r="G155" s="48">
        <f>ROUNDDOWN(SUM($F$72:F155),0)+1</f>
        <v>146</v>
      </c>
      <c r="I155" s="48">
        <f t="shared" si="18"/>
        <v>6.1403508771929829</v>
      </c>
      <c r="J155" s="48">
        <f>ROUNDDOWN(SUM($I$72:I155),0)+1</f>
        <v>85</v>
      </c>
    </row>
    <row r="156" spans="3:10">
      <c r="C156" s="33">
        <v>85</v>
      </c>
      <c r="D156" s="33">
        <v>16000</v>
      </c>
      <c r="E156" s="48">
        <f>SUM($D$72:D156)</f>
        <v>207615</v>
      </c>
      <c r="F156" s="48">
        <f t="shared" si="17"/>
        <v>12.121212121212121</v>
      </c>
      <c r="G156" s="48">
        <f>ROUNDDOWN(SUM($F$72:F156),0)+1</f>
        <v>159</v>
      </c>
      <c r="I156" s="48">
        <f t="shared" si="18"/>
        <v>7.0175438596491224</v>
      </c>
      <c r="J156" s="48">
        <f>ROUNDDOWN(SUM($I$72:I156),0)+1</f>
        <v>92</v>
      </c>
    </row>
    <row r="157" spans="3:10">
      <c r="C157" s="33">
        <v>86</v>
      </c>
      <c r="D157" s="33">
        <v>18000</v>
      </c>
      <c r="E157" s="48">
        <f>SUM($D$72:D157)</f>
        <v>225615</v>
      </c>
      <c r="F157" s="48">
        <f t="shared" si="17"/>
        <v>13.636363636363637</v>
      </c>
      <c r="G157" s="48">
        <f>ROUNDDOWN(SUM($F$72:F157),0)+1</f>
        <v>172</v>
      </c>
      <c r="I157" s="48">
        <f t="shared" si="18"/>
        <v>7.8947368421052628</v>
      </c>
      <c r="J157" s="48">
        <f>ROUNDDOWN(SUM($I$72:I157),0)+1</f>
        <v>100</v>
      </c>
    </row>
    <row r="158" spans="3:10">
      <c r="C158" s="33">
        <v>87</v>
      </c>
      <c r="D158" s="33">
        <v>20000</v>
      </c>
      <c r="E158" s="48">
        <f>SUM($D$72:D158)</f>
        <v>245615</v>
      </c>
      <c r="F158" s="48">
        <f t="shared" si="17"/>
        <v>15.151515151515152</v>
      </c>
      <c r="G158" s="48">
        <f>ROUNDDOWN(SUM($F$72:F158),0)+1</f>
        <v>187</v>
      </c>
      <c r="I158" s="48">
        <f t="shared" si="18"/>
        <v>8.7719298245614041</v>
      </c>
      <c r="J158" s="48">
        <f>ROUNDDOWN(SUM($I$72:I158),0)+1</f>
        <v>108</v>
      </c>
    </row>
    <row r="159" spans="3:10">
      <c r="C159" s="33">
        <v>88</v>
      </c>
      <c r="D159" s="33">
        <v>22000</v>
      </c>
      <c r="E159" s="48">
        <f>SUM($D$72:D159)</f>
        <v>267615</v>
      </c>
      <c r="F159" s="48">
        <f t="shared" si="17"/>
        <v>16.666666666666668</v>
      </c>
      <c r="G159" s="48">
        <f>ROUNDDOWN(SUM($F$72:F159),0)+1</f>
        <v>204</v>
      </c>
      <c r="I159" s="48">
        <f t="shared" si="18"/>
        <v>9.6491228070175445</v>
      </c>
      <c r="J159" s="48">
        <f>ROUNDDOWN(SUM($I$72:I159),0)+1</f>
        <v>118</v>
      </c>
    </row>
    <row r="160" spans="3:10">
      <c r="C160" s="33">
        <v>89</v>
      </c>
      <c r="D160" s="33">
        <v>24000</v>
      </c>
      <c r="E160" s="48">
        <f>SUM($D$72:D160)</f>
        <v>291615</v>
      </c>
      <c r="F160" s="48">
        <f t="shared" si="17"/>
        <v>18.181818181818183</v>
      </c>
      <c r="G160" s="48">
        <f>ROUNDDOWN(SUM($F$72:F160),0)+1</f>
        <v>222</v>
      </c>
      <c r="I160" s="48">
        <f t="shared" si="18"/>
        <v>10.526315789473685</v>
      </c>
      <c r="J160" s="48">
        <f>ROUNDDOWN(SUM($I$72:I160),0)+1</f>
        <v>129</v>
      </c>
    </row>
    <row r="161" spans="3:19">
      <c r="C161" s="33">
        <v>90</v>
      </c>
      <c r="D161" s="33">
        <v>26000</v>
      </c>
      <c r="E161" s="48">
        <f>SUM($D$72:D161)</f>
        <v>317615</v>
      </c>
      <c r="F161" s="48">
        <f t="shared" si="17"/>
        <v>19.696969696969695</v>
      </c>
      <c r="G161" s="48">
        <f>ROUNDDOWN(SUM($F$72:F161),0)+1</f>
        <v>242</v>
      </c>
      <c r="I161" s="48">
        <f t="shared" si="18"/>
        <v>11.403508771929825</v>
      </c>
      <c r="J161" s="48">
        <f>ROUNDDOWN(SUM($I$72:I161),0)+1</f>
        <v>140</v>
      </c>
    </row>
    <row r="162" spans="3:19">
      <c r="C162" s="33" t="s">
        <v>214</v>
      </c>
      <c r="D162" s="34">
        <v>317615</v>
      </c>
      <c r="E162" s="48">
        <f>SUM($D$72:D162)</f>
        <v>635230</v>
      </c>
      <c r="J162" s="4"/>
    </row>
    <row r="164" spans="3:19">
      <c r="G164" s="1" t="s">
        <v>300</v>
      </c>
    </row>
    <row r="165" spans="3:19" ht="30">
      <c r="C165" s="2" t="s">
        <v>283</v>
      </c>
      <c r="D165" s="32" t="s">
        <v>284</v>
      </c>
      <c r="H165" s="2" t="s">
        <v>285</v>
      </c>
      <c r="J165" s="2" t="s">
        <v>286</v>
      </c>
      <c r="K165" s="2" t="s">
        <v>338</v>
      </c>
      <c r="L165" s="2" t="s">
        <v>301</v>
      </c>
      <c r="M165" s="2" t="s">
        <v>302</v>
      </c>
      <c r="N165" s="2" t="s">
        <v>303</v>
      </c>
      <c r="Q165" s="2" t="s">
        <v>339</v>
      </c>
      <c r="R165" s="2" t="s">
        <v>340</v>
      </c>
    </row>
    <row r="166" spans="3:19">
      <c r="C166" s="33">
        <v>1</v>
      </c>
      <c r="D166" s="33">
        <v>25</v>
      </c>
      <c r="H166" s="48">
        <f>$R$166</f>
        <v>1</v>
      </c>
      <c r="I166" s="51" t="s">
        <v>304</v>
      </c>
      <c r="J166" s="1">
        <v>60</v>
      </c>
      <c r="K166" s="1">
        <f>J166/5</f>
        <v>12</v>
      </c>
      <c r="L166" s="1">
        <v>60</v>
      </c>
      <c r="M166" s="1">
        <v>495</v>
      </c>
      <c r="N166" s="1">
        <v>6</v>
      </c>
      <c r="Q166" s="1">
        <v>1</v>
      </c>
      <c r="R166" s="1">
        <v>1</v>
      </c>
    </row>
    <row r="167" spans="3:19">
      <c r="C167" s="33">
        <v>2</v>
      </c>
      <c r="D167" s="33">
        <v>30</v>
      </c>
      <c r="H167" s="48">
        <f t="shared" ref="H167:H171" si="19">$R$166</f>
        <v>1</v>
      </c>
      <c r="I167" s="51" t="s">
        <v>306</v>
      </c>
      <c r="J167" s="1">
        <v>75</v>
      </c>
      <c r="K167" s="1">
        <f t="shared" ref="K167:K171" si="20">J167/5</f>
        <v>15</v>
      </c>
      <c r="L167" s="1">
        <v>60</v>
      </c>
      <c r="M167" s="1">
        <v>553</v>
      </c>
      <c r="N167" s="1">
        <v>6</v>
      </c>
      <c r="Q167" s="1">
        <v>2</v>
      </c>
      <c r="R167" s="1">
        <v>5</v>
      </c>
    </row>
    <row r="168" spans="3:19">
      <c r="C168" s="33">
        <v>3</v>
      </c>
      <c r="D168" s="33">
        <v>40</v>
      </c>
      <c r="H168" s="48">
        <f t="shared" si="19"/>
        <v>1</v>
      </c>
      <c r="I168" s="51" t="s">
        <v>307</v>
      </c>
      <c r="J168" s="1">
        <v>90</v>
      </c>
      <c r="K168" s="1">
        <f t="shared" si="20"/>
        <v>18</v>
      </c>
      <c r="L168" s="1">
        <v>120</v>
      </c>
      <c r="M168" s="1">
        <v>506</v>
      </c>
      <c r="N168" s="1">
        <v>6</v>
      </c>
      <c r="Q168" s="1">
        <v>3</v>
      </c>
    </row>
    <row r="169" spans="3:19">
      <c r="C169" s="33">
        <v>4</v>
      </c>
      <c r="D169" s="33">
        <v>60</v>
      </c>
      <c r="H169" s="48">
        <f t="shared" si="19"/>
        <v>1</v>
      </c>
      <c r="I169" s="51" t="s">
        <v>308</v>
      </c>
      <c r="J169" s="1">
        <v>100</v>
      </c>
      <c r="K169" s="1">
        <f t="shared" si="20"/>
        <v>20</v>
      </c>
      <c r="L169" s="1">
        <v>120</v>
      </c>
      <c r="M169" s="1">
        <v>543</v>
      </c>
      <c r="N169" s="1">
        <v>6</v>
      </c>
      <c r="Q169" s="1">
        <v>4</v>
      </c>
    </row>
    <row r="170" spans="3:19">
      <c r="C170" s="33">
        <v>5</v>
      </c>
      <c r="D170" s="33">
        <v>80</v>
      </c>
      <c r="H170" s="48">
        <f t="shared" si="19"/>
        <v>1</v>
      </c>
      <c r="I170" s="51" t="s">
        <v>309</v>
      </c>
      <c r="J170" s="1">
        <v>100</v>
      </c>
      <c r="K170" s="1">
        <f t="shared" si="20"/>
        <v>20</v>
      </c>
      <c r="L170" s="1">
        <v>120</v>
      </c>
      <c r="M170" s="1">
        <v>588</v>
      </c>
      <c r="N170" s="1">
        <v>6</v>
      </c>
      <c r="Q170" s="1">
        <v>5</v>
      </c>
    </row>
    <row r="171" spans="3:19">
      <c r="C171" s="33">
        <v>6</v>
      </c>
      <c r="D171" s="33">
        <v>100</v>
      </c>
      <c r="H171" s="48">
        <f t="shared" si="19"/>
        <v>1</v>
      </c>
      <c r="I171" s="51" t="s">
        <v>305</v>
      </c>
      <c r="J171" s="1">
        <v>100</v>
      </c>
      <c r="K171" s="1">
        <f t="shared" si="20"/>
        <v>20</v>
      </c>
      <c r="L171" s="1">
        <v>120</v>
      </c>
      <c r="M171" s="1">
        <v>588</v>
      </c>
      <c r="N171" s="1">
        <v>6</v>
      </c>
      <c r="Q171" s="1">
        <v>6</v>
      </c>
    </row>
    <row r="172" spans="3:19">
      <c r="C172" s="33">
        <v>7</v>
      </c>
      <c r="D172" s="33">
        <v>130</v>
      </c>
      <c r="H172" s="48"/>
      <c r="Q172" s="1">
        <v>7</v>
      </c>
      <c r="R172" s="48">
        <f t="shared" ref="R172:R176" si="21">Q172*5+16</f>
        <v>51</v>
      </c>
      <c r="S172" s="48">
        <f>Q171*5+16</f>
        <v>46</v>
      </c>
    </row>
    <row r="173" spans="3:19">
      <c r="C173" s="33">
        <v>8</v>
      </c>
      <c r="D173" s="33">
        <v>150</v>
      </c>
      <c r="H173" s="48"/>
      <c r="J173" s="2" t="s">
        <v>286</v>
      </c>
      <c r="K173" s="2" t="s">
        <v>338</v>
      </c>
      <c r="L173" s="2" t="s">
        <v>301</v>
      </c>
      <c r="M173" s="2" t="s">
        <v>302</v>
      </c>
      <c r="N173" s="2" t="s">
        <v>303</v>
      </c>
      <c r="Q173" s="1">
        <v>8</v>
      </c>
      <c r="R173" s="48">
        <f t="shared" si="21"/>
        <v>56</v>
      </c>
    </row>
    <row r="174" spans="3:19">
      <c r="C174" s="33">
        <v>9</v>
      </c>
      <c r="D174" s="33">
        <v>180</v>
      </c>
      <c r="H174" s="48">
        <f>$R$173</f>
        <v>56</v>
      </c>
      <c r="I174" s="51" t="s">
        <v>331</v>
      </c>
      <c r="J174" s="1">
        <f>95*5</f>
        <v>475</v>
      </c>
      <c r="K174" s="1">
        <f t="shared" ref="K174:K186" si="22">J174/5</f>
        <v>95</v>
      </c>
      <c r="L174" s="1">
        <f>1*300+3*60</f>
        <v>480</v>
      </c>
      <c r="M174" s="1">
        <v>1140</v>
      </c>
      <c r="N174" s="1">
        <v>8</v>
      </c>
      <c r="Q174" s="1">
        <v>9</v>
      </c>
      <c r="R174" s="48">
        <f t="shared" si="21"/>
        <v>61</v>
      </c>
    </row>
    <row r="175" spans="3:19">
      <c r="C175" s="33">
        <v>10</v>
      </c>
      <c r="D175" s="33">
        <v>180</v>
      </c>
      <c r="H175" s="48">
        <f t="shared" ref="H175:H180" si="23">$R$173</f>
        <v>56</v>
      </c>
      <c r="I175" s="51" t="s">
        <v>332</v>
      </c>
      <c r="J175" s="1">
        <f>98*5</f>
        <v>490</v>
      </c>
      <c r="K175" s="1">
        <f t="shared" si="22"/>
        <v>98</v>
      </c>
      <c r="L175" s="1">
        <f>1*300+3*60</f>
        <v>480</v>
      </c>
      <c r="M175" s="1">
        <v>1310</v>
      </c>
      <c r="N175" s="1">
        <v>8</v>
      </c>
      <c r="Q175" s="1">
        <v>10</v>
      </c>
      <c r="R175" s="48">
        <f t="shared" si="21"/>
        <v>66</v>
      </c>
    </row>
    <row r="176" spans="3:19">
      <c r="C176" s="33">
        <v>11</v>
      </c>
      <c r="D176" s="33">
        <v>210</v>
      </c>
      <c r="H176" s="48">
        <f t="shared" si="23"/>
        <v>56</v>
      </c>
      <c r="I176" s="51" t="s">
        <v>333</v>
      </c>
      <c r="J176" s="1">
        <f>101*5</f>
        <v>505</v>
      </c>
      <c r="K176" s="1">
        <f t="shared" si="22"/>
        <v>101</v>
      </c>
      <c r="L176" s="1">
        <f>1*300+3*60</f>
        <v>480</v>
      </c>
      <c r="M176" s="1">
        <v>1129</v>
      </c>
      <c r="N176" s="1">
        <v>8</v>
      </c>
      <c r="Q176" s="1">
        <v>11</v>
      </c>
      <c r="R176" s="48">
        <f t="shared" si="21"/>
        <v>71</v>
      </c>
    </row>
    <row r="177" spans="3:18">
      <c r="C177" s="33">
        <v>12</v>
      </c>
      <c r="D177" s="33">
        <v>220</v>
      </c>
      <c r="H177" s="48">
        <f t="shared" si="23"/>
        <v>56</v>
      </c>
      <c r="I177" s="51" t="s">
        <v>334</v>
      </c>
      <c r="J177" s="1">
        <f>105*5</f>
        <v>525</v>
      </c>
      <c r="K177" s="1">
        <f t="shared" si="22"/>
        <v>105</v>
      </c>
      <c r="L177" s="1">
        <f t="shared" ref="L177:L183" si="24">1*300+4*60</f>
        <v>540</v>
      </c>
      <c r="M177" s="1">
        <v>1180</v>
      </c>
      <c r="N177" s="1">
        <v>8</v>
      </c>
      <c r="Q177" s="1">
        <v>12</v>
      </c>
      <c r="R177" s="48">
        <f>Q177*5+16</f>
        <v>76</v>
      </c>
    </row>
    <row r="178" spans="3:18">
      <c r="C178" s="33">
        <v>13</v>
      </c>
      <c r="D178" s="33">
        <v>220</v>
      </c>
      <c r="H178" s="48">
        <f t="shared" si="23"/>
        <v>56</v>
      </c>
      <c r="I178" s="51" t="s">
        <v>335</v>
      </c>
      <c r="J178" s="1">
        <f>105*5</f>
        <v>525</v>
      </c>
      <c r="K178" s="1">
        <f t="shared" si="22"/>
        <v>105</v>
      </c>
      <c r="L178" s="1">
        <f t="shared" si="24"/>
        <v>540</v>
      </c>
      <c r="M178" s="1">
        <v>1235</v>
      </c>
      <c r="N178" s="1">
        <v>8</v>
      </c>
    </row>
    <row r="179" spans="3:18">
      <c r="C179" s="33">
        <v>14</v>
      </c>
      <c r="D179" s="33">
        <v>230</v>
      </c>
      <c r="H179" s="48">
        <f t="shared" si="23"/>
        <v>56</v>
      </c>
      <c r="I179" s="51" t="s">
        <v>336</v>
      </c>
      <c r="K179" s="1">
        <f t="shared" si="22"/>
        <v>0</v>
      </c>
      <c r="L179" s="1">
        <f t="shared" si="24"/>
        <v>540</v>
      </c>
      <c r="M179" s="1">
        <v>1407</v>
      </c>
      <c r="N179" s="1">
        <v>8</v>
      </c>
    </row>
    <row r="180" spans="3:18">
      <c r="C180" s="33">
        <v>15</v>
      </c>
      <c r="D180" s="33">
        <v>240</v>
      </c>
      <c r="H180" s="48">
        <f t="shared" si="23"/>
        <v>56</v>
      </c>
      <c r="I180" s="51" t="s">
        <v>337</v>
      </c>
      <c r="K180" s="1">
        <f t="shared" si="22"/>
        <v>0</v>
      </c>
      <c r="L180" s="1">
        <f t="shared" si="24"/>
        <v>540</v>
      </c>
      <c r="M180" s="1">
        <v>1753</v>
      </c>
      <c r="N180" s="1">
        <v>8</v>
      </c>
    </row>
    <row r="181" spans="3:18">
      <c r="C181" s="33">
        <v>16</v>
      </c>
      <c r="D181" s="33">
        <v>270</v>
      </c>
      <c r="H181" s="48">
        <f>$R$174</f>
        <v>61</v>
      </c>
      <c r="I181" s="51" t="s">
        <v>324</v>
      </c>
      <c r="K181" s="1">
        <f t="shared" si="22"/>
        <v>0</v>
      </c>
      <c r="L181" s="1">
        <f t="shared" si="24"/>
        <v>540</v>
      </c>
      <c r="M181" s="1">
        <v>1326</v>
      </c>
      <c r="N181" s="1">
        <v>8</v>
      </c>
    </row>
    <row r="182" spans="3:18">
      <c r="C182" s="33">
        <v>17</v>
      </c>
      <c r="D182" s="33">
        <v>280</v>
      </c>
      <c r="H182" s="48">
        <f t="shared" ref="H182:H187" si="25">$R$174</f>
        <v>61</v>
      </c>
      <c r="I182" s="51" t="s">
        <v>325</v>
      </c>
      <c r="K182" s="1">
        <f t="shared" si="22"/>
        <v>0</v>
      </c>
      <c r="L182" s="1">
        <f t="shared" si="24"/>
        <v>540</v>
      </c>
      <c r="M182" s="1">
        <v>1431</v>
      </c>
      <c r="N182" s="1">
        <v>8</v>
      </c>
    </row>
    <row r="183" spans="3:18">
      <c r="C183" s="33">
        <v>18</v>
      </c>
      <c r="D183" s="33">
        <v>290</v>
      </c>
      <c r="H183" s="48">
        <f t="shared" si="25"/>
        <v>61</v>
      </c>
      <c r="I183" s="51" t="s">
        <v>326</v>
      </c>
      <c r="K183" s="1">
        <f t="shared" si="22"/>
        <v>0</v>
      </c>
      <c r="L183" s="1">
        <f t="shared" si="24"/>
        <v>540</v>
      </c>
      <c r="M183" s="1">
        <v>1248</v>
      </c>
      <c r="N183" s="1">
        <v>8</v>
      </c>
    </row>
    <row r="184" spans="3:18">
      <c r="C184" s="33">
        <v>19</v>
      </c>
      <c r="D184" s="33">
        <v>290</v>
      </c>
      <c r="H184" s="48">
        <f t="shared" si="25"/>
        <v>61</v>
      </c>
      <c r="I184" s="51" t="s">
        <v>327</v>
      </c>
      <c r="K184" s="1">
        <f t="shared" si="22"/>
        <v>0</v>
      </c>
      <c r="L184" s="1">
        <f>2*300</f>
        <v>600</v>
      </c>
      <c r="M184" s="1">
        <v>1804</v>
      </c>
      <c r="N184" s="1">
        <v>8</v>
      </c>
    </row>
    <row r="185" spans="3:18">
      <c r="C185" s="33">
        <v>20</v>
      </c>
      <c r="D185" s="33">
        <v>300</v>
      </c>
      <c r="H185" s="48">
        <f t="shared" si="25"/>
        <v>61</v>
      </c>
      <c r="I185" s="51" t="s">
        <v>328</v>
      </c>
      <c r="K185" s="1">
        <f t="shared" si="22"/>
        <v>0</v>
      </c>
      <c r="L185" s="1">
        <f>2*300</f>
        <v>600</v>
      </c>
      <c r="M185" s="1">
        <v>1476</v>
      </c>
      <c r="N185" s="1">
        <v>8</v>
      </c>
    </row>
    <row r="186" spans="3:18">
      <c r="C186" s="33">
        <v>21</v>
      </c>
      <c r="D186" s="33">
        <v>310</v>
      </c>
      <c r="H186" s="48">
        <f t="shared" si="25"/>
        <v>61</v>
      </c>
      <c r="I186" s="51" t="s">
        <v>329</v>
      </c>
      <c r="K186" s="1">
        <f t="shared" si="22"/>
        <v>0</v>
      </c>
      <c r="L186" s="1">
        <f>2*300</f>
        <v>600</v>
      </c>
      <c r="M186" s="1">
        <v>1613</v>
      </c>
      <c r="N186" s="1">
        <v>8</v>
      </c>
    </row>
    <row r="187" spans="3:18">
      <c r="C187" s="33">
        <v>22</v>
      </c>
      <c r="D187" s="33">
        <v>320</v>
      </c>
      <c r="H187" s="48">
        <f t="shared" si="25"/>
        <v>61</v>
      </c>
      <c r="I187" s="51" t="s">
        <v>330</v>
      </c>
      <c r="J187" s="1">
        <f>122*5</f>
        <v>610</v>
      </c>
      <c r="K187" s="1">
        <f>J187/5</f>
        <v>122</v>
      </c>
      <c r="L187" s="1">
        <f>2*300</f>
        <v>600</v>
      </c>
      <c r="M187" s="1">
        <v>1953</v>
      </c>
      <c r="N187" s="1">
        <v>8</v>
      </c>
    </row>
    <row r="188" spans="3:18">
      <c r="C188" s="33">
        <v>23</v>
      </c>
      <c r="D188" s="33">
        <v>330</v>
      </c>
      <c r="H188" s="48"/>
    </row>
    <row r="189" spans="3:18">
      <c r="C189" s="33">
        <v>24</v>
      </c>
      <c r="D189" s="33">
        <v>340</v>
      </c>
      <c r="H189" s="48"/>
      <c r="J189" s="2" t="s">
        <v>286</v>
      </c>
      <c r="K189" s="2" t="s">
        <v>338</v>
      </c>
      <c r="L189" s="2" t="s">
        <v>301</v>
      </c>
      <c r="M189" s="2" t="s">
        <v>302</v>
      </c>
      <c r="N189" s="2" t="s">
        <v>303</v>
      </c>
    </row>
    <row r="190" spans="3:18">
      <c r="C190" s="33">
        <v>25</v>
      </c>
      <c r="D190" s="33">
        <v>350</v>
      </c>
      <c r="H190" s="48">
        <f>$R$175</f>
        <v>66</v>
      </c>
      <c r="I190" s="51" t="s">
        <v>317</v>
      </c>
      <c r="J190" s="1">
        <f>124*5</f>
        <v>620</v>
      </c>
      <c r="K190" s="1">
        <f>J190/5</f>
        <v>124</v>
      </c>
      <c r="L190" s="1">
        <f>2*300</f>
        <v>600</v>
      </c>
      <c r="M190" s="1">
        <v>1396</v>
      </c>
      <c r="N190" s="1">
        <v>10</v>
      </c>
    </row>
    <row r="191" spans="3:18">
      <c r="C191" s="33">
        <v>26</v>
      </c>
      <c r="D191" s="33">
        <v>360</v>
      </c>
      <c r="H191" s="48">
        <f t="shared" ref="H191:H196" si="26">$R$175</f>
        <v>66</v>
      </c>
      <c r="I191" s="51" t="s">
        <v>318</v>
      </c>
      <c r="J191" s="1">
        <f>127*5</f>
        <v>635</v>
      </c>
      <c r="K191" s="1">
        <f t="shared" ref="K191:K203" si="27">J191/5</f>
        <v>127</v>
      </c>
      <c r="L191" s="1">
        <f>2*300+1*60</f>
        <v>660</v>
      </c>
      <c r="M191" s="1">
        <v>1325</v>
      </c>
      <c r="N191" s="1">
        <v>10</v>
      </c>
    </row>
    <row r="192" spans="3:18">
      <c r="C192" s="33">
        <v>27</v>
      </c>
      <c r="D192" s="33">
        <v>370</v>
      </c>
      <c r="H192" s="48">
        <f t="shared" si="26"/>
        <v>66</v>
      </c>
      <c r="I192" s="51" t="s">
        <v>319</v>
      </c>
      <c r="J192" s="1">
        <f>129*5</f>
        <v>645</v>
      </c>
      <c r="K192" s="1">
        <f t="shared" si="27"/>
        <v>129</v>
      </c>
      <c r="L192" s="1">
        <f>2*300+1*60</f>
        <v>660</v>
      </c>
      <c r="M192" s="1">
        <v>1612</v>
      </c>
      <c r="N192" s="1">
        <v>10</v>
      </c>
    </row>
    <row r="193" spans="3:14">
      <c r="C193" s="33">
        <v>28</v>
      </c>
      <c r="D193" s="33">
        <v>380</v>
      </c>
      <c r="H193" s="48">
        <f t="shared" si="26"/>
        <v>66</v>
      </c>
      <c r="I193" s="51" t="s">
        <v>320</v>
      </c>
      <c r="J193" s="1">
        <f>131*5</f>
        <v>655</v>
      </c>
      <c r="K193" s="1">
        <f t="shared" si="27"/>
        <v>131</v>
      </c>
      <c r="L193" s="1">
        <f>2*300+1*60</f>
        <v>660</v>
      </c>
      <c r="M193" s="1">
        <v>2004</v>
      </c>
      <c r="N193" s="1">
        <v>10</v>
      </c>
    </row>
    <row r="194" spans="3:14">
      <c r="C194" s="33">
        <v>29</v>
      </c>
      <c r="D194" s="33">
        <v>390</v>
      </c>
      <c r="H194" s="48">
        <f t="shared" si="26"/>
        <v>66</v>
      </c>
      <c r="I194" s="51" t="s">
        <v>321</v>
      </c>
      <c r="J194" s="1">
        <f>134*5</f>
        <v>670</v>
      </c>
      <c r="K194" s="1">
        <f t="shared" si="27"/>
        <v>134</v>
      </c>
      <c r="L194" s="1">
        <f>2*300+1*60</f>
        <v>660</v>
      </c>
      <c r="M194" s="1">
        <v>1682</v>
      </c>
      <c r="N194" s="1">
        <v>10</v>
      </c>
    </row>
    <row r="195" spans="3:14">
      <c r="C195" s="33">
        <v>30</v>
      </c>
      <c r="D195" s="33">
        <v>400</v>
      </c>
      <c r="H195" s="48">
        <f t="shared" si="26"/>
        <v>66</v>
      </c>
      <c r="I195" s="51" t="s">
        <v>322</v>
      </c>
      <c r="J195" s="1">
        <f>137*5</f>
        <v>685</v>
      </c>
      <c r="K195" s="1">
        <f t="shared" si="27"/>
        <v>137</v>
      </c>
      <c r="L195" s="1">
        <f>2*300+1*60</f>
        <v>660</v>
      </c>
      <c r="M195" s="1">
        <v>1657</v>
      </c>
      <c r="N195" s="1">
        <v>10</v>
      </c>
    </row>
    <row r="196" spans="3:14">
      <c r="C196" s="33">
        <v>31</v>
      </c>
      <c r="D196" s="33">
        <v>530</v>
      </c>
      <c r="H196" s="48">
        <f t="shared" si="26"/>
        <v>66</v>
      </c>
      <c r="I196" s="51" t="s">
        <v>323</v>
      </c>
      <c r="J196" s="1">
        <f>141*5</f>
        <v>705</v>
      </c>
      <c r="K196" s="1">
        <f t="shared" si="27"/>
        <v>141</v>
      </c>
      <c r="L196" s="1">
        <f>2*300+2*60</f>
        <v>720</v>
      </c>
      <c r="M196" s="1">
        <v>1362</v>
      </c>
      <c r="N196" s="1">
        <v>10</v>
      </c>
    </row>
    <row r="197" spans="3:14">
      <c r="C197" s="33">
        <v>32</v>
      </c>
      <c r="D197" s="33">
        <v>680</v>
      </c>
      <c r="H197" s="48">
        <f>$R$176</f>
        <v>71</v>
      </c>
      <c r="I197" s="51" t="s">
        <v>310</v>
      </c>
      <c r="J197" s="1">
        <f>144*5</f>
        <v>720</v>
      </c>
      <c r="K197" s="1">
        <f t="shared" si="27"/>
        <v>144</v>
      </c>
      <c r="L197" s="1">
        <f>2*300+2*60</f>
        <v>720</v>
      </c>
      <c r="M197" s="1">
        <v>1930</v>
      </c>
      <c r="N197" s="1">
        <v>10</v>
      </c>
    </row>
    <row r="198" spans="3:14">
      <c r="C198" s="33">
        <v>33</v>
      </c>
      <c r="D198" s="33">
        <v>830</v>
      </c>
      <c r="H198" s="48">
        <f t="shared" ref="H198:H203" si="28">$R$176</f>
        <v>71</v>
      </c>
      <c r="I198" s="51" t="s">
        <v>311</v>
      </c>
      <c r="J198" s="1">
        <f>147*5</f>
        <v>735</v>
      </c>
      <c r="K198" s="1">
        <f t="shared" si="27"/>
        <v>147</v>
      </c>
      <c r="L198" s="1">
        <f>2*300+2*60</f>
        <v>720</v>
      </c>
      <c r="M198" s="1">
        <v>1134</v>
      </c>
      <c r="N198" s="1">
        <v>10</v>
      </c>
    </row>
    <row r="199" spans="3:14">
      <c r="C199" s="33">
        <v>34</v>
      </c>
      <c r="D199" s="33">
        <v>980</v>
      </c>
      <c r="H199" s="48">
        <f t="shared" si="28"/>
        <v>71</v>
      </c>
      <c r="I199" s="51" t="s">
        <v>312</v>
      </c>
      <c r="J199" s="1">
        <f>149*5</f>
        <v>745</v>
      </c>
      <c r="K199" s="1">
        <f t="shared" si="27"/>
        <v>149</v>
      </c>
      <c r="L199" s="1">
        <f>2*300+2*60</f>
        <v>720</v>
      </c>
      <c r="M199" s="1">
        <v>1753</v>
      </c>
      <c r="N199" s="1">
        <v>10</v>
      </c>
    </row>
    <row r="200" spans="3:14">
      <c r="C200" s="33">
        <v>35</v>
      </c>
      <c r="D200" s="33">
        <v>1100</v>
      </c>
      <c r="H200" s="48">
        <f t="shared" si="28"/>
        <v>71</v>
      </c>
      <c r="I200" s="51" t="s">
        <v>313</v>
      </c>
      <c r="J200" s="1">
        <f>153*5</f>
        <v>765</v>
      </c>
      <c r="K200" s="1">
        <f t="shared" si="27"/>
        <v>153</v>
      </c>
      <c r="L200" s="1">
        <f>2*300+3*60</f>
        <v>780</v>
      </c>
      <c r="M200" s="1">
        <v>1878</v>
      </c>
      <c r="N200" s="1">
        <v>10</v>
      </c>
    </row>
    <row r="201" spans="3:14">
      <c r="C201" s="33">
        <v>36</v>
      </c>
      <c r="D201" s="33">
        <v>1400</v>
      </c>
      <c r="H201" s="48">
        <f t="shared" si="28"/>
        <v>71</v>
      </c>
      <c r="I201" s="51" t="s">
        <v>314</v>
      </c>
      <c r="J201" s="1">
        <f>157*5</f>
        <v>785</v>
      </c>
      <c r="K201" s="1">
        <f t="shared" si="27"/>
        <v>157</v>
      </c>
      <c r="L201" s="1">
        <f>2*300+3*60</f>
        <v>780</v>
      </c>
      <c r="M201" s="1">
        <v>1647</v>
      </c>
      <c r="N201" s="1">
        <v>10</v>
      </c>
    </row>
    <row r="202" spans="3:14">
      <c r="C202" s="33">
        <v>37</v>
      </c>
      <c r="D202" s="33">
        <v>1700</v>
      </c>
      <c r="H202" s="48">
        <f t="shared" si="28"/>
        <v>71</v>
      </c>
      <c r="I202" s="51" t="s">
        <v>315</v>
      </c>
      <c r="J202" s="1">
        <f>160*5</f>
        <v>800</v>
      </c>
      <c r="K202" s="1">
        <f t="shared" si="27"/>
        <v>160</v>
      </c>
      <c r="L202" s="1">
        <f>300*2+60*3</f>
        <v>780</v>
      </c>
      <c r="M202" s="1">
        <v>1317</v>
      </c>
      <c r="N202" s="1">
        <v>10</v>
      </c>
    </row>
    <row r="203" spans="3:14">
      <c r="C203" s="33">
        <v>38</v>
      </c>
      <c r="D203" s="33">
        <v>2000</v>
      </c>
      <c r="H203" s="48">
        <f t="shared" si="28"/>
        <v>71</v>
      </c>
      <c r="I203" s="51" t="s">
        <v>316</v>
      </c>
      <c r="J203" s="1">
        <f>162*5</f>
        <v>810</v>
      </c>
      <c r="K203" s="1">
        <f t="shared" si="27"/>
        <v>162</v>
      </c>
      <c r="L203" s="1">
        <f>300*2+60*4</f>
        <v>840</v>
      </c>
      <c r="M203" s="1">
        <v>1346</v>
      </c>
      <c r="N203" s="1">
        <v>10</v>
      </c>
    </row>
    <row r="204" spans="3:14">
      <c r="C204" s="33">
        <v>39</v>
      </c>
      <c r="D204" s="33">
        <v>2300</v>
      </c>
    </row>
    <row r="205" spans="3:14">
      <c r="C205" s="33">
        <v>40</v>
      </c>
      <c r="D205" s="33">
        <v>2600</v>
      </c>
    </row>
    <row r="206" spans="3:14">
      <c r="C206" s="33">
        <v>41</v>
      </c>
      <c r="D206" s="33">
        <v>3000</v>
      </c>
    </row>
    <row r="207" spans="3:14">
      <c r="C207" s="33">
        <v>42</v>
      </c>
      <c r="D207" s="33">
        <v>3300</v>
      </c>
    </row>
    <row r="208" spans="3:14">
      <c r="C208" s="33">
        <v>43</v>
      </c>
      <c r="D208" s="33">
        <v>3700</v>
      </c>
    </row>
    <row r="209" spans="3:4">
      <c r="C209" s="33">
        <v>44</v>
      </c>
      <c r="D209" s="33">
        <v>4100</v>
      </c>
    </row>
    <row r="210" spans="3:4">
      <c r="C210" s="33">
        <v>45</v>
      </c>
      <c r="D210" s="33">
        <v>4500</v>
      </c>
    </row>
    <row r="211" spans="3:4">
      <c r="C211" s="33">
        <v>46</v>
      </c>
      <c r="D211" s="33">
        <v>5000</v>
      </c>
    </row>
    <row r="212" spans="3:4">
      <c r="C212" s="33">
        <v>47</v>
      </c>
      <c r="D212" s="33">
        <v>5400</v>
      </c>
    </row>
    <row r="213" spans="3:4">
      <c r="C213" s="33">
        <v>48</v>
      </c>
      <c r="D213" s="33">
        <v>5900</v>
      </c>
    </row>
    <row r="214" spans="3:4">
      <c r="C214" s="33">
        <v>49</v>
      </c>
      <c r="D214" s="33">
        <v>6400</v>
      </c>
    </row>
    <row r="215" spans="3:4">
      <c r="C215" s="33">
        <v>50</v>
      </c>
      <c r="D215" s="33">
        <v>7000</v>
      </c>
    </row>
    <row r="216" spans="3:4">
      <c r="C216" s="33">
        <v>51</v>
      </c>
      <c r="D216" s="33">
        <v>7500</v>
      </c>
    </row>
    <row r="217" spans="3:4">
      <c r="C217" s="33">
        <v>52</v>
      </c>
      <c r="D217" s="33">
        <v>8100</v>
      </c>
    </row>
    <row r="218" spans="3:4">
      <c r="C218" s="33">
        <v>53</v>
      </c>
      <c r="D218" s="33">
        <v>8700</v>
      </c>
    </row>
    <row r="219" spans="3:4">
      <c r="C219" s="33">
        <v>54</v>
      </c>
      <c r="D219" s="33">
        <v>9300</v>
      </c>
    </row>
    <row r="220" spans="3:4">
      <c r="C220" s="33">
        <v>55</v>
      </c>
      <c r="D220" s="33">
        <v>10000</v>
      </c>
    </row>
    <row r="221" spans="3:4">
      <c r="C221" s="33">
        <v>56</v>
      </c>
      <c r="D221" s="33">
        <v>11000</v>
      </c>
    </row>
    <row r="222" spans="3:4">
      <c r="C222" s="33">
        <v>57</v>
      </c>
      <c r="D222" s="33">
        <v>11000</v>
      </c>
    </row>
    <row r="223" spans="3:4">
      <c r="C223" s="33">
        <v>58</v>
      </c>
      <c r="D223" s="33">
        <v>12000</v>
      </c>
    </row>
    <row r="224" spans="3:4">
      <c r="C224" s="33">
        <v>59</v>
      </c>
      <c r="D224" s="33">
        <v>13000</v>
      </c>
    </row>
    <row r="225" spans="3:4">
      <c r="C225" s="33">
        <v>60</v>
      </c>
      <c r="D225" s="33">
        <v>14000</v>
      </c>
    </row>
    <row r="226" spans="3:4">
      <c r="C226" s="33">
        <v>61</v>
      </c>
      <c r="D226" s="33">
        <v>15000</v>
      </c>
    </row>
    <row r="227" spans="3:4">
      <c r="C227" s="33">
        <v>62</v>
      </c>
      <c r="D227" s="33">
        <v>15000</v>
      </c>
    </row>
    <row r="228" spans="3:4">
      <c r="C228" s="33">
        <v>63</v>
      </c>
      <c r="D228" s="33">
        <v>16000</v>
      </c>
    </row>
    <row r="229" spans="3:4">
      <c r="C229" s="33">
        <v>64</v>
      </c>
      <c r="D229" s="33">
        <v>17000</v>
      </c>
    </row>
    <row r="230" spans="3:4">
      <c r="C230" s="33">
        <v>65</v>
      </c>
      <c r="D230" s="33">
        <v>18000</v>
      </c>
    </row>
    <row r="231" spans="3:4">
      <c r="C231" s="33">
        <v>66</v>
      </c>
      <c r="D231" s="33">
        <v>20000</v>
      </c>
    </row>
    <row r="232" spans="3:4">
      <c r="C232" s="33">
        <v>67</v>
      </c>
      <c r="D232" s="33">
        <v>21000</v>
      </c>
    </row>
    <row r="233" spans="3:4">
      <c r="C233" s="33">
        <v>68</v>
      </c>
      <c r="D233" s="33">
        <v>22000</v>
      </c>
    </row>
    <row r="234" spans="3:4">
      <c r="C234" s="33">
        <v>69</v>
      </c>
      <c r="D234" s="33">
        <v>23000</v>
      </c>
    </row>
    <row r="235" spans="3:4">
      <c r="C235" s="33">
        <v>70</v>
      </c>
      <c r="D235" s="33">
        <v>24000</v>
      </c>
    </row>
    <row r="236" spans="3:4">
      <c r="C236" s="33">
        <v>71</v>
      </c>
      <c r="D236" s="33">
        <v>26000</v>
      </c>
    </row>
    <row r="237" spans="3:4">
      <c r="C237" s="33">
        <v>72</v>
      </c>
      <c r="D237" s="33">
        <v>27000</v>
      </c>
    </row>
    <row r="238" spans="3:4">
      <c r="C238" s="33">
        <v>73</v>
      </c>
      <c r="D238" s="33">
        <v>28000</v>
      </c>
    </row>
    <row r="239" spans="3:4">
      <c r="C239" s="33">
        <v>74</v>
      </c>
      <c r="D239" s="33">
        <v>30000</v>
      </c>
    </row>
    <row r="240" spans="3:4">
      <c r="C240" s="33">
        <v>75</v>
      </c>
      <c r="D240" s="33">
        <v>31000</v>
      </c>
    </row>
    <row r="241" spans="3:4">
      <c r="C241" s="33">
        <v>76</v>
      </c>
      <c r="D241" s="33">
        <v>33000</v>
      </c>
    </row>
    <row r="242" spans="3:4">
      <c r="C242" s="33">
        <v>77</v>
      </c>
      <c r="D242" s="33">
        <v>35000</v>
      </c>
    </row>
    <row r="243" spans="3:4">
      <c r="C243" s="33">
        <v>78</v>
      </c>
      <c r="D243" s="33">
        <v>36000</v>
      </c>
    </row>
    <row r="244" spans="3:4">
      <c r="C244" s="33">
        <v>79</v>
      </c>
      <c r="D244" s="33">
        <v>38000</v>
      </c>
    </row>
    <row r="245" spans="3:4">
      <c r="C245" s="33">
        <v>80</v>
      </c>
      <c r="D245" s="33">
        <v>40000</v>
      </c>
    </row>
    <row r="246" spans="3:4">
      <c r="C246" s="33">
        <v>81</v>
      </c>
      <c r="D246" s="33">
        <v>42000</v>
      </c>
    </row>
    <row r="247" spans="3:4">
      <c r="C247" s="33">
        <v>82</v>
      </c>
      <c r="D247" s="33">
        <v>44000</v>
      </c>
    </row>
    <row r="248" spans="3:4">
      <c r="C248" s="33">
        <v>83</v>
      </c>
      <c r="D248" s="33">
        <v>46000</v>
      </c>
    </row>
    <row r="249" spans="3:4">
      <c r="C249" s="33">
        <v>84</v>
      </c>
      <c r="D249" s="33">
        <v>48000</v>
      </c>
    </row>
    <row r="250" spans="3:4">
      <c r="C250" s="33">
        <v>85</v>
      </c>
      <c r="D250" s="33">
        <v>51000</v>
      </c>
    </row>
    <row r="251" spans="3:4">
      <c r="C251" s="33">
        <v>86</v>
      </c>
      <c r="D251" s="33">
        <v>53000</v>
      </c>
    </row>
    <row r="252" spans="3:4">
      <c r="C252" s="33">
        <v>87</v>
      </c>
      <c r="D252" s="33">
        <v>55000</v>
      </c>
    </row>
    <row r="253" spans="3:4">
      <c r="C253" s="33">
        <v>88</v>
      </c>
      <c r="D253" s="33">
        <v>57000</v>
      </c>
    </row>
    <row r="254" spans="3:4">
      <c r="C254" s="33">
        <v>89</v>
      </c>
      <c r="D254" s="33">
        <v>59000</v>
      </c>
    </row>
    <row r="255" spans="3:4">
      <c r="C255" s="33">
        <v>90</v>
      </c>
      <c r="D255" s="33">
        <v>61000</v>
      </c>
    </row>
    <row r="256" spans="3:4">
      <c r="C256" s="33" t="s">
        <v>214</v>
      </c>
      <c r="D256" s="34">
        <v>1205095</v>
      </c>
    </row>
    <row r="261" spans="2:24">
      <c r="B261" s="2" t="s">
        <v>247</v>
      </c>
      <c r="C261" s="38"/>
      <c r="H261" s="2" t="s">
        <v>248</v>
      </c>
      <c r="P261" s="2" t="s">
        <v>250</v>
      </c>
    </row>
    <row r="262" spans="2:24">
      <c r="C262" s="41" t="s">
        <v>225</v>
      </c>
      <c r="D262" s="2" t="s">
        <v>224</v>
      </c>
      <c r="E262" s="2" t="s">
        <v>246</v>
      </c>
      <c r="F262" s="2" t="s">
        <v>244</v>
      </c>
      <c r="J262" s="2" t="s">
        <v>252</v>
      </c>
      <c r="K262" s="2" t="s">
        <v>256</v>
      </c>
      <c r="L262" s="2" t="s">
        <v>253</v>
      </c>
      <c r="M262" s="2" t="s">
        <v>254</v>
      </c>
      <c r="N262" s="2" t="s">
        <v>255</v>
      </c>
      <c r="Q262" s="2" t="s">
        <v>252</v>
      </c>
      <c r="R262" s="43" t="s">
        <v>257</v>
      </c>
      <c r="S262" s="2" t="s">
        <v>256</v>
      </c>
      <c r="T262" s="2" t="s">
        <v>253</v>
      </c>
      <c r="U262" s="43" t="s">
        <v>257</v>
      </c>
      <c r="V262" s="2" t="s">
        <v>254</v>
      </c>
      <c r="W262" s="43" t="s">
        <v>257</v>
      </c>
      <c r="X262" s="2" t="s">
        <v>255</v>
      </c>
    </row>
    <row r="263" spans="2:24">
      <c r="C263" s="40">
        <v>1</v>
      </c>
      <c r="D263" s="1">
        <v>550</v>
      </c>
      <c r="E263" s="1">
        <v>100000</v>
      </c>
      <c r="F263" s="1">
        <v>800</v>
      </c>
      <c r="J263" s="1">
        <v>5000</v>
      </c>
      <c r="K263" s="1" t="s">
        <v>251</v>
      </c>
      <c r="L263" s="1">
        <v>1500</v>
      </c>
      <c r="M263" s="1">
        <v>1</v>
      </c>
      <c r="N263" s="1">
        <v>10</v>
      </c>
      <c r="Q263" s="1">
        <f t="shared" ref="Q263:Q269" si="29">J263*2</f>
        <v>10000</v>
      </c>
      <c r="R263" s="44" t="s">
        <v>249</v>
      </c>
      <c r="S263" s="1" t="s">
        <v>251</v>
      </c>
      <c r="T263" s="1">
        <f t="shared" ref="T263:T268" si="30">L263*2</f>
        <v>3000</v>
      </c>
      <c r="U263" s="44" t="s">
        <v>263</v>
      </c>
      <c r="V263" s="1">
        <f t="shared" ref="V263:V268" si="31">M263*2</f>
        <v>2</v>
      </c>
      <c r="W263" s="44" t="s">
        <v>268</v>
      </c>
      <c r="X263" s="1">
        <f t="shared" ref="X263:X268" si="32">N263</f>
        <v>10</v>
      </c>
    </row>
    <row r="264" spans="2:24">
      <c r="C264" s="40">
        <v>2</v>
      </c>
      <c r="D264" s="1">
        <v>500</v>
      </c>
      <c r="E264" s="1">
        <v>95000</v>
      </c>
      <c r="F264" s="1">
        <v>775</v>
      </c>
      <c r="J264" s="1">
        <v>10000</v>
      </c>
      <c r="K264" s="1">
        <v>40</v>
      </c>
      <c r="L264" s="1">
        <v>3000</v>
      </c>
      <c r="M264" s="1">
        <v>2</v>
      </c>
      <c r="N264" s="1">
        <v>20</v>
      </c>
      <c r="Q264" s="1">
        <f t="shared" si="29"/>
        <v>20000</v>
      </c>
      <c r="R264" s="44" t="s">
        <v>258</v>
      </c>
      <c r="S264" s="1">
        <f>K264</f>
        <v>40</v>
      </c>
      <c r="T264" s="1">
        <f t="shared" si="30"/>
        <v>6000</v>
      </c>
      <c r="U264" s="44" t="s">
        <v>264</v>
      </c>
      <c r="V264" s="1">
        <f t="shared" si="31"/>
        <v>4</v>
      </c>
      <c r="W264" s="44" t="s">
        <v>269</v>
      </c>
      <c r="X264" s="1">
        <f t="shared" si="32"/>
        <v>20</v>
      </c>
    </row>
    <row r="265" spans="2:24">
      <c r="C265" s="40">
        <v>3</v>
      </c>
      <c r="D265" s="1">
        <v>450</v>
      </c>
      <c r="E265" s="1">
        <v>90000</v>
      </c>
      <c r="F265" s="1">
        <v>750</v>
      </c>
      <c r="J265" s="1">
        <v>15000</v>
      </c>
      <c r="K265" s="1">
        <v>60</v>
      </c>
      <c r="L265" s="1">
        <v>4500</v>
      </c>
      <c r="M265" s="1">
        <v>3</v>
      </c>
      <c r="N265" s="1">
        <v>60</v>
      </c>
      <c r="Q265" s="1">
        <f t="shared" si="29"/>
        <v>30000</v>
      </c>
      <c r="R265" s="44" t="s">
        <v>259</v>
      </c>
      <c r="S265" s="1">
        <f>K265</f>
        <v>60</v>
      </c>
      <c r="T265" s="1">
        <f t="shared" si="30"/>
        <v>9000</v>
      </c>
      <c r="U265" s="44" t="s">
        <v>265</v>
      </c>
      <c r="V265" s="1">
        <f t="shared" si="31"/>
        <v>6</v>
      </c>
      <c r="W265" s="44" t="s">
        <v>270</v>
      </c>
      <c r="X265" s="1">
        <f t="shared" si="32"/>
        <v>60</v>
      </c>
    </row>
    <row r="266" spans="2:24">
      <c r="C266" s="40">
        <v>4</v>
      </c>
      <c r="D266" s="1">
        <v>400</v>
      </c>
      <c r="E266" s="1">
        <v>85000</v>
      </c>
      <c r="F266" s="1">
        <v>725</v>
      </c>
      <c r="J266" s="1">
        <v>20000</v>
      </c>
      <c r="K266" s="1">
        <v>80</v>
      </c>
      <c r="L266" s="1">
        <v>6000</v>
      </c>
      <c r="M266" s="1">
        <v>4</v>
      </c>
      <c r="N266" s="1">
        <v>120</v>
      </c>
      <c r="Q266" s="1">
        <f t="shared" si="29"/>
        <v>40000</v>
      </c>
      <c r="R266" s="44" t="s">
        <v>260</v>
      </c>
      <c r="S266" s="1">
        <f>K266</f>
        <v>80</v>
      </c>
      <c r="T266" s="1">
        <f t="shared" si="30"/>
        <v>12000</v>
      </c>
      <c r="U266" s="44" t="s">
        <v>266</v>
      </c>
      <c r="V266" s="1">
        <f t="shared" si="31"/>
        <v>8</v>
      </c>
      <c r="W266" s="44" t="s">
        <v>271</v>
      </c>
      <c r="X266" s="1">
        <f t="shared" si="32"/>
        <v>120</v>
      </c>
    </row>
    <row r="267" spans="2:24">
      <c r="C267" s="40">
        <v>5</v>
      </c>
      <c r="D267" s="1">
        <v>350</v>
      </c>
      <c r="E267" s="1">
        <v>80000</v>
      </c>
      <c r="F267" s="1">
        <v>700</v>
      </c>
      <c r="J267" s="1">
        <v>40000</v>
      </c>
      <c r="K267" s="1">
        <v>100</v>
      </c>
      <c r="L267" s="1">
        <v>7500</v>
      </c>
      <c r="M267" s="1">
        <v>6</v>
      </c>
      <c r="N267" s="1">
        <v>200</v>
      </c>
      <c r="Q267" s="1">
        <f t="shared" si="29"/>
        <v>80000</v>
      </c>
      <c r="R267" s="44" t="s">
        <v>261</v>
      </c>
      <c r="S267" s="1">
        <f>K267</f>
        <v>100</v>
      </c>
      <c r="T267" s="1">
        <f t="shared" si="30"/>
        <v>15000</v>
      </c>
      <c r="U267" s="44" t="s">
        <v>267</v>
      </c>
      <c r="V267" s="1">
        <f t="shared" si="31"/>
        <v>12</v>
      </c>
      <c r="W267" s="44" t="s">
        <v>262</v>
      </c>
      <c r="X267" s="1">
        <f t="shared" si="32"/>
        <v>200</v>
      </c>
    </row>
    <row r="268" spans="2:24">
      <c r="C268" s="40">
        <v>6</v>
      </c>
      <c r="D268" s="1">
        <v>340</v>
      </c>
      <c r="E268" s="1">
        <v>75000</v>
      </c>
      <c r="F268" s="1">
        <v>680</v>
      </c>
      <c r="J268" s="1">
        <v>50000</v>
      </c>
      <c r="K268" s="1">
        <v>120</v>
      </c>
      <c r="L268" s="1">
        <v>7500</v>
      </c>
      <c r="M268" s="1">
        <v>8</v>
      </c>
      <c r="N268" s="1">
        <v>400</v>
      </c>
      <c r="Q268" s="1">
        <f t="shared" si="29"/>
        <v>100000</v>
      </c>
      <c r="R268" s="44" t="s">
        <v>262</v>
      </c>
      <c r="S268" s="1">
        <f>K268</f>
        <v>120</v>
      </c>
      <c r="T268" s="1">
        <f t="shared" si="30"/>
        <v>15000</v>
      </c>
      <c r="U268" s="44" t="s">
        <v>262</v>
      </c>
      <c r="V268" s="1">
        <f t="shared" si="31"/>
        <v>16</v>
      </c>
      <c r="W268" s="44" t="s">
        <v>262</v>
      </c>
      <c r="X268" s="1">
        <f t="shared" si="32"/>
        <v>400</v>
      </c>
    </row>
    <row r="269" spans="2:24">
      <c r="C269" s="40">
        <v>7</v>
      </c>
      <c r="D269" s="1">
        <v>330</v>
      </c>
      <c r="E269" s="1">
        <v>70000</v>
      </c>
      <c r="F269" s="1">
        <v>660</v>
      </c>
      <c r="J269" s="1">
        <v>50000</v>
      </c>
      <c r="Q269" s="1">
        <f t="shared" si="29"/>
        <v>100000</v>
      </c>
      <c r="R269" s="44" t="s">
        <v>262</v>
      </c>
    </row>
    <row r="270" spans="2:24">
      <c r="C270" s="40">
        <v>8</v>
      </c>
      <c r="D270" s="1">
        <v>320</v>
      </c>
      <c r="E270" s="1">
        <v>65000</v>
      </c>
      <c r="F270" s="1">
        <v>640</v>
      </c>
      <c r="R270" s="42"/>
      <c r="U270" s="42"/>
      <c r="W270" s="42"/>
    </row>
    <row r="271" spans="2:24">
      <c r="C271" s="40">
        <v>9</v>
      </c>
      <c r="D271" s="1">
        <v>310</v>
      </c>
      <c r="E271" s="1">
        <v>60000</v>
      </c>
      <c r="F271" s="1">
        <v>620</v>
      </c>
    </row>
    <row r="272" spans="2:24">
      <c r="C272" s="40">
        <v>10</v>
      </c>
      <c r="D272" s="1">
        <v>300</v>
      </c>
      <c r="E272" s="1">
        <v>55000</v>
      </c>
      <c r="F272" s="1">
        <v>600</v>
      </c>
      <c r="R272" s="42"/>
      <c r="U272" s="42"/>
      <c r="W272" s="42"/>
    </row>
    <row r="273" spans="3:18">
      <c r="C273" s="40" t="s">
        <v>226</v>
      </c>
      <c r="D273" s="1">
        <v>250</v>
      </c>
      <c r="E273" s="1">
        <v>50000</v>
      </c>
      <c r="F273" s="1">
        <v>590</v>
      </c>
    </row>
    <row r="274" spans="3:18">
      <c r="C274" s="40" t="s">
        <v>227</v>
      </c>
      <c r="D274" s="1">
        <v>200</v>
      </c>
      <c r="E274" s="1">
        <v>45000</v>
      </c>
      <c r="F274" s="1">
        <v>575</v>
      </c>
      <c r="R274" s="42"/>
    </row>
    <row r="275" spans="3:18">
      <c r="C275" s="40" t="s">
        <v>228</v>
      </c>
      <c r="D275" s="1">
        <v>150</v>
      </c>
      <c r="E275" s="1">
        <v>40000</v>
      </c>
      <c r="F275" s="1">
        <v>560</v>
      </c>
    </row>
    <row r="276" spans="3:18">
      <c r="C276" s="40" t="s">
        <v>229</v>
      </c>
      <c r="D276" s="1">
        <v>130</v>
      </c>
      <c r="E276" s="1">
        <v>35000</v>
      </c>
      <c r="F276" s="1">
        <v>545</v>
      </c>
    </row>
    <row r="277" spans="3:18">
      <c r="C277" s="40" t="s">
        <v>230</v>
      </c>
      <c r="D277" s="1">
        <v>110</v>
      </c>
      <c r="E277" s="1">
        <v>30000</v>
      </c>
      <c r="F277" s="1">
        <v>530</v>
      </c>
    </row>
    <row r="278" spans="3:18">
      <c r="C278" s="40" t="s">
        <v>231</v>
      </c>
      <c r="D278" s="1">
        <v>100</v>
      </c>
      <c r="E278" s="1">
        <v>27500</v>
      </c>
      <c r="F278" s="1">
        <v>500</v>
      </c>
    </row>
    <row r="279" spans="3:18">
      <c r="C279" s="40" t="s">
        <v>232</v>
      </c>
      <c r="D279" s="1">
        <v>90</v>
      </c>
      <c r="E279" s="1">
        <v>25000</v>
      </c>
      <c r="F279" s="1">
        <v>475</v>
      </c>
    </row>
    <row r="280" spans="3:18">
      <c r="C280" s="40" t="s">
        <v>233</v>
      </c>
      <c r="D280" s="1">
        <v>80</v>
      </c>
      <c r="E280" s="1">
        <v>22500</v>
      </c>
      <c r="F280" s="1">
        <v>450</v>
      </c>
    </row>
    <row r="281" spans="3:18">
      <c r="C281" s="40" t="s">
        <v>234</v>
      </c>
      <c r="D281" s="1">
        <v>70</v>
      </c>
      <c r="E281" s="1">
        <v>20000</v>
      </c>
      <c r="F281" s="1">
        <v>425</v>
      </c>
    </row>
    <row r="282" spans="3:18">
      <c r="C282" s="40" t="s">
        <v>235</v>
      </c>
      <c r="D282" s="1">
        <v>60</v>
      </c>
      <c r="E282" s="1">
        <v>18000</v>
      </c>
      <c r="F282" s="1">
        <v>400</v>
      </c>
    </row>
    <row r="283" spans="3:18">
      <c r="C283" s="40" t="s">
        <v>236</v>
      </c>
      <c r="D283" s="1">
        <v>55</v>
      </c>
      <c r="E283" s="1">
        <v>16000</v>
      </c>
      <c r="F283" s="1">
        <v>350</v>
      </c>
    </row>
    <row r="284" spans="3:18">
      <c r="C284" s="1" t="s">
        <v>245</v>
      </c>
      <c r="D284" s="1">
        <v>55</v>
      </c>
      <c r="E284" s="1">
        <v>14000</v>
      </c>
      <c r="F284" s="1">
        <v>300</v>
      </c>
    </row>
    <row r="285" spans="3:18">
      <c r="C285" s="40" t="s">
        <v>237</v>
      </c>
      <c r="D285" s="1">
        <v>55</v>
      </c>
      <c r="E285" s="1">
        <v>12000</v>
      </c>
      <c r="F285" s="1">
        <v>260</v>
      </c>
    </row>
    <row r="286" spans="3:18">
      <c r="C286" s="40" t="s">
        <v>238</v>
      </c>
      <c r="D286" s="1">
        <v>50</v>
      </c>
      <c r="E286" s="1">
        <v>10000</v>
      </c>
      <c r="F286" s="1">
        <v>220</v>
      </c>
    </row>
    <row r="287" spans="3:18">
      <c r="C287" s="40" t="s">
        <v>239</v>
      </c>
      <c r="D287" s="1">
        <v>50</v>
      </c>
      <c r="E287" s="1">
        <v>9000</v>
      </c>
      <c r="F287" s="1">
        <v>180</v>
      </c>
    </row>
    <row r="288" spans="3:18">
      <c r="C288" s="40" t="s">
        <v>240</v>
      </c>
      <c r="D288" s="1">
        <v>50</v>
      </c>
      <c r="E288" s="1">
        <v>8000</v>
      </c>
      <c r="F288" s="1">
        <v>140</v>
      </c>
    </row>
    <row r="289" spans="3:6">
      <c r="C289" s="40" t="s">
        <v>241</v>
      </c>
      <c r="D289" s="1">
        <v>45</v>
      </c>
      <c r="E289" s="1">
        <v>7000</v>
      </c>
      <c r="F289" s="1">
        <v>100</v>
      </c>
    </row>
    <row r="290" spans="3:6">
      <c r="C290" s="40" t="s">
        <v>242</v>
      </c>
      <c r="D290" s="1">
        <v>45</v>
      </c>
      <c r="E290" s="1">
        <v>5000</v>
      </c>
      <c r="F290" s="1">
        <v>50</v>
      </c>
    </row>
    <row r="291" spans="3:6">
      <c r="C291" s="40" t="s">
        <v>243</v>
      </c>
      <c r="D291" s="1">
        <v>45</v>
      </c>
      <c r="E291" s="1">
        <v>2500</v>
      </c>
      <c r="F291" s="1">
        <v>0</v>
      </c>
    </row>
  </sheetData>
  <phoneticPr fontId="1"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dimension ref="A1:AG100"/>
  <sheetViews>
    <sheetView zoomScale="85" zoomScaleNormal="85" workbookViewId="0">
      <selection activeCell="F4" sqref="F4:F15"/>
    </sheetView>
  </sheetViews>
  <sheetFormatPr defaultRowHeight="13.5"/>
  <cols>
    <col min="2" max="2" width="14.375" customWidth="1"/>
    <col min="4" max="4" width="11.875" bestFit="1" customWidth="1"/>
    <col min="5" max="5" width="11.25" bestFit="1" customWidth="1"/>
    <col min="6" max="6" width="21.625" bestFit="1" customWidth="1"/>
    <col min="7" max="7" width="7.375" bestFit="1" customWidth="1"/>
    <col min="27" max="27" width="13.25" bestFit="1" customWidth="1"/>
  </cols>
  <sheetData>
    <row r="1" spans="1:33" ht="30.75" customHeight="1">
      <c r="A1" s="57" t="s">
        <v>341</v>
      </c>
      <c r="B1" s="59" t="s">
        <v>342</v>
      </c>
      <c r="C1" s="59" t="s">
        <v>343</v>
      </c>
      <c r="D1" s="61" t="s">
        <v>344</v>
      </c>
      <c r="E1" s="58" t="s">
        <v>345</v>
      </c>
      <c r="F1" s="58" t="s">
        <v>346</v>
      </c>
      <c r="G1" s="62" t="s">
        <v>347</v>
      </c>
      <c r="H1" s="62" t="s">
        <v>348</v>
      </c>
      <c r="I1" s="62" t="s">
        <v>349</v>
      </c>
      <c r="J1" s="62" t="s">
        <v>350</v>
      </c>
      <c r="K1" s="62" t="s">
        <v>351</v>
      </c>
      <c r="L1" s="57" t="s">
        <v>352</v>
      </c>
      <c r="M1" s="62" t="s">
        <v>353</v>
      </c>
      <c r="N1" s="62" t="s">
        <v>56</v>
      </c>
      <c r="O1" s="62" t="s">
        <v>354</v>
      </c>
      <c r="P1" s="62"/>
      <c r="Q1" s="62" t="s">
        <v>355</v>
      </c>
      <c r="R1" s="62"/>
      <c r="S1" s="62" t="s">
        <v>356</v>
      </c>
      <c r="T1" s="62" t="s">
        <v>357</v>
      </c>
      <c r="U1" s="62"/>
      <c r="V1" s="62" t="s">
        <v>358</v>
      </c>
      <c r="W1" s="62" t="s">
        <v>359</v>
      </c>
      <c r="X1" s="62" t="s">
        <v>360</v>
      </c>
      <c r="Y1" s="62" t="s">
        <v>361</v>
      </c>
      <c r="Z1" s="62" t="s">
        <v>360</v>
      </c>
      <c r="AA1" s="57" t="s">
        <v>362</v>
      </c>
      <c r="AB1" s="57" t="s">
        <v>363</v>
      </c>
      <c r="AC1" s="57" t="s">
        <v>364</v>
      </c>
      <c r="AD1" s="53"/>
      <c r="AE1" s="53"/>
      <c r="AF1" s="53"/>
      <c r="AG1" s="53"/>
    </row>
    <row r="2" spans="1:33" ht="16.5">
      <c r="A2" s="83">
        <v>1</v>
      </c>
      <c r="B2" s="88"/>
      <c r="C2" s="88"/>
      <c r="D2" s="112"/>
      <c r="E2" s="110"/>
      <c r="F2" s="110">
        <v>0</v>
      </c>
      <c r="G2" s="110">
        <v>1</v>
      </c>
      <c r="H2" s="112"/>
      <c r="I2" s="110">
        <v>0</v>
      </c>
      <c r="J2" s="112"/>
      <c r="K2" s="112"/>
      <c r="L2" s="80"/>
      <c r="M2" s="81">
        <v>1</v>
      </c>
      <c r="N2" s="95"/>
      <c r="O2" s="96"/>
      <c r="P2" s="96"/>
      <c r="Q2" s="81"/>
      <c r="R2" s="81"/>
      <c r="S2" s="81"/>
      <c r="T2" s="80"/>
      <c r="U2" s="80"/>
      <c r="V2" s="81"/>
      <c r="W2" s="80"/>
      <c r="X2" s="80"/>
      <c r="Y2" s="80"/>
      <c r="Z2" s="80"/>
      <c r="AA2" s="81"/>
      <c r="AB2" s="80"/>
      <c r="AC2" s="80"/>
      <c r="AD2" s="80"/>
      <c r="AE2" s="80"/>
      <c r="AF2" s="80"/>
      <c r="AG2" s="80"/>
    </row>
    <row r="3" spans="1:33" ht="16.5">
      <c r="A3" s="83">
        <v>2</v>
      </c>
      <c r="B3" s="88"/>
      <c r="C3" s="88"/>
      <c r="D3" s="111">
        <f>升级曲线!G26</f>
        <v>10.984738803621603</v>
      </c>
      <c r="E3" s="110">
        <f>ROUNDUP(D3/副本时间模板!$F$48,0)</f>
        <v>5</v>
      </c>
      <c r="F3" s="110">
        <v>0</v>
      </c>
      <c r="G3" s="110">
        <v>1</v>
      </c>
      <c r="H3" s="112"/>
      <c r="I3" s="110">
        <v>0</v>
      </c>
      <c r="J3" s="112"/>
      <c r="K3" s="112"/>
      <c r="L3" s="80"/>
      <c r="M3" s="81">
        <v>0</v>
      </c>
      <c r="N3" s="95"/>
      <c r="O3" s="80"/>
      <c r="P3" s="80"/>
      <c r="Q3" s="81"/>
      <c r="R3" s="80"/>
      <c r="S3" s="81"/>
      <c r="T3" s="80"/>
      <c r="U3" s="80"/>
      <c r="V3" s="80"/>
      <c r="W3" s="80"/>
      <c r="X3" s="80"/>
      <c r="Y3" s="80"/>
      <c r="Z3" s="80"/>
      <c r="AA3" s="80"/>
      <c r="AB3" s="80"/>
      <c r="AC3" s="80"/>
      <c r="AD3" s="80"/>
      <c r="AE3" s="80"/>
      <c r="AF3" s="80"/>
      <c r="AG3" s="80"/>
    </row>
    <row r="4" spans="1:33" ht="16.5">
      <c r="A4" s="83">
        <v>3</v>
      </c>
      <c r="B4" s="88"/>
      <c r="C4" s="88"/>
      <c r="D4" s="111">
        <f>升级曲线!G27</f>
        <v>23.031124247861293</v>
      </c>
      <c r="E4" s="110">
        <f>ROUNDUP(D4/副本时间模板!$F$48,0)</f>
        <v>10</v>
      </c>
      <c r="F4" s="110">
        <f>E4-E3</f>
        <v>5</v>
      </c>
      <c r="G4" s="110">
        <v>1</v>
      </c>
      <c r="H4" s="112"/>
      <c r="I4" s="110">
        <v>0</v>
      </c>
      <c r="J4" s="112"/>
      <c r="K4" s="112"/>
      <c r="L4" s="80"/>
      <c r="M4" s="81">
        <v>1</v>
      </c>
      <c r="N4" s="95"/>
      <c r="O4" s="96"/>
      <c r="P4" s="96"/>
      <c r="Q4" s="81"/>
      <c r="R4" s="81"/>
      <c r="S4" s="81"/>
      <c r="T4" s="80"/>
      <c r="U4" s="80"/>
      <c r="V4" s="80"/>
      <c r="W4" s="80"/>
      <c r="X4" s="80"/>
      <c r="Y4" s="80"/>
      <c r="Z4" s="80"/>
      <c r="AA4" s="80"/>
      <c r="AB4" s="80"/>
      <c r="AC4" s="80"/>
      <c r="AD4" s="80"/>
      <c r="AE4" s="80"/>
      <c r="AF4" s="80"/>
      <c r="AG4" s="80"/>
    </row>
    <row r="5" spans="1:33" ht="16.5">
      <c r="A5" s="83">
        <v>4</v>
      </c>
      <c r="B5" s="88"/>
      <c r="C5" s="88"/>
      <c r="D5" s="111">
        <f>升级曲线!G28</f>
        <v>36.241761739154775</v>
      </c>
      <c r="E5" s="110">
        <f>ROUNDUP(D5/副本时间模板!$F$48,0)</f>
        <v>16</v>
      </c>
      <c r="F5" s="110">
        <f t="shared" ref="F5:F51" si="0">E5-E4</f>
        <v>6</v>
      </c>
      <c r="G5" s="110">
        <v>1</v>
      </c>
      <c r="H5" s="112"/>
      <c r="I5" s="110">
        <v>0</v>
      </c>
      <c r="J5" s="112"/>
      <c r="K5" s="112"/>
      <c r="L5" s="80"/>
      <c r="M5" s="81">
        <v>1</v>
      </c>
      <c r="N5" s="95"/>
      <c r="O5" s="96"/>
      <c r="P5" s="96"/>
      <c r="Q5" s="81"/>
      <c r="R5" s="81"/>
      <c r="S5" s="81"/>
      <c r="T5" s="80"/>
      <c r="U5" s="80"/>
      <c r="V5" s="81"/>
      <c r="W5" s="80"/>
      <c r="X5" s="80"/>
      <c r="Y5" s="80"/>
      <c r="Z5" s="80"/>
      <c r="AA5" s="80"/>
      <c r="AB5" s="80"/>
      <c r="AC5" s="80"/>
      <c r="AD5" s="80"/>
      <c r="AE5" s="80"/>
      <c r="AF5" s="80"/>
      <c r="AG5" s="80"/>
    </row>
    <row r="6" spans="1:33" ht="16.5">
      <c r="A6" s="83">
        <v>5</v>
      </c>
      <c r="B6" s="88"/>
      <c r="C6" s="88"/>
      <c r="D6" s="111">
        <f>升级曲线!G29</f>
        <v>50.729173231522466</v>
      </c>
      <c r="E6" s="110">
        <f>ROUNDUP(D6/副本时间模板!$F$48,0)</f>
        <v>22</v>
      </c>
      <c r="F6" s="110">
        <f t="shared" si="0"/>
        <v>6</v>
      </c>
      <c r="G6" s="110">
        <v>1</v>
      </c>
      <c r="H6" s="112"/>
      <c r="I6" s="110">
        <v>0</v>
      </c>
      <c r="J6" s="112"/>
      <c r="K6" s="112"/>
      <c r="L6" s="80"/>
      <c r="M6" s="81">
        <v>1</v>
      </c>
      <c r="N6" s="95"/>
      <c r="O6" s="96"/>
      <c r="P6" s="96"/>
      <c r="Q6" s="106"/>
      <c r="R6" s="106"/>
      <c r="S6" s="81"/>
      <c r="T6" s="80"/>
      <c r="U6" s="80"/>
      <c r="V6" s="80"/>
      <c r="W6" s="81"/>
      <c r="X6" s="81"/>
      <c r="Y6" s="81"/>
      <c r="Z6" s="80"/>
      <c r="AA6" s="81"/>
      <c r="AB6" s="80"/>
      <c r="AC6" s="80"/>
      <c r="AD6" s="80"/>
      <c r="AE6" s="80"/>
      <c r="AF6" s="80"/>
      <c r="AG6" s="83"/>
    </row>
    <row r="7" spans="1:33" ht="16.5">
      <c r="A7" s="83">
        <v>6</v>
      </c>
      <c r="B7" s="88"/>
      <c r="C7" s="88"/>
      <c r="D7" s="111">
        <f>升级曲线!G30</f>
        <v>66.616755635287092</v>
      </c>
      <c r="E7" s="110">
        <f>ROUNDUP(D7/副本时间模板!$F$48,0)</f>
        <v>29</v>
      </c>
      <c r="F7" s="110">
        <f t="shared" si="0"/>
        <v>7</v>
      </c>
      <c r="G7" s="110">
        <v>1</v>
      </c>
      <c r="H7" s="112"/>
      <c r="I7" s="110">
        <v>0</v>
      </c>
      <c r="J7" s="112"/>
      <c r="K7" s="112"/>
      <c r="L7" s="80"/>
      <c r="M7" s="81">
        <v>1</v>
      </c>
      <c r="N7" s="95"/>
      <c r="O7" s="96"/>
      <c r="P7" s="96"/>
      <c r="Q7" s="81"/>
      <c r="R7" s="81"/>
      <c r="S7" s="81"/>
      <c r="T7" s="80"/>
      <c r="U7" s="80"/>
      <c r="V7" s="80"/>
      <c r="W7" s="80"/>
      <c r="X7" s="80"/>
      <c r="Y7" s="80"/>
      <c r="Z7" s="80"/>
      <c r="AA7" s="80"/>
      <c r="AB7" s="80"/>
      <c r="AC7" s="80"/>
      <c r="AD7" s="80"/>
      <c r="AE7" s="80"/>
      <c r="AF7" s="80"/>
      <c r="AG7" s="86"/>
    </row>
    <row r="8" spans="1:33" ht="16.5">
      <c r="A8" s="83">
        <v>7</v>
      </c>
      <c r="B8" s="88"/>
      <c r="C8" s="88"/>
      <c r="D8" s="111">
        <f>升级曲线!G31</f>
        <v>84.039831853519004</v>
      </c>
      <c r="E8" s="110">
        <f>ROUNDUP(D8/副本时间模板!$F$48,0)</f>
        <v>36</v>
      </c>
      <c r="F8" s="110">
        <f t="shared" si="0"/>
        <v>7</v>
      </c>
      <c r="G8" s="110">
        <v>1</v>
      </c>
      <c r="H8" s="112"/>
      <c r="I8" s="110">
        <v>0</v>
      </c>
      <c r="J8" s="112"/>
      <c r="K8" s="112"/>
      <c r="L8" s="80"/>
      <c r="M8" s="81">
        <v>1</v>
      </c>
      <c r="N8" s="95"/>
      <c r="O8" s="96"/>
      <c r="P8" s="96"/>
      <c r="Q8" s="81"/>
      <c r="R8" s="80"/>
      <c r="S8" s="81"/>
      <c r="T8" s="80"/>
      <c r="U8" s="80"/>
      <c r="V8" s="80"/>
      <c r="W8" s="80"/>
      <c r="X8" s="80"/>
      <c r="Y8" s="80"/>
      <c r="Z8" s="80"/>
      <c r="AA8" s="80"/>
      <c r="AB8" s="80"/>
      <c r="AC8" s="80"/>
      <c r="AD8" s="80"/>
      <c r="AE8" s="80"/>
      <c r="AF8" s="80"/>
      <c r="AG8" s="82"/>
    </row>
    <row r="9" spans="1:33" ht="16.5">
      <c r="A9" s="98">
        <v>8</v>
      </c>
      <c r="B9" s="99"/>
      <c r="C9" s="99"/>
      <c r="D9" s="111">
        <f>升级曲线!G32</f>
        <v>103.14680339844001</v>
      </c>
      <c r="E9" s="110">
        <f>ROUNDUP(D9/副本时间模板!$F$48,0)</f>
        <v>44</v>
      </c>
      <c r="F9" s="110">
        <f t="shared" si="0"/>
        <v>8</v>
      </c>
      <c r="G9" s="110">
        <v>1</v>
      </c>
      <c r="H9" s="110"/>
      <c r="I9" s="110">
        <v>0</v>
      </c>
      <c r="J9" s="110"/>
      <c r="K9" s="110"/>
      <c r="L9" s="89"/>
      <c r="M9" s="89">
        <v>2</v>
      </c>
      <c r="N9" s="101"/>
      <c r="O9" s="97"/>
      <c r="P9" s="97"/>
      <c r="Q9" s="107"/>
      <c r="R9" s="107"/>
      <c r="S9" s="89"/>
      <c r="T9" s="103"/>
      <c r="U9" s="103"/>
      <c r="V9" s="89"/>
      <c r="W9" s="89"/>
      <c r="X9" s="89"/>
      <c r="Y9" s="89"/>
      <c r="Z9" s="89"/>
      <c r="AA9" s="89"/>
      <c r="AB9" s="89"/>
      <c r="AC9" s="89"/>
      <c r="AD9" s="89"/>
      <c r="AE9" s="89"/>
      <c r="AF9" s="89"/>
      <c r="AG9" s="105"/>
    </row>
    <row r="10" spans="1:33" ht="16.5">
      <c r="A10" s="83">
        <v>9</v>
      </c>
      <c r="B10" s="88"/>
      <c r="C10" s="88"/>
      <c r="D10" s="111">
        <f>升级曲线!G33</f>
        <v>124.10041440522633</v>
      </c>
      <c r="E10" s="110">
        <f>ROUNDUP(D10/副本时间模板!$F$48,0)</f>
        <v>53</v>
      </c>
      <c r="F10" s="110">
        <f t="shared" si="0"/>
        <v>9</v>
      </c>
      <c r="G10" s="110">
        <v>1</v>
      </c>
      <c r="H10" s="112"/>
      <c r="I10" s="110">
        <v>0</v>
      </c>
      <c r="J10" s="112"/>
      <c r="K10" s="112"/>
      <c r="L10" s="81" t="s">
        <v>385</v>
      </c>
      <c r="M10" s="81">
        <v>2</v>
      </c>
      <c r="N10" s="94"/>
      <c r="O10" s="97"/>
      <c r="P10" s="109"/>
      <c r="Q10" s="90"/>
      <c r="R10" s="90"/>
      <c r="S10" s="81"/>
      <c r="T10" s="90"/>
      <c r="U10" s="90"/>
      <c r="V10" s="81"/>
      <c r="W10" s="80"/>
      <c r="X10" s="80"/>
      <c r="Y10" s="80"/>
      <c r="Z10" s="80"/>
      <c r="AA10" s="80"/>
      <c r="AB10" s="80"/>
      <c r="AC10" s="80"/>
      <c r="AD10" s="80"/>
      <c r="AE10" s="80"/>
      <c r="AF10" s="80"/>
      <c r="AG10" s="82"/>
    </row>
    <row r="11" spans="1:33" ht="16.5">
      <c r="A11" s="83">
        <v>10</v>
      </c>
      <c r="B11" s="88"/>
      <c r="C11" s="88"/>
      <c r="D11" s="111">
        <f>升级曲线!G34</f>
        <v>145.16424419246039</v>
      </c>
      <c r="E11" s="110">
        <f>ROUNDUP(D11/副本时间模板!$F$48,0)</f>
        <v>62</v>
      </c>
      <c r="F11" s="110">
        <f t="shared" si="0"/>
        <v>9</v>
      </c>
      <c r="G11" s="110">
        <v>1</v>
      </c>
      <c r="H11" s="112"/>
      <c r="I11" s="110">
        <v>0</v>
      </c>
      <c r="J11" s="112"/>
      <c r="K11" s="112"/>
      <c r="L11" s="80"/>
      <c r="M11" s="81">
        <v>2</v>
      </c>
      <c r="N11" s="94"/>
      <c r="O11" s="97"/>
      <c r="P11" s="97"/>
      <c r="Q11" s="90"/>
      <c r="R11" s="90"/>
      <c r="S11" s="81"/>
      <c r="T11" s="90"/>
      <c r="U11" s="90"/>
      <c r="V11" s="80"/>
      <c r="W11" s="81"/>
      <c r="X11" s="81"/>
      <c r="Y11" s="90"/>
      <c r="Z11" s="90"/>
      <c r="AA11" s="80"/>
      <c r="AB11" s="80"/>
      <c r="AC11" s="80"/>
      <c r="AD11" s="80"/>
      <c r="AE11" s="80"/>
      <c r="AF11" s="80"/>
      <c r="AG11" s="84"/>
    </row>
    <row r="12" spans="1:33" ht="16.5">
      <c r="A12" s="83">
        <v>11</v>
      </c>
      <c r="B12" s="88"/>
      <c r="C12" s="88"/>
      <c r="D12" s="111">
        <f>升级曲线!G35</f>
        <v>166.22807397969444</v>
      </c>
      <c r="E12" s="110">
        <f>ROUNDUP(D12/副本时间模板!$F$48,0)</f>
        <v>71</v>
      </c>
      <c r="F12" s="110">
        <f t="shared" si="0"/>
        <v>9</v>
      </c>
      <c r="G12" s="110">
        <v>1</v>
      </c>
      <c r="H12" s="112"/>
      <c r="I12" s="110">
        <v>0</v>
      </c>
      <c r="J12" s="112"/>
      <c r="K12" s="112"/>
      <c r="L12" s="80"/>
      <c r="M12" s="81">
        <v>2</v>
      </c>
      <c r="N12" s="94"/>
      <c r="O12" s="97"/>
      <c r="P12" s="97"/>
      <c r="Q12" s="90"/>
      <c r="R12" s="90"/>
      <c r="S12" s="81"/>
      <c r="T12" s="90"/>
      <c r="U12" s="90"/>
      <c r="V12" s="80"/>
      <c r="W12" s="80"/>
      <c r="X12" s="80"/>
      <c r="Y12" s="80"/>
      <c r="Z12" s="80"/>
      <c r="AA12" s="80"/>
      <c r="AB12" s="90"/>
      <c r="AC12" s="80"/>
      <c r="AD12" s="80"/>
      <c r="AE12" s="80"/>
      <c r="AF12" s="80"/>
      <c r="AG12" s="82"/>
    </row>
    <row r="13" spans="1:33" ht="16.5">
      <c r="A13" s="98">
        <v>12</v>
      </c>
      <c r="B13" s="99"/>
      <c r="C13" s="99"/>
      <c r="D13" s="111">
        <f>升级曲线!G36</f>
        <v>188.3193224326775</v>
      </c>
      <c r="E13" s="110">
        <f>ROUNDUP(D13/副本时间模板!$F$48,0)</f>
        <v>80</v>
      </c>
      <c r="F13" s="110">
        <f t="shared" si="0"/>
        <v>9</v>
      </c>
      <c r="G13" s="110">
        <v>1</v>
      </c>
      <c r="H13" s="110"/>
      <c r="I13" s="110">
        <v>0</v>
      </c>
      <c r="J13" s="110"/>
      <c r="K13" s="110"/>
      <c r="L13" s="89"/>
      <c r="M13" s="89">
        <v>3</v>
      </c>
      <c r="N13" s="101"/>
      <c r="O13" s="102"/>
      <c r="P13" s="102"/>
      <c r="Q13" s="103"/>
      <c r="R13" s="103"/>
      <c r="S13" s="89"/>
      <c r="T13" s="103"/>
      <c r="U13" s="103"/>
      <c r="V13" s="103"/>
      <c r="W13" s="89"/>
      <c r="X13" s="89"/>
      <c r="Y13" s="103"/>
      <c r="Z13" s="103"/>
      <c r="AA13" s="89"/>
      <c r="AB13" s="89"/>
      <c r="AC13" s="89"/>
      <c r="AD13" s="89"/>
      <c r="AE13" s="89"/>
      <c r="AF13" s="89"/>
      <c r="AG13" s="104"/>
    </row>
    <row r="14" spans="1:33" ht="16.5">
      <c r="A14" s="83">
        <v>13</v>
      </c>
      <c r="B14" s="88"/>
      <c r="C14" s="88"/>
      <c r="D14" s="111">
        <f>升级曲线!G37</f>
        <v>211.89789134036783</v>
      </c>
      <c r="E14" s="110">
        <f>ROUNDUP(D14/副本时间模板!$F$48,0)</f>
        <v>90</v>
      </c>
      <c r="F14" s="110">
        <f t="shared" si="0"/>
        <v>10</v>
      </c>
      <c r="G14" s="110">
        <v>1</v>
      </c>
      <c r="H14" s="112"/>
      <c r="I14" s="110">
        <v>0</v>
      </c>
      <c r="J14" s="112"/>
      <c r="K14" s="112"/>
      <c r="L14" s="80"/>
      <c r="M14" s="81">
        <v>2</v>
      </c>
      <c r="N14" s="94"/>
      <c r="O14" s="97"/>
      <c r="P14" s="97"/>
      <c r="Q14" s="90"/>
      <c r="R14" s="90"/>
      <c r="S14" s="81"/>
      <c r="T14" s="90"/>
      <c r="U14" s="90"/>
      <c r="V14" s="81"/>
      <c r="W14" s="80"/>
      <c r="X14" s="80"/>
      <c r="Y14" s="80"/>
      <c r="Z14" s="80"/>
      <c r="AA14" s="80"/>
      <c r="AB14" s="80"/>
      <c r="AC14" s="80"/>
      <c r="AD14" s="80"/>
      <c r="AE14" s="80"/>
      <c r="AF14" s="80"/>
      <c r="AG14" s="82"/>
    </row>
    <row r="15" spans="1:33" ht="16.5">
      <c r="A15" s="83">
        <v>14</v>
      </c>
      <c r="B15" s="88"/>
      <c r="C15" s="88"/>
      <c r="D15" s="111">
        <f>升级曲线!G38</f>
        <v>237.80409358752308</v>
      </c>
      <c r="E15" s="110">
        <f>ROUNDUP(D15/副本时间模板!$F$48,0)</f>
        <v>101</v>
      </c>
      <c r="F15" s="110">
        <f t="shared" si="0"/>
        <v>11</v>
      </c>
      <c r="G15" s="110">
        <v>1</v>
      </c>
      <c r="H15" s="112"/>
      <c r="I15" s="110">
        <v>0</v>
      </c>
      <c r="J15" s="112"/>
      <c r="K15" s="112"/>
      <c r="L15" s="80"/>
      <c r="M15" s="81">
        <v>4</v>
      </c>
      <c r="N15" s="94"/>
      <c r="O15" s="97"/>
      <c r="P15" s="97"/>
      <c r="Q15" s="90"/>
      <c r="R15" s="90"/>
      <c r="S15" s="81"/>
      <c r="T15" s="90"/>
      <c r="U15" s="90"/>
      <c r="V15" s="80"/>
      <c r="W15" s="90"/>
      <c r="X15" s="90"/>
      <c r="Y15" s="90"/>
      <c r="Z15" s="90"/>
      <c r="AA15" s="80"/>
      <c r="AB15" s="80"/>
      <c r="AC15" s="80"/>
      <c r="AD15" s="80"/>
      <c r="AE15" s="80"/>
      <c r="AF15" s="80"/>
      <c r="AG15" s="82"/>
    </row>
    <row r="16" spans="1:33" ht="49.5">
      <c r="A16" s="83">
        <v>15</v>
      </c>
      <c r="B16" s="89">
        <v>6</v>
      </c>
      <c r="C16" s="89">
        <v>1</v>
      </c>
      <c r="D16" s="111">
        <f>升级曲线!G39</f>
        <v>266.26770889420169</v>
      </c>
      <c r="E16" s="110">
        <f>ROUNDUP(D16/副本时间模板!$F$48,0)</f>
        <v>113</v>
      </c>
      <c r="F16" s="110">
        <f t="shared" si="0"/>
        <v>12</v>
      </c>
      <c r="G16" s="110">
        <v>2</v>
      </c>
      <c r="H16" s="112"/>
      <c r="I16" s="110">
        <v>10</v>
      </c>
      <c r="J16" s="112"/>
      <c r="K16" s="112"/>
      <c r="L16" s="90" t="s">
        <v>386</v>
      </c>
      <c r="M16" s="81">
        <v>2</v>
      </c>
      <c r="N16" s="94"/>
      <c r="O16" s="97"/>
      <c r="P16" s="97"/>
      <c r="Q16" s="90"/>
      <c r="R16" s="90"/>
      <c r="S16" s="81"/>
      <c r="T16" s="80"/>
      <c r="U16" s="81"/>
      <c r="V16" s="80"/>
      <c r="W16" s="81"/>
      <c r="X16" s="81"/>
      <c r="Y16" s="90"/>
      <c r="Z16" s="90"/>
      <c r="AA16" s="80"/>
      <c r="AB16" s="80"/>
      <c r="AC16" s="80"/>
      <c r="AD16" s="80"/>
      <c r="AE16" s="80"/>
      <c r="AF16" s="80"/>
      <c r="AG16" s="82"/>
    </row>
    <row r="17" spans="1:33" ht="132">
      <c r="A17" s="83">
        <v>16</v>
      </c>
      <c r="B17" s="88"/>
      <c r="C17" s="88"/>
      <c r="D17" s="111">
        <f>升级曲线!G40</f>
        <v>297.54120041554404</v>
      </c>
      <c r="E17" s="110">
        <f>ROUNDUP(D17/副本时间模板!$F$48,0)</f>
        <v>126</v>
      </c>
      <c r="F17" s="110">
        <f t="shared" si="0"/>
        <v>13</v>
      </c>
      <c r="G17" s="110">
        <v>2</v>
      </c>
      <c r="H17" s="112"/>
      <c r="I17" s="110">
        <v>10</v>
      </c>
      <c r="J17" s="112"/>
      <c r="K17" s="112"/>
      <c r="L17" s="90" t="s">
        <v>387</v>
      </c>
      <c r="M17" s="81">
        <v>2</v>
      </c>
      <c r="N17" s="94"/>
      <c r="O17" s="97"/>
      <c r="P17" s="97"/>
      <c r="Q17" s="90"/>
      <c r="R17" s="90"/>
      <c r="S17" s="81"/>
      <c r="T17" s="95"/>
      <c r="U17" s="95"/>
      <c r="V17" s="80"/>
      <c r="W17" s="80"/>
      <c r="X17" s="80"/>
      <c r="Y17" s="80"/>
      <c r="Z17" s="80"/>
      <c r="AA17" s="80"/>
      <c r="AB17" s="80"/>
      <c r="AC17" s="80"/>
      <c r="AD17" s="80"/>
      <c r="AE17" s="80"/>
      <c r="AF17" s="80"/>
      <c r="AG17" s="82"/>
    </row>
    <row r="18" spans="1:33" ht="16.5">
      <c r="A18" s="83">
        <v>17</v>
      </c>
      <c r="B18" s="88"/>
      <c r="C18" s="88"/>
      <c r="D18" s="111">
        <f>升级曲线!G41</f>
        <v>331.90195400913228</v>
      </c>
      <c r="E18" s="110">
        <f>ROUNDUP(D18/副本时间模板!$F$48,0)</f>
        <v>141</v>
      </c>
      <c r="F18" s="110">
        <f t="shared" si="0"/>
        <v>15</v>
      </c>
      <c r="G18" s="110">
        <v>2</v>
      </c>
      <c r="H18" s="112"/>
      <c r="I18" s="110">
        <v>10</v>
      </c>
      <c r="J18" s="112"/>
      <c r="K18" s="112"/>
      <c r="L18" s="90"/>
      <c r="M18" s="81">
        <v>2</v>
      </c>
      <c r="N18" s="94"/>
      <c r="O18" s="97"/>
      <c r="P18" s="97"/>
      <c r="Q18" s="90"/>
      <c r="R18" s="90"/>
      <c r="S18" s="81"/>
      <c r="T18" s="95"/>
      <c r="U18" s="95"/>
      <c r="V18" s="80"/>
      <c r="W18" s="90"/>
      <c r="X18" s="90"/>
      <c r="Y18" s="90"/>
      <c r="Z18" s="90"/>
      <c r="AA18" s="80"/>
      <c r="AB18" s="80"/>
      <c r="AC18" s="80"/>
      <c r="AD18" s="80"/>
      <c r="AE18" s="80"/>
      <c r="AF18" s="80"/>
      <c r="AG18" s="80"/>
    </row>
    <row r="19" spans="1:33" ht="16.5">
      <c r="A19" s="83">
        <v>18</v>
      </c>
      <c r="B19" s="88"/>
      <c r="C19" s="88"/>
      <c r="D19" s="111">
        <f>升级曲线!G42</f>
        <v>369.65473855874222</v>
      </c>
      <c r="E19" s="110">
        <f>ROUNDUP(D19/副本时间模板!$F$48,0)</f>
        <v>157</v>
      </c>
      <c r="F19" s="110">
        <f t="shared" si="0"/>
        <v>16</v>
      </c>
      <c r="G19" s="110">
        <v>2</v>
      </c>
      <c r="H19" s="112"/>
      <c r="I19" s="110">
        <v>10</v>
      </c>
      <c r="J19" s="112"/>
      <c r="K19" s="112"/>
      <c r="L19" s="90"/>
      <c r="M19" s="81">
        <v>2</v>
      </c>
      <c r="N19" s="94"/>
      <c r="O19" s="97"/>
      <c r="P19" s="97"/>
      <c r="Q19" s="90"/>
      <c r="R19" s="90"/>
      <c r="S19" s="81"/>
      <c r="T19" s="95"/>
      <c r="U19" s="95"/>
      <c r="V19" s="80"/>
      <c r="W19" s="80"/>
      <c r="X19" s="80"/>
      <c r="Y19" s="80"/>
      <c r="Z19" s="80"/>
      <c r="AA19" s="80"/>
      <c r="AB19" s="80"/>
      <c r="AC19" s="80"/>
      <c r="AD19" s="80"/>
      <c r="AE19" s="80"/>
      <c r="AF19" s="80"/>
      <c r="AG19" s="80"/>
    </row>
    <row r="20" spans="1:33" ht="16.5">
      <c r="A20" s="83">
        <v>19</v>
      </c>
      <c r="B20" s="88"/>
      <c r="C20" s="88"/>
      <c r="D20" s="111">
        <f>升级曲线!G43</f>
        <v>410.32108230190693</v>
      </c>
      <c r="E20" s="110">
        <f>ROUNDUP(D20/副本时间模板!$F$48,0)</f>
        <v>174</v>
      </c>
      <c r="F20" s="110">
        <f t="shared" si="0"/>
        <v>17</v>
      </c>
      <c r="G20" s="110">
        <v>2</v>
      </c>
      <c r="H20" s="112"/>
      <c r="I20" s="110">
        <v>10</v>
      </c>
      <c r="J20" s="112"/>
      <c r="K20" s="112"/>
      <c r="L20" s="90"/>
      <c r="M20" s="81">
        <v>2</v>
      </c>
      <c r="N20" s="94"/>
      <c r="O20" s="97"/>
      <c r="P20" s="97"/>
      <c r="Q20" s="90"/>
      <c r="R20" s="90"/>
      <c r="S20" s="81"/>
      <c r="T20" s="80"/>
      <c r="U20" s="81"/>
      <c r="V20" s="80"/>
      <c r="W20" s="90"/>
      <c r="X20" s="90"/>
      <c r="Y20" s="90"/>
      <c r="Z20" s="90"/>
      <c r="AA20" s="80"/>
      <c r="AB20" s="80"/>
      <c r="AC20" s="80"/>
      <c r="AD20" s="80"/>
      <c r="AE20" s="80"/>
      <c r="AF20" s="80"/>
      <c r="AG20" s="80"/>
    </row>
    <row r="21" spans="1:33" ht="115.5">
      <c r="A21" s="83">
        <v>20</v>
      </c>
      <c r="B21" s="89">
        <v>18</v>
      </c>
      <c r="C21" s="89">
        <v>2</v>
      </c>
      <c r="D21" s="111">
        <f>升级曲线!G44</f>
        <v>455.0019333657367</v>
      </c>
      <c r="E21" s="110">
        <f>ROUNDUP(D21/副本时间模板!$F$48,0)</f>
        <v>193</v>
      </c>
      <c r="F21" s="110">
        <f t="shared" si="0"/>
        <v>19</v>
      </c>
      <c r="G21" s="110">
        <v>20</v>
      </c>
      <c r="H21" s="110">
        <f>升级曲线!F35/副本时间模板!$D$7</f>
        <v>0.1404255319148936</v>
      </c>
      <c r="I21" s="110">
        <v>15</v>
      </c>
      <c r="J21" s="110">
        <f>ROUNDUP(I21*H21,0)</f>
        <v>3</v>
      </c>
      <c r="K21" s="112"/>
      <c r="L21" s="90" t="s">
        <v>388</v>
      </c>
      <c r="M21" s="81">
        <v>0</v>
      </c>
      <c r="N21" s="95"/>
      <c r="O21" s="80"/>
      <c r="P21" s="80"/>
      <c r="Q21" s="80"/>
      <c r="R21" s="80"/>
      <c r="S21" s="81"/>
      <c r="T21" s="95"/>
      <c r="U21" s="95"/>
      <c r="V21" s="90"/>
      <c r="W21" s="90"/>
      <c r="X21" s="90"/>
      <c r="Y21" s="90"/>
      <c r="Z21" s="90"/>
      <c r="AA21" s="81"/>
      <c r="AB21" s="80"/>
      <c r="AC21" s="80"/>
      <c r="AD21" s="80"/>
      <c r="AE21" s="80"/>
      <c r="AF21" s="80"/>
      <c r="AG21" s="80"/>
    </row>
    <row r="22" spans="1:33" ht="16.5">
      <c r="A22" s="83">
        <v>21</v>
      </c>
      <c r="B22" s="88"/>
      <c r="C22" s="88"/>
      <c r="D22" s="111">
        <f>升级曲线!G45</f>
        <v>499.68278442956654</v>
      </c>
      <c r="E22" s="110">
        <f>ROUNDUP(D22/副本时间模板!$F$48,0)</f>
        <v>212</v>
      </c>
      <c r="F22" s="110">
        <f t="shared" si="0"/>
        <v>19</v>
      </c>
      <c r="G22" s="110">
        <v>20</v>
      </c>
      <c r="H22" s="110">
        <f>升级曲线!F36/副本时间模板!$D$7</f>
        <v>0.14727498968655364</v>
      </c>
      <c r="I22" s="110">
        <v>15</v>
      </c>
      <c r="J22" s="110">
        <f t="shared" ref="J22:J51" si="1">ROUNDUP(I22*H22,0)</f>
        <v>3</v>
      </c>
      <c r="K22" s="112"/>
      <c r="L22" s="90"/>
      <c r="M22" s="81">
        <v>1</v>
      </c>
      <c r="N22" s="94"/>
      <c r="O22" s="81"/>
      <c r="P22" s="80"/>
      <c r="Q22" s="90"/>
      <c r="R22" s="90"/>
      <c r="S22" s="81"/>
      <c r="T22" s="95"/>
      <c r="U22" s="95"/>
      <c r="V22" s="80"/>
      <c r="W22" s="80"/>
      <c r="X22" s="80"/>
      <c r="Y22" s="80"/>
      <c r="Z22" s="80"/>
      <c r="AA22" s="80"/>
      <c r="AB22" s="80"/>
      <c r="AC22" s="80"/>
      <c r="AD22" s="80"/>
      <c r="AE22" s="85"/>
      <c r="AF22" s="80"/>
      <c r="AG22" s="80"/>
    </row>
    <row r="23" spans="1:33" ht="16.5">
      <c r="A23" s="83">
        <v>22</v>
      </c>
      <c r="B23" s="88"/>
      <c r="C23" s="88"/>
      <c r="D23" s="111">
        <f>升级曲线!G46</f>
        <v>546.95312680454458</v>
      </c>
      <c r="E23" s="110">
        <f>ROUNDUP(D23/副本时间模板!$F$48,0)</f>
        <v>232</v>
      </c>
      <c r="F23" s="110">
        <f t="shared" si="0"/>
        <v>20</v>
      </c>
      <c r="G23" s="110">
        <v>20</v>
      </c>
      <c r="H23" s="110">
        <f>升级曲线!F37/副本时间模板!$D$7</f>
        <v>0.1571904593846023</v>
      </c>
      <c r="I23" s="110">
        <v>15</v>
      </c>
      <c r="J23" s="110">
        <f t="shared" si="1"/>
        <v>3</v>
      </c>
      <c r="K23" s="112"/>
      <c r="L23" s="90"/>
      <c r="M23" s="81">
        <v>1</v>
      </c>
      <c r="N23" s="94"/>
      <c r="O23" s="81"/>
      <c r="P23" s="80"/>
      <c r="Q23" s="81"/>
      <c r="R23" s="80"/>
      <c r="S23" s="81"/>
      <c r="T23" s="95"/>
      <c r="U23" s="95"/>
      <c r="V23" s="80"/>
      <c r="W23" s="80"/>
      <c r="X23" s="80"/>
      <c r="Y23" s="80"/>
      <c r="Z23" s="80"/>
      <c r="AA23" s="80"/>
      <c r="AB23" s="80"/>
      <c r="AC23" s="80"/>
      <c r="AD23" s="80"/>
      <c r="AE23" s="82"/>
      <c r="AF23" s="80"/>
      <c r="AG23" s="80"/>
    </row>
    <row r="24" spans="1:33" ht="16.5">
      <c r="A24" s="83">
        <v>23</v>
      </c>
      <c r="B24" s="88"/>
      <c r="C24" s="88"/>
      <c r="D24" s="111">
        <f>升级曲线!G47</f>
        <v>596.34562891278165</v>
      </c>
      <c r="E24" s="110">
        <f>ROUNDUP(D24/副本时间模板!$F$48,0)</f>
        <v>252</v>
      </c>
      <c r="F24" s="110">
        <f t="shared" si="0"/>
        <v>20</v>
      </c>
      <c r="G24" s="110">
        <v>20</v>
      </c>
      <c r="H24" s="110">
        <f>升级曲线!F38/副本时间模板!$D$7</f>
        <v>0.172708014981035</v>
      </c>
      <c r="I24" s="110">
        <v>15</v>
      </c>
      <c r="J24" s="110">
        <f t="shared" si="1"/>
        <v>3</v>
      </c>
      <c r="K24" s="112"/>
      <c r="L24" s="90"/>
      <c r="M24" s="81">
        <v>1</v>
      </c>
      <c r="N24" s="94"/>
      <c r="O24" s="81"/>
      <c r="P24" s="80"/>
      <c r="Q24" s="106"/>
      <c r="R24" s="106"/>
      <c r="S24" s="81"/>
      <c r="T24" s="95"/>
      <c r="U24" s="95"/>
      <c r="V24" s="80"/>
      <c r="W24" s="81"/>
      <c r="X24" s="81"/>
      <c r="Y24" s="81"/>
      <c r="Z24" s="80"/>
      <c r="AA24" s="80"/>
      <c r="AB24" s="80"/>
      <c r="AC24" s="80"/>
      <c r="AD24" s="80"/>
      <c r="AE24" s="85"/>
      <c r="AF24" s="80"/>
      <c r="AG24" s="80"/>
    </row>
    <row r="25" spans="1:33" ht="16.5">
      <c r="A25" s="83">
        <v>24</v>
      </c>
      <c r="B25" s="88"/>
      <c r="C25" s="88"/>
      <c r="D25" s="111">
        <f>升级曲线!G48</f>
        <v>650.77798149929947</v>
      </c>
      <c r="E25" s="110">
        <f>ROUNDUP(D25/副本时间模板!$F$48,0)</f>
        <v>275</v>
      </c>
      <c r="F25" s="110">
        <f t="shared" si="0"/>
        <v>23</v>
      </c>
      <c r="G25" s="110">
        <v>20</v>
      </c>
      <c r="H25" s="110">
        <f>升级曲线!F39/副本时间模板!$D$7</f>
        <v>0.1897574353778575</v>
      </c>
      <c r="I25" s="110">
        <v>15</v>
      </c>
      <c r="J25" s="110">
        <f t="shared" si="1"/>
        <v>3</v>
      </c>
      <c r="K25" s="112"/>
      <c r="L25" s="90"/>
      <c r="M25" s="81">
        <v>1</v>
      </c>
      <c r="N25" s="94"/>
      <c r="O25" s="81"/>
      <c r="P25" s="80"/>
      <c r="Q25" s="81"/>
      <c r="R25" s="80"/>
      <c r="S25" s="81"/>
      <c r="T25" s="94"/>
      <c r="U25" s="94"/>
      <c r="V25" s="80"/>
      <c r="W25" s="80"/>
      <c r="X25" s="80"/>
      <c r="Y25" s="80"/>
      <c r="Z25" s="80"/>
      <c r="AA25" s="80"/>
      <c r="AB25" s="80"/>
      <c r="AC25" s="80"/>
      <c r="AD25" s="80"/>
      <c r="AE25" s="85"/>
      <c r="AF25" s="80"/>
      <c r="AG25" s="80"/>
    </row>
    <row r="26" spans="1:33" ht="264">
      <c r="A26" s="83">
        <v>25</v>
      </c>
      <c r="B26" s="88"/>
      <c r="C26" s="88"/>
      <c r="D26" s="111">
        <f>升级曲线!G49</f>
        <v>710.49782807850443</v>
      </c>
      <c r="E26" s="110">
        <f>ROUNDUP(D26/副本时间模板!$F$48,0)</f>
        <v>301</v>
      </c>
      <c r="F26" s="110">
        <f t="shared" si="0"/>
        <v>26</v>
      </c>
      <c r="G26" s="110">
        <v>20</v>
      </c>
      <c r="H26" s="110">
        <f>升级曲线!F40/副本时间模板!$D$7</f>
        <v>0.20848994347561564</v>
      </c>
      <c r="I26" s="110">
        <v>20</v>
      </c>
      <c r="J26" s="110">
        <f t="shared" si="1"/>
        <v>5</v>
      </c>
      <c r="K26" s="112"/>
      <c r="L26" s="90" t="s">
        <v>389</v>
      </c>
      <c r="M26" s="81">
        <v>0</v>
      </c>
      <c r="N26" s="95"/>
      <c r="O26" s="80"/>
      <c r="P26" s="80"/>
      <c r="Q26" s="80"/>
      <c r="R26" s="80"/>
      <c r="S26" s="81"/>
      <c r="T26" s="81"/>
      <c r="U26" s="80"/>
      <c r="V26" s="80"/>
      <c r="W26" s="80"/>
      <c r="X26" s="80"/>
      <c r="Y26" s="80"/>
      <c r="Z26" s="80"/>
      <c r="AA26" s="80"/>
      <c r="AB26" s="80"/>
      <c r="AC26" s="80"/>
      <c r="AD26" s="80"/>
      <c r="AE26" s="85"/>
      <c r="AF26" s="80"/>
      <c r="AG26" s="80"/>
    </row>
    <row r="27" spans="1:33" ht="16.5">
      <c r="A27" s="83">
        <v>26</v>
      </c>
      <c r="B27" s="88"/>
      <c r="C27" s="88"/>
      <c r="D27" s="111">
        <f>升级曲线!G50</f>
        <v>780.69885820330251</v>
      </c>
      <c r="E27" s="110">
        <f>ROUNDUP(D27/副本时间模板!$F$48,0)</f>
        <v>330</v>
      </c>
      <c r="F27" s="110">
        <f t="shared" si="0"/>
        <v>29</v>
      </c>
      <c r="G27" s="110">
        <v>20</v>
      </c>
      <c r="H27" s="110">
        <f>升级曲线!F41/副本时间模板!$D$7</f>
        <v>0.2290716906239218</v>
      </c>
      <c r="I27" s="110">
        <v>20</v>
      </c>
      <c r="J27" s="110">
        <f t="shared" si="1"/>
        <v>5</v>
      </c>
      <c r="K27" s="112"/>
      <c r="L27" s="90"/>
      <c r="M27" s="81">
        <v>1</v>
      </c>
      <c r="N27" s="94"/>
      <c r="O27" s="81"/>
      <c r="P27" s="80"/>
      <c r="Q27" s="81"/>
      <c r="R27" s="80"/>
      <c r="S27" s="81"/>
      <c r="T27" s="81"/>
      <c r="U27" s="80"/>
      <c r="V27" s="80"/>
      <c r="W27" s="80"/>
      <c r="X27" s="80"/>
      <c r="Y27" s="80"/>
      <c r="Z27" s="80"/>
      <c r="AA27" s="80"/>
      <c r="AB27" s="80"/>
      <c r="AC27" s="80"/>
      <c r="AD27" s="80"/>
      <c r="AE27" s="85"/>
      <c r="AF27" s="80"/>
      <c r="AG27" s="80"/>
    </row>
    <row r="28" spans="1:33" ht="16.5">
      <c r="A28" s="83">
        <v>27</v>
      </c>
      <c r="B28" s="88"/>
      <c r="C28" s="88"/>
      <c r="D28" s="111">
        <f>升级曲线!G51</f>
        <v>863.22058109565251</v>
      </c>
      <c r="E28" s="110">
        <f>ROUNDUP(D28/副本时间模板!$F$48,0)</f>
        <v>365</v>
      </c>
      <c r="F28" s="110">
        <f t="shared" si="0"/>
        <v>35</v>
      </c>
      <c r="G28" s="110">
        <v>20</v>
      </c>
      <c r="H28" s="110">
        <f>升级曲线!F42/副本时间模板!$D$7</f>
        <v>0.25168523033073276</v>
      </c>
      <c r="I28" s="110">
        <v>20</v>
      </c>
      <c r="J28" s="110">
        <f t="shared" si="1"/>
        <v>6</v>
      </c>
      <c r="K28" s="112"/>
      <c r="L28" s="90"/>
      <c r="M28" s="81">
        <v>1</v>
      </c>
      <c r="N28" s="94"/>
      <c r="O28" s="81"/>
      <c r="P28" s="80"/>
      <c r="Q28" s="81"/>
      <c r="R28" s="80"/>
      <c r="S28" s="81"/>
      <c r="T28" s="81"/>
      <c r="U28" s="80"/>
      <c r="V28" s="80"/>
      <c r="W28" s="80"/>
      <c r="X28" s="80"/>
      <c r="Y28" s="80"/>
      <c r="Z28" s="80"/>
      <c r="AA28" s="80"/>
      <c r="AB28" s="80"/>
      <c r="AC28" s="80"/>
      <c r="AD28" s="80"/>
      <c r="AE28" s="84"/>
      <c r="AF28" s="80"/>
      <c r="AG28" s="80"/>
    </row>
    <row r="29" spans="1:33" ht="16.5">
      <c r="A29" s="83">
        <v>28</v>
      </c>
      <c r="B29" s="88"/>
      <c r="C29" s="88"/>
      <c r="D29" s="111">
        <f>升级曲线!G52</f>
        <v>960.22535064128147</v>
      </c>
      <c r="E29" s="110">
        <f>ROUNDUP(D29/副本时间模板!$F$48,0)</f>
        <v>406</v>
      </c>
      <c r="F29" s="110">
        <f t="shared" si="0"/>
        <v>41</v>
      </c>
      <c r="G29" s="110">
        <v>20</v>
      </c>
      <c r="H29" s="110">
        <f>升级曲线!F43/副本时间模板!$D$7</f>
        <v>0.27110895828776482</v>
      </c>
      <c r="I29" s="110">
        <v>20</v>
      </c>
      <c r="J29" s="110">
        <f t="shared" si="1"/>
        <v>6</v>
      </c>
      <c r="K29" s="112"/>
      <c r="L29" s="90"/>
      <c r="M29" s="81">
        <v>0</v>
      </c>
      <c r="N29" s="95"/>
      <c r="O29" s="80"/>
      <c r="P29" s="80"/>
      <c r="Q29" s="80"/>
      <c r="R29" s="80"/>
      <c r="S29" s="81"/>
      <c r="T29" s="81"/>
      <c r="U29" s="80"/>
      <c r="V29" s="80"/>
      <c r="W29" s="80"/>
      <c r="X29" s="80"/>
      <c r="Y29" s="80"/>
      <c r="Z29" s="80"/>
      <c r="AA29" s="80"/>
      <c r="AB29" s="80"/>
      <c r="AC29" s="80"/>
      <c r="AD29" s="80"/>
      <c r="AE29" s="80"/>
      <c r="AF29" s="80"/>
      <c r="AG29" s="80"/>
    </row>
    <row r="30" spans="1:33" ht="16.5">
      <c r="A30" s="83">
        <v>29</v>
      </c>
      <c r="B30" s="88"/>
      <c r="C30" s="88"/>
      <c r="D30" s="111">
        <f>升级曲线!G53</f>
        <v>1074.2550265228174</v>
      </c>
      <c r="E30" s="110">
        <f>ROUNDUP(D30/副本时间模板!$F$48,0)</f>
        <v>454</v>
      </c>
      <c r="F30" s="110">
        <f t="shared" si="0"/>
        <v>48</v>
      </c>
      <c r="G30" s="110">
        <v>20</v>
      </c>
      <c r="H30" s="110">
        <f>升级曲线!F44/副本时间模板!$D$7</f>
        <v>0.2978723404255319</v>
      </c>
      <c r="I30" s="110">
        <v>20</v>
      </c>
      <c r="J30" s="110">
        <f t="shared" si="1"/>
        <v>6</v>
      </c>
      <c r="K30" s="112"/>
      <c r="L30" s="90"/>
      <c r="M30" s="81">
        <v>1</v>
      </c>
      <c r="N30" s="94"/>
      <c r="O30" s="81"/>
      <c r="P30" s="80"/>
      <c r="Q30" s="108"/>
      <c r="R30" s="108"/>
      <c r="S30" s="81"/>
      <c r="T30" s="81"/>
      <c r="U30" s="80"/>
      <c r="V30" s="80"/>
      <c r="W30" s="81"/>
      <c r="X30" s="81"/>
      <c r="Y30" s="81"/>
      <c r="Z30" s="80"/>
      <c r="AA30" s="80"/>
      <c r="AB30" s="80"/>
      <c r="AC30" s="80"/>
      <c r="AD30" s="80"/>
      <c r="AE30" s="80"/>
      <c r="AF30" s="80"/>
      <c r="AG30" s="80"/>
    </row>
    <row r="31" spans="1:33" ht="198">
      <c r="A31" s="83">
        <v>30</v>
      </c>
      <c r="B31" s="89">
        <v>45</v>
      </c>
      <c r="C31" s="89">
        <v>7.5</v>
      </c>
      <c r="D31" s="111">
        <f>升级曲线!G54</f>
        <v>1208.2975797143067</v>
      </c>
      <c r="E31" s="110">
        <f>ROUNDUP(D31/副本时间模板!$F$48,0)</f>
        <v>511</v>
      </c>
      <c r="F31" s="110">
        <f t="shared" si="0"/>
        <v>57</v>
      </c>
      <c r="G31" s="112"/>
      <c r="H31" s="110">
        <f>升级曲线!F45/副本时间模板!$D$7</f>
        <v>0.29787234042553207</v>
      </c>
      <c r="I31" s="110">
        <v>22</v>
      </c>
      <c r="J31" s="110">
        <f t="shared" si="1"/>
        <v>7</v>
      </c>
      <c r="K31" s="110">
        <f>F31-J31-S31-M31</f>
        <v>49</v>
      </c>
      <c r="L31" s="90" t="s">
        <v>390</v>
      </c>
      <c r="M31" s="81">
        <v>1</v>
      </c>
      <c r="N31" s="95"/>
      <c r="O31" s="81"/>
      <c r="P31" s="80"/>
      <c r="Q31" s="81"/>
      <c r="R31" s="80"/>
      <c r="S31" s="81"/>
      <c r="T31" s="81"/>
      <c r="U31" s="81"/>
      <c r="V31" s="80"/>
      <c r="W31" s="80"/>
      <c r="X31" s="80"/>
      <c r="Y31" s="80"/>
      <c r="Z31" s="80"/>
      <c r="AA31" s="80"/>
      <c r="AB31" s="80"/>
      <c r="AC31" s="80"/>
      <c r="AD31" s="80"/>
      <c r="AE31" s="80"/>
      <c r="AF31" s="80"/>
      <c r="AG31" s="80"/>
    </row>
    <row r="32" spans="1:33" ht="16.5">
      <c r="A32" s="83">
        <v>31</v>
      </c>
      <c r="B32" s="88"/>
      <c r="C32" s="88"/>
      <c r="D32" s="111">
        <f>升级曲线!G55</f>
        <v>1390.2124733313278</v>
      </c>
      <c r="E32" s="110">
        <f>ROUNDUP(D32/副本时间模板!$F$48,0)</f>
        <v>588</v>
      </c>
      <c r="F32" s="110">
        <f t="shared" si="0"/>
        <v>77</v>
      </c>
      <c r="G32" s="112"/>
      <c r="H32" s="110">
        <f>升级曲线!F46/副本时间模板!$D$7</f>
        <v>0.31513561583318678</v>
      </c>
      <c r="I32" s="110">
        <v>22</v>
      </c>
      <c r="J32" s="110">
        <f t="shared" si="1"/>
        <v>7</v>
      </c>
      <c r="K32" s="110">
        <f t="shared" ref="K32:K50" si="2">F32-J32-S32-M32</f>
        <v>69</v>
      </c>
      <c r="L32" s="90"/>
      <c r="M32" s="81">
        <v>1</v>
      </c>
      <c r="N32" s="95"/>
      <c r="O32" s="81"/>
      <c r="P32" s="80"/>
      <c r="Q32" s="81"/>
      <c r="R32" s="80"/>
      <c r="S32" s="81"/>
      <c r="T32" s="81"/>
      <c r="U32" s="80"/>
      <c r="V32" s="80"/>
      <c r="W32" s="80"/>
      <c r="X32" s="80"/>
      <c r="Y32" s="80"/>
      <c r="Z32" s="80"/>
      <c r="AA32" s="80"/>
      <c r="AB32" s="80"/>
      <c r="AC32" s="80"/>
      <c r="AD32" s="80"/>
      <c r="AE32" s="80"/>
      <c r="AF32" s="80"/>
      <c r="AG32" s="80"/>
    </row>
    <row r="33" spans="1:25" ht="16.5">
      <c r="A33" s="83">
        <v>32</v>
      </c>
      <c r="B33" s="88"/>
      <c r="C33" s="88"/>
      <c r="D33" s="111">
        <f>升级曲线!G56</f>
        <v>1591.5988634653902</v>
      </c>
      <c r="E33" s="110">
        <f>ROUNDUP(D33/副本时间模板!$F$48,0)</f>
        <v>673</v>
      </c>
      <c r="F33" s="110">
        <f t="shared" si="0"/>
        <v>85</v>
      </c>
      <c r="G33" s="112"/>
      <c r="H33" s="110">
        <f>升级曲线!F47/副本时间模板!$D$7</f>
        <v>0.32928334738824733</v>
      </c>
      <c r="I33" s="110">
        <v>22</v>
      </c>
      <c r="J33" s="110">
        <f t="shared" si="1"/>
        <v>8</v>
      </c>
      <c r="K33" s="110">
        <f t="shared" si="2"/>
        <v>76</v>
      </c>
      <c r="L33" s="90"/>
      <c r="M33" s="81">
        <v>1</v>
      </c>
      <c r="N33" s="95"/>
      <c r="O33" s="81"/>
      <c r="P33" s="80"/>
      <c r="Q33" s="81"/>
      <c r="R33" s="80"/>
      <c r="S33" s="81"/>
      <c r="T33" s="81"/>
      <c r="U33" s="80"/>
      <c r="V33" s="80"/>
      <c r="W33" s="80"/>
      <c r="X33" s="80"/>
      <c r="Y33" s="80"/>
    </row>
    <row r="34" spans="1:25" ht="16.5">
      <c r="A34" s="83">
        <v>33</v>
      </c>
      <c r="B34" s="88"/>
      <c r="C34" s="88"/>
      <c r="D34" s="111">
        <f>升级曲线!G57</f>
        <v>1821.8107562392731</v>
      </c>
      <c r="E34" s="110">
        <f>ROUNDUP(D34/副本时间模板!$F$48,0)</f>
        <v>770</v>
      </c>
      <c r="F34" s="110">
        <f t="shared" si="0"/>
        <v>97</v>
      </c>
      <c r="G34" s="112"/>
      <c r="H34" s="110">
        <f>升级曲线!F48/副本时间模板!$D$7</f>
        <v>0.36288235057678536</v>
      </c>
      <c r="I34" s="110">
        <v>22</v>
      </c>
      <c r="J34" s="110">
        <f t="shared" si="1"/>
        <v>8</v>
      </c>
      <c r="K34" s="110">
        <f t="shared" si="2"/>
        <v>88</v>
      </c>
      <c r="L34" s="90"/>
      <c r="M34" s="81">
        <v>1</v>
      </c>
      <c r="N34" s="95"/>
      <c r="O34" s="81"/>
      <c r="P34" s="80"/>
      <c r="Q34" s="106"/>
      <c r="R34" s="106"/>
      <c r="S34" s="81"/>
      <c r="T34" s="81"/>
      <c r="U34" s="80"/>
      <c r="V34" s="80"/>
      <c r="W34" s="81"/>
      <c r="X34" s="81"/>
      <c r="Y34" s="81"/>
    </row>
    <row r="35" spans="1:25" ht="115.5">
      <c r="A35" s="83">
        <v>34</v>
      </c>
      <c r="B35" s="88"/>
      <c r="C35" s="88"/>
      <c r="D35" s="111">
        <f>升级曲线!G58</f>
        <v>2084.9740988030553</v>
      </c>
      <c r="E35" s="110">
        <f>ROUNDUP(D35/副本时间模板!$F$48,0)</f>
        <v>881</v>
      </c>
      <c r="F35" s="110">
        <f t="shared" si="0"/>
        <v>111</v>
      </c>
      <c r="G35" s="112"/>
      <c r="H35" s="110">
        <f>升级曲线!F49/副本时间模板!$D$7</f>
        <v>0.39813231052803327</v>
      </c>
      <c r="I35" s="110">
        <v>22</v>
      </c>
      <c r="J35" s="110">
        <f t="shared" si="1"/>
        <v>9</v>
      </c>
      <c r="K35" s="110">
        <f t="shared" si="2"/>
        <v>101</v>
      </c>
      <c r="L35" s="90" t="s">
        <v>391</v>
      </c>
      <c r="M35" s="81">
        <v>1</v>
      </c>
      <c r="N35" s="95"/>
      <c r="O35" s="81"/>
      <c r="P35" s="80"/>
      <c r="Q35" s="81"/>
      <c r="R35" s="80"/>
      <c r="S35" s="81"/>
      <c r="T35" s="81"/>
      <c r="U35" s="80"/>
      <c r="V35" s="80"/>
      <c r="W35" s="80"/>
      <c r="X35" s="80"/>
      <c r="Y35" s="80"/>
    </row>
    <row r="36" spans="1:25" ht="16.5">
      <c r="A36" s="83">
        <v>35</v>
      </c>
      <c r="B36" s="88"/>
      <c r="C36" s="88"/>
      <c r="D36" s="111">
        <f>升级曲线!G59</f>
        <v>2385.8054070159883</v>
      </c>
      <c r="E36" s="110">
        <f>ROUNDUP(D36/副本时间模板!$F$48,0)</f>
        <v>1009</v>
      </c>
      <c r="F36" s="110">
        <f t="shared" si="0"/>
        <v>128</v>
      </c>
      <c r="G36" s="112"/>
      <c r="H36" s="110">
        <f>升级曲线!F50/副本时间模板!$D$7</f>
        <v>0.46800686749865367</v>
      </c>
      <c r="I36" s="110">
        <v>22</v>
      </c>
      <c r="J36" s="110">
        <f t="shared" si="1"/>
        <v>11</v>
      </c>
      <c r="K36" s="110">
        <f t="shared" si="2"/>
        <v>116</v>
      </c>
      <c r="L36" s="80"/>
      <c r="M36" s="81">
        <v>1</v>
      </c>
      <c r="N36" s="95"/>
      <c r="O36" s="81"/>
      <c r="P36" s="80"/>
      <c r="Q36" s="81"/>
      <c r="R36" s="80"/>
      <c r="S36" s="81"/>
      <c r="T36" s="81"/>
      <c r="U36" s="80"/>
      <c r="V36" s="80"/>
      <c r="W36" s="80"/>
      <c r="X36" s="80"/>
      <c r="Y36" s="80"/>
    </row>
    <row r="37" spans="1:25" ht="16.5">
      <c r="A37" s="83">
        <v>36</v>
      </c>
      <c r="B37" s="88"/>
      <c r="C37" s="88"/>
      <c r="D37" s="111">
        <f>升级曲线!G60</f>
        <v>2729.6962966795841</v>
      </c>
      <c r="E37" s="110">
        <f>ROUNDUP(D37/副本时间模板!$F$48,0)</f>
        <v>1154</v>
      </c>
      <c r="F37" s="110">
        <f t="shared" si="0"/>
        <v>145</v>
      </c>
      <c r="G37" s="112"/>
      <c r="H37" s="110">
        <f>升级曲线!F51/副本时间模板!$D$7</f>
        <v>0.55014481928233328</v>
      </c>
      <c r="I37" s="110">
        <v>22</v>
      </c>
      <c r="J37" s="110">
        <f t="shared" si="1"/>
        <v>13</v>
      </c>
      <c r="K37" s="110">
        <f t="shared" si="2"/>
        <v>131</v>
      </c>
      <c r="L37" s="80"/>
      <c r="M37" s="81">
        <v>1</v>
      </c>
      <c r="N37" s="95"/>
      <c r="O37" s="81"/>
      <c r="P37" s="80"/>
      <c r="Q37" s="81"/>
      <c r="R37" s="80"/>
      <c r="S37" s="81"/>
      <c r="T37" s="81"/>
      <c r="U37" s="80"/>
      <c r="V37" s="80"/>
      <c r="W37" s="80"/>
      <c r="X37" s="80"/>
      <c r="Y37" s="80"/>
    </row>
    <row r="38" spans="1:25" ht="16.5">
      <c r="A38" s="83">
        <v>37</v>
      </c>
      <c r="B38" s="88"/>
      <c r="C38" s="88"/>
      <c r="D38" s="111">
        <f>升级曲线!G61</f>
        <v>3135.6290430060058</v>
      </c>
      <c r="E38" s="110">
        <f>ROUNDUP(D38/副本时间模板!$F$48,0)</f>
        <v>1325</v>
      </c>
      <c r="F38" s="110">
        <f t="shared" si="0"/>
        <v>171</v>
      </c>
      <c r="G38" s="112"/>
      <c r="H38" s="110">
        <f>升级曲线!F52/副本时间模板!$D$7</f>
        <v>0.64669846363752659</v>
      </c>
      <c r="I38" s="110">
        <v>22</v>
      </c>
      <c r="J38" s="110">
        <f t="shared" si="1"/>
        <v>15</v>
      </c>
      <c r="K38" s="110">
        <f t="shared" si="2"/>
        <v>155</v>
      </c>
      <c r="L38" s="80"/>
      <c r="M38" s="81">
        <v>1</v>
      </c>
      <c r="N38" s="95"/>
      <c r="O38" s="81"/>
      <c r="P38" s="80"/>
      <c r="Q38" s="108"/>
      <c r="R38" s="108"/>
      <c r="S38" s="81"/>
      <c r="T38" s="81"/>
      <c r="U38" s="80"/>
      <c r="V38" s="80"/>
      <c r="W38" s="81"/>
      <c r="X38" s="81"/>
      <c r="Y38" s="81"/>
    </row>
    <row r="39" spans="1:25" ht="16.5">
      <c r="A39" s="83">
        <v>38</v>
      </c>
      <c r="B39" s="88"/>
      <c r="C39" s="88"/>
      <c r="D39" s="111">
        <f>升级曲线!G62</f>
        <v>3614.3188674580601</v>
      </c>
      <c r="E39" s="110">
        <f>ROUNDUP(D39/副本时间模板!$F$48,0)</f>
        <v>1528</v>
      </c>
      <c r="F39" s="110">
        <f t="shared" si="0"/>
        <v>203</v>
      </c>
      <c r="G39" s="112"/>
      <c r="H39" s="110">
        <f>升级曲线!F53/副本时间模板!$D$7</f>
        <v>0.76019783921023909</v>
      </c>
      <c r="I39" s="110">
        <v>22</v>
      </c>
      <c r="J39" s="110">
        <f t="shared" si="1"/>
        <v>17</v>
      </c>
      <c r="K39" s="110">
        <f t="shared" si="2"/>
        <v>185</v>
      </c>
      <c r="L39" s="80"/>
      <c r="M39" s="81">
        <v>1</v>
      </c>
      <c r="N39" s="95"/>
      <c r="O39" s="81"/>
      <c r="P39" s="80"/>
      <c r="Q39" s="81"/>
      <c r="R39" s="80"/>
      <c r="S39" s="81"/>
      <c r="T39" s="81"/>
      <c r="U39" s="81"/>
      <c r="V39" s="80"/>
      <c r="W39" s="80"/>
      <c r="X39" s="80"/>
      <c r="Y39" s="80"/>
    </row>
    <row r="40" spans="1:25" ht="16.5">
      <c r="A40" s="83">
        <v>39</v>
      </c>
      <c r="B40" s="88"/>
      <c r="C40" s="88"/>
      <c r="D40" s="111">
        <f>升级曲线!G63</f>
        <v>4183.8610959149182</v>
      </c>
      <c r="E40" s="110">
        <f>ROUNDUP(D40/副本时间模板!$F$48,0)</f>
        <v>1768</v>
      </c>
      <c r="F40" s="110">
        <f t="shared" si="0"/>
        <v>240</v>
      </c>
      <c r="G40" s="112"/>
      <c r="H40" s="110">
        <f>升级曲线!F54/副本时间模板!$D$7</f>
        <v>0.89361702127659559</v>
      </c>
      <c r="I40" s="110">
        <v>22</v>
      </c>
      <c r="J40" s="110">
        <f t="shared" si="1"/>
        <v>20</v>
      </c>
      <c r="K40" s="110">
        <f t="shared" si="2"/>
        <v>219</v>
      </c>
      <c r="L40" s="80"/>
      <c r="M40" s="81">
        <v>1</v>
      </c>
      <c r="N40" s="95"/>
      <c r="O40" s="81"/>
      <c r="P40" s="80"/>
      <c r="Q40" s="81"/>
      <c r="R40" s="80"/>
      <c r="S40" s="81"/>
      <c r="T40" s="81"/>
      <c r="U40" s="80"/>
      <c r="V40" s="80"/>
      <c r="W40" s="80"/>
      <c r="X40" s="80"/>
      <c r="Y40" s="80"/>
    </row>
    <row r="41" spans="1:25" ht="16.5">
      <c r="A41" s="83">
        <v>40</v>
      </c>
      <c r="B41" s="89">
        <v>225</v>
      </c>
      <c r="C41" s="89">
        <v>37.5</v>
      </c>
      <c r="D41" s="111">
        <f>升级曲线!G64</f>
        <v>4847.6908831489609</v>
      </c>
      <c r="E41" s="110">
        <f>ROUNDUP(D41/副本时间模板!$F$48,0)</f>
        <v>2049</v>
      </c>
      <c r="F41" s="110">
        <f t="shared" si="0"/>
        <v>281</v>
      </c>
      <c r="G41" s="112"/>
      <c r="H41" s="110">
        <f>升级曲线!F55/副本时间模板!$D$7</f>
        <v>1.2127659574468079</v>
      </c>
      <c r="I41" s="110">
        <v>22</v>
      </c>
      <c r="J41" s="110">
        <f t="shared" si="1"/>
        <v>27</v>
      </c>
      <c r="K41" s="110">
        <f t="shared" si="2"/>
        <v>253</v>
      </c>
      <c r="L41" s="80"/>
      <c r="M41" s="81">
        <v>1</v>
      </c>
      <c r="N41" s="95"/>
      <c r="O41" s="81"/>
      <c r="P41" s="80"/>
      <c r="Q41" s="81"/>
      <c r="R41" s="80"/>
      <c r="S41" s="81"/>
      <c r="T41" s="81"/>
      <c r="U41" s="80"/>
      <c r="V41" s="80"/>
      <c r="W41" s="80"/>
      <c r="X41" s="80"/>
      <c r="Y41" s="80"/>
    </row>
    <row r="42" spans="1:25" ht="16.5">
      <c r="A42" s="83">
        <v>41</v>
      </c>
      <c r="B42" s="88"/>
      <c r="C42" s="89"/>
      <c r="D42" s="111">
        <f>升级曲线!G65</f>
        <v>5517.903649106408</v>
      </c>
      <c r="E42" s="110">
        <f>ROUNDUP(D42/副本时间模板!$F$48,0)</f>
        <v>2332</v>
      </c>
      <c r="F42" s="110">
        <f t="shared" si="0"/>
        <v>283</v>
      </c>
      <c r="G42" s="112"/>
      <c r="H42" s="110">
        <f>升级曲线!F56/副本时间模板!$D$7</f>
        <v>1.3425759342270822</v>
      </c>
      <c r="I42" s="110">
        <v>22</v>
      </c>
      <c r="J42" s="110">
        <f t="shared" si="1"/>
        <v>30</v>
      </c>
      <c r="K42" s="110">
        <f t="shared" si="2"/>
        <v>252</v>
      </c>
      <c r="L42" s="80"/>
      <c r="M42" s="81">
        <v>1</v>
      </c>
      <c r="N42" s="95"/>
      <c r="O42" s="81"/>
      <c r="P42" s="80"/>
      <c r="Q42" s="106"/>
      <c r="R42" s="106"/>
      <c r="S42" s="81"/>
      <c r="T42" s="81"/>
      <c r="U42" s="80"/>
      <c r="V42" s="80"/>
      <c r="W42" s="81"/>
      <c r="X42" s="81"/>
      <c r="Y42" s="81"/>
    </row>
    <row r="43" spans="1:25" ht="16.5">
      <c r="A43" s="83">
        <v>42</v>
      </c>
      <c r="B43" s="88"/>
      <c r="C43" s="89"/>
      <c r="D43" s="111">
        <f>升级曲线!G66</f>
        <v>6211.0509567073987</v>
      </c>
      <c r="E43" s="110">
        <f>ROUNDUP(D43/副本时间模板!$F$48,0)</f>
        <v>2625</v>
      </c>
      <c r="F43" s="110">
        <f t="shared" si="0"/>
        <v>293</v>
      </c>
      <c r="G43" s="112"/>
      <c r="H43" s="110">
        <f>升级曲线!F57/副本时间模板!$D$7</f>
        <v>1.5347459518258861</v>
      </c>
      <c r="I43" s="110">
        <v>22</v>
      </c>
      <c r="J43" s="110">
        <f t="shared" si="1"/>
        <v>34</v>
      </c>
      <c r="K43" s="110">
        <f t="shared" si="2"/>
        <v>258</v>
      </c>
      <c r="L43" s="80"/>
      <c r="M43" s="81">
        <v>1</v>
      </c>
      <c r="N43" s="95"/>
      <c r="O43" s="81"/>
      <c r="P43" s="80"/>
      <c r="Q43" s="81"/>
      <c r="R43" s="80"/>
      <c r="S43" s="81"/>
      <c r="T43" s="81"/>
      <c r="U43" s="80"/>
      <c r="V43" s="80"/>
      <c r="W43" s="80"/>
      <c r="X43" s="80"/>
      <c r="Y43" s="80"/>
    </row>
    <row r="44" spans="1:25" ht="16.5">
      <c r="A44" s="83">
        <v>43</v>
      </c>
      <c r="B44" s="88"/>
      <c r="C44" s="89"/>
      <c r="D44" s="111">
        <f>升级曲线!G67</f>
        <v>6948.7067544737056</v>
      </c>
      <c r="E44" s="110">
        <f>ROUNDUP(D44/副本时间模板!$F$48,0)</f>
        <v>2937</v>
      </c>
      <c r="F44" s="110">
        <f t="shared" si="0"/>
        <v>312</v>
      </c>
      <c r="G44" s="112"/>
      <c r="H44" s="110">
        <f>升级曲线!F58/副本时间模板!$D$7</f>
        <v>1.754422283758549</v>
      </c>
      <c r="I44" s="110">
        <v>22</v>
      </c>
      <c r="J44" s="110">
        <f t="shared" si="1"/>
        <v>39</v>
      </c>
      <c r="K44" s="110">
        <f t="shared" si="2"/>
        <v>272</v>
      </c>
      <c r="L44" s="80"/>
      <c r="M44" s="81">
        <v>1</v>
      </c>
      <c r="N44" s="95"/>
      <c r="O44" s="81"/>
      <c r="P44" s="80"/>
      <c r="Q44" s="81"/>
      <c r="R44" s="80"/>
      <c r="S44" s="81"/>
      <c r="T44" s="81"/>
      <c r="U44" s="80"/>
      <c r="V44" s="80"/>
      <c r="W44" s="80"/>
      <c r="X44" s="80"/>
      <c r="Y44" s="80"/>
    </row>
    <row r="45" spans="1:25" ht="16.5">
      <c r="A45" s="83">
        <v>44</v>
      </c>
      <c r="B45" s="88"/>
      <c r="C45" s="89"/>
      <c r="D45" s="111">
        <f>升级曲线!G68</f>
        <v>7733.4020725937025</v>
      </c>
      <c r="E45" s="110">
        <f>ROUNDUP(D45/副本时间模板!$F$48,0)</f>
        <v>3268</v>
      </c>
      <c r="F45" s="110">
        <f t="shared" si="0"/>
        <v>331</v>
      </c>
      <c r="G45" s="112"/>
      <c r="H45" s="110">
        <f>升级曲线!F59/副本时间模板!$D$7</f>
        <v>2.0055420547528868</v>
      </c>
      <c r="I45" s="110">
        <v>22</v>
      </c>
      <c r="J45" s="110">
        <f t="shared" si="1"/>
        <v>45</v>
      </c>
      <c r="K45" s="110">
        <f t="shared" si="2"/>
        <v>285</v>
      </c>
      <c r="L45" s="80"/>
      <c r="M45" s="81">
        <v>1</v>
      </c>
      <c r="N45" s="95"/>
      <c r="O45" s="81"/>
      <c r="P45" s="80"/>
      <c r="Q45" s="81"/>
      <c r="R45" s="80"/>
      <c r="S45" s="81"/>
      <c r="T45" s="81"/>
      <c r="U45" s="80"/>
      <c r="V45" s="80"/>
      <c r="W45" s="80"/>
      <c r="X45" s="80"/>
      <c r="Y45" s="80"/>
    </row>
    <row r="46" spans="1:25" ht="16.5">
      <c r="A46" s="83">
        <v>45</v>
      </c>
      <c r="B46" s="88"/>
      <c r="C46" s="89"/>
      <c r="D46" s="111">
        <f>升级曲线!G69</f>
        <v>8576.6505729556593</v>
      </c>
      <c r="E46" s="110">
        <f>ROUNDUP(D46/副本时间模板!$F$48,0)</f>
        <v>3624</v>
      </c>
      <c r="F46" s="110">
        <f t="shared" si="0"/>
        <v>356</v>
      </c>
      <c r="G46" s="112"/>
      <c r="H46" s="110">
        <f>升级曲线!F60/副本时间模板!$D$7</f>
        <v>2.2926059310906379</v>
      </c>
      <c r="I46" s="110">
        <v>22</v>
      </c>
      <c r="J46" s="110">
        <f t="shared" si="1"/>
        <v>51</v>
      </c>
      <c r="K46" s="110">
        <f t="shared" si="2"/>
        <v>304</v>
      </c>
      <c r="L46" s="80"/>
      <c r="M46" s="81">
        <v>1</v>
      </c>
      <c r="N46" s="95"/>
      <c r="O46" s="81"/>
      <c r="P46" s="80"/>
      <c r="Q46" s="108"/>
      <c r="R46" s="108"/>
      <c r="S46" s="81"/>
      <c r="T46" s="81"/>
      <c r="U46" s="80"/>
      <c r="V46" s="80"/>
      <c r="W46" s="81"/>
      <c r="X46" s="81"/>
      <c r="Y46" s="81"/>
    </row>
    <row r="47" spans="1:25" ht="16.5">
      <c r="A47" s="83">
        <v>46</v>
      </c>
      <c r="B47" s="88"/>
      <c r="C47" s="89"/>
      <c r="D47" s="111">
        <f>升级曲线!G70</f>
        <v>9501.9991237002414</v>
      </c>
      <c r="E47" s="110">
        <f>ROUNDUP(D47/副本时间模板!$F$48,0)</f>
        <v>4015</v>
      </c>
      <c r="F47" s="110">
        <f t="shared" si="0"/>
        <v>391</v>
      </c>
      <c r="G47" s="112"/>
      <c r="H47" s="110">
        <f>升级曲线!F61/副本时间模板!$D$7</f>
        <v>2.7062183088428116</v>
      </c>
      <c r="I47" s="110">
        <v>22</v>
      </c>
      <c r="J47" s="110">
        <f t="shared" si="1"/>
        <v>60</v>
      </c>
      <c r="K47" s="110">
        <f t="shared" si="2"/>
        <v>330</v>
      </c>
      <c r="L47" s="80"/>
      <c r="M47" s="81">
        <v>1</v>
      </c>
      <c r="N47" s="95"/>
      <c r="O47" s="81"/>
      <c r="P47" s="80"/>
      <c r="Q47" s="81"/>
      <c r="R47" s="80"/>
      <c r="S47" s="81"/>
      <c r="T47" s="81"/>
      <c r="U47" s="81"/>
      <c r="V47" s="80"/>
      <c r="W47" s="80"/>
      <c r="X47" s="80"/>
      <c r="Y47" s="80"/>
    </row>
    <row r="48" spans="1:25" ht="16.5">
      <c r="A48" s="83">
        <v>47</v>
      </c>
      <c r="B48" s="88"/>
      <c r="C48" s="89"/>
      <c r="D48" s="111">
        <f>升级曲线!G71</f>
        <v>10506.863598947943</v>
      </c>
      <c r="E48" s="110">
        <f>ROUNDUP(D48/副本时间模板!$F$48,0)</f>
        <v>4440</v>
      </c>
      <c r="F48" s="110">
        <f t="shared" si="0"/>
        <v>425</v>
      </c>
      <c r="G48" s="112"/>
      <c r="H48" s="110">
        <f>升级曲线!F62/副本时间模板!$D$7</f>
        <v>3.1912654963470302</v>
      </c>
      <c r="I48" s="110">
        <v>22</v>
      </c>
      <c r="J48" s="110">
        <f t="shared" si="1"/>
        <v>71</v>
      </c>
      <c r="K48" s="110">
        <f t="shared" si="2"/>
        <v>353</v>
      </c>
      <c r="L48" s="80"/>
      <c r="M48" s="81">
        <v>1</v>
      </c>
      <c r="N48" s="95"/>
      <c r="O48" s="81"/>
      <c r="P48" s="80"/>
      <c r="Q48" s="81"/>
      <c r="R48" s="80"/>
      <c r="S48" s="81"/>
      <c r="T48" s="81"/>
      <c r="U48" s="80"/>
      <c r="V48" s="80"/>
      <c r="W48" s="80"/>
      <c r="X48" s="80"/>
      <c r="Y48" s="80"/>
    </row>
    <row r="49" spans="1:25" ht="16.5">
      <c r="A49" s="83">
        <v>48</v>
      </c>
      <c r="B49" s="88"/>
      <c r="C49" s="89"/>
      <c r="D49" s="111">
        <f>升级曲线!G72</f>
        <v>11667.414373832524</v>
      </c>
      <c r="E49" s="110">
        <f>ROUNDUP(D49/副本时间模板!$F$48,0)</f>
        <v>4930</v>
      </c>
      <c r="F49" s="110">
        <f t="shared" si="0"/>
        <v>490</v>
      </c>
      <c r="G49" s="112"/>
      <c r="H49" s="110">
        <f>升级曲线!F63/副本时间模板!$D$7</f>
        <v>3.7969481897123858</v>
      </c>
      <c r="I49" s="110">
        <v>22</v>
      </c>
      <c r="J49" s="110">
        <f t="shared" si="1"/>
        <v>84</v>
      </c>
      <c r="K49" s="110">
        <f t="shared" si="2"/>
        <v>405</v>
      </c>
      <c r="L49" s="80"/>
      <c r="M49" s="81">
        <v>1</v>
      </c>
      <c r="N49" s="95"/>
      <c r="O49" s="81"/>
      <c r="P49" s="80"/>
      <c r="Q49" s="81"/>
      <c r="R49" s="80"/>
      <c r="S49" s="81"/>
      <c r="T49" s="81"/>
      <c r="U49" s="80"/>
      <c r="V49" s="80"/>
      <c r="W49" s="80"/>
      <c r="X49" s="80"/>
      <c r="Y49" s="80"/>
    </row>
    <row r="50" spans="1:25" ht="16.5">
      <c r="A50" s="83">
        <v>49</v>
      </c>
      <c r="B50" s="88"/>
      <c r="C50" s="89"/>
      <c r="D50" s="18">
        <f>升级曲线!G73</f>
        <v>12975.832081021043</v>
      </c>
      <c r="E50" s="24">
        <f>ROUNDUP(D50/副本时间模板!$F$48,0)</f>
        <v>5483</v>
      </c>
      <c r="F50" s="24">
        <f t="shared" si="0"/>
        <v>553</v>
      </c>
      <c r="G50" s="139"/>
      <c r="H50" s="24">
        <f>升级曲线!F64/副本时间模板!$D$7</f>
        <v>4.4255319148936172</v>
      </c>
      <c r="I50" s="24">
        <v>22</v>
      </c>
      <c r="J50" s="24">
        <f t="shared" si="1"/>
        <v>98</v>
      </c>
      <c r="K50" s="24">
        <f t="shared" si="2"/>
        <v>454</v>
      </c>
      <c r="L50" s="80"/>
      <c r="M50" s="81">
        <v>1</v>
      </c>
      <c r="N50" s="95"/>
      <c r="O50" s="81"/>
      <c r="P50" s="80"/>
      <c r="Q50" s="106"/>
      <c r="R50" s="106"/>
      <c r="S50" s="81"/>
      <c r="T50" s="81"/>
      <c r="U50" s="80"/>
      <c r="V50" s="80"/>
      <c r="W50" s="81"/>
      <c r="X50" s="81"/>
      <c r="Y50" s="81"/>
    </row>
    <row r="51" spans="1:25" ht="17.25" thickBot="1">
      <c r="A51" s="91">
        <v>50</v>
      </c>
      <c r="B51" s="92">
        <v>675</v>
      </c>
      <c r="C51" s="92">
        <v>112.5</v>
      </c>
      <c r="D51" s="138">
        <f>升级曲线!G74</f>
        <v>14584.342719318915</v>
      </c>
      <c r="E51" s="113">
        <f>ROUNDUP(D51/副本时间模板!$F$48,0)</f>
        <v>6163</v>
      </c>
      <c r="F51" s="113">
        <f t="shared" si="0"/>
        <v>680</v>
      </c>
      <c r="G51" s="113"/>
      <c r="H51" s="113">
        <f>升级曲线!F65/副本时间模板!$D$7</f>
        <v>4.468085106382981</v>
      </c>
      <c r="I51" s="113">
        <v>22</v>
      </c>
      <c r="J51" s="113">
        <f t="shared" si="1"/>
        <v>99</v>
      </c>
      <c r="K51" s="113"/>
      <c r="L51" s="87"/>
      <c r="M51" s="87"/>
      <c r="N51" s="87"/>
      <c r="O51" s="87"/>
      <c r="P51" s="87"/>
      <c r="Q51" s="87"/>
      <c r="R51" s="87"/>
      <c r="S51" s="87"/>
      <c r="T51" s="87"/>
      <c r="U51" s="87"/>
      <c r="V51" s="87"/>
      <c r="W51" s="87"/>
      <c r="X51" s="87"/>
      <c r="Y51" s="87"/>
    </row>
    <row r="52" spans="1:25" ht="16.5">
      <c r="A52" s="83">
        <v>51</v>
      </c>
      <c r="B52" s="88"/>
      <c r="C52" s="89"/>
      <c r="D52" s="111">
        <f>升级曲线!G75</f>
        <v>15924.768251233807</v>
      </c>
      <c r="E52" s="110">
        <f>ROUNDUP(D52/副本时间模板!$F$48,0)</f>
        <v>6729</v>
      </c>
      <c r="F52" s="80"/>
      <c r="G52" s="80"/>
      <c r="H52" s="80"/>
      <c r="I52" s="80"/>
      <c r="J52" s="80"/>
      <c r="K52" s="80"/>
      <c r="L52" s="80"/>
      <c r="M52" s="80"/>
      <c r="N52" s="80"/>
      <c r="O52" s="80"/>
      <c r="P52" s="80"/>
      <c r="Q52" s="80"/>
      <c r="R52" s="80"/>
      <c r="S52" s="80"/>
      <c r="T52" s="80"/>
      <c r="U52" s="80"/>
      <c r="V52" s="80"/>
      <c r="W52" s="80"/>
      <c r="X52" s="80"/>
      <c r="Y52" s="80"/>
    </row>
    <row r="53" spans="1:25" ht="16.5">
      <c r="A53" s="83">
        <v>52</v>
      </c>
      <c r="B53" s="88"/>
      <c r="C53" s="89"/>
      <c r="D53" s="111">
        <f>升级曲线!G76</f>
        <v>17338.912659705551</v>
      </c>
      <c r="E53" s="110">
        <f>ROUNDUP(D53/副本时间模板!$F$48,0)</f>
        <v>7327</v>
      </c>
      <c r="F53" s="80"/>
      <c r="G53" s="80"/>
      <c r="H53" s="80"/>
      <c r="I53" s="80"/>
      <c r="J53" s="80"/>
      <c r="K53" s="80"/>
      <c r="L53" s="80"/>
      <c r="M53" s="80"/>
      <c r="N53" s="80"/>
      <c r="O53" s="80"/>
      <c r="P53" s="80"/>
      <c r="Q53" s="80"/>
      <c r="R53" s="80"/>
      <c r="S53" s="80"/>
      <c r="T53" s="80"/>
      <c r="U53" s="80"/>
      <c r="V53" s="80"/>
      <c r="W53" s="80"/>
      <c r="X53" s="80"/>
      <c r="Y53" s="80"/>
    </row>
    <row r="54" spans="1:25" ht="16.5">
      <c r="A54" s="83">
        <v>53</v>
      </c>
      <c r="B54" s="88"/>
      <c r="C54" s="89"/>
      <c r="D54" s="111">
        <f>升级曲线!G77</f>
        <v>18830.830233936653</v>
      </c>
      <c r="E54" s="110">
        <f>ROUNDUP(D54/副本时间模板!$F$48,0)</f>
        <v>7957</v>
      </c>
      <c r="F54" s="80"/>
      <c r="G54" s="80"/>
      <c r="H54" s="80"/>
      <c r="I54" s="80"/>
      <c r="J54" s="80"/>
      <c r="K54" s="80"/>
      <c r="L54" s="80"/>
      <c r="M54" s="80"/>
      <c r="N54" s="80"/>
      <c r="O54" s="80"/>
      <c r="P54" s="80"/>
      <c r="Q54" s="80"/>
      <c r="R54" s="80"/>
      <c r="S54" s="80"/>
      <c r="T54" s="80"/>
      <c r="U54" s="80"/>
      <c r="V54" s="80"/>
      <c r="W54" s="80"/>
      <c r="X54" s="80"/>
      <c r="Y54" s="80"/>
    </row>
    <row r="55" spans="1:25" ht="16.5">
      <c r="A55" s="83">
        <v>54</v>
      </c>
      <c r="B55" s="88"/>
      <c r="C55" s="89"/>
      <c r="D55" s="111">
        <f>升级曲线!G78</f>
        <v>20404.79823534115</v>
      </c>
      <c r="E55" s="110">
        <f>ROUNDUP(D55/副本时间模板!$F$48,0)</f>
        <v>8622</v>
      </c>
      <c r="F55" s="80"/>
      <c r="G55" s="80"/>
      <c r="H55" s="80"/>
      <c r="I55" s="80"/>
      <c r="J55" s="80"/>
      <c r="K55" s="80"/>
      <c r="L55" s="80"/>
      <c r="M55" s="80"/>
      <c r="N55" s="80"/>
      <c r="O55" s="80"/>
      <c r="P55" s="80"/>
      <c r="Q55" s="80"/>
      <c r="R55" s="80"/>
      <c r="S55" s="80"/>
      <c r="T55" s="80"/>
      <c r="U55" s="80"/>
      <c r="V55" s="80"/>
      <c r="W55" s="80"/>
      <c r="X55" s="80"/>
      <c r="Y55" s="80"/>
    </row>
    <row r="56" spans="1:25" ht="16.5">
      <c r="A56" s="83">
        <v>55</v>
      </c>
      <c r="B56" s="88"/>
      <c r="C56" s="89"/>
      <c r="D56" s="111">
        <f>升级曲线!G79</f>
        <v>22065.329160263085</v>
      </c>
      <c r="E56" s="110">
        <f>ROUNDUP(D56/副本时间模板!$F$48,0)</f>
        <v>9324</v>
      </c>
      <c r="F56" s="80"/>
      <c r="G56" s="80"/>
      <c r="H56" s="80"/>
      <c r="I56" s="80"/>
      <c r="J56" s="80"/>
      <c r="K56" s="80"/>
      <c r="L56" s="80"/>
      <c r="M56" s="80"/>
      <c r="N56" s="80"/>
      <c r="O56" s="80"/>
      <c r="P56" s="80"/>
      <c r="Q56" s="80"/>
      <c r="R56" s="80"/>
      <c r="S56" s="80"/>
      <c r="T56" s="80"/>
      <c r="U56" s="80"/>
      <c r="V56" s="80"/>
      <c r="W56" s="80"/>
      <c r="X56" s="80"/>
      <c r="Y56" s="80"/>
    </row>
    <row r="57" spans="1:25" ht="16.5">
      <c r="A57" s="83">
        <v>56</v>
      </c>
      <c r="B57" s="88"/>
      <c r="C57" s="89"/>
      <c r="D57" s="111">
        <f>升级曲线!G80</f>
        <v>23817.18367710309</v>
      </c>
      <c r="E57" s="110">
        <f>ROUNDUP(D57/副本时间模板!$F$48,0)</f>
        <v>10064</v>
      </c>
      <c r="F57" s="80"/>
      <c r="G57" s="80"/>
      <c r="H57" s="80"/>
      <c r="I57" s="80"/>
      <c r="J57" s="80"/>
      <c r="K57" s="80"/>
      <c r="L57" s="80"/>
      <c r="M57" s="80"/>
      <c r="N57" s="80"/>
      <c r="O57" s="80"/>
      <c r="P57" s="80"/>
      <c r="Q57" s="80"/>
      <c r="R57" s="80"/>
      <c r="S57" s="80"/>
      <c r="T57" s="80"/>
      <c r="U57" s="80"/>
      <c r="V57" s="80"/>
      <c r="W57" s="80"/>
      <c r="X57" s="80"/>
      <c r="Y57" s="80"/>
    </row>
    <row r="58" spans="1:25" ht="16.5">
      <c r="A58" s="83">
        <v>57</v>
      </c>
      <c r="B58" s="88"/>
      <c r="C58" s="89"/>
      <c r="D58" s="111">
        <f>升级曲线!G81</f>
        <v>25665.384274943211</v>
      </c>
      <c r="E58" s="110">
        <f>ROUNDUP(D58/副本时间模板!$F$48,0)</f>
        <v>10845</v>
      </c>
      <c r="F58" s="80"/>
      <c r="G58" s="80"/>
      <c r="H58" s="80"/>
      <c r="I58" s="80"/>
      <c r="J58" s="80"/>
      <c r="K58" s="80"/>
      <c r="L58" s="80"/>
      <c r="M58" s="80"/>
      <c r="N58" s="80"/>
      <c r="O58" s="80"/>
      <c r="P58" s="80"/>
      <c r="Q58" s="80"/>
      <c r="R58" s="80"/>
      <c r="S58" s="80"/>
      <c r="T58" s="80"/>
      <c r="U58" s="80"/>
      <c r="V58" s="80"/>
      <c r="W58" s="80"/>
      <c r="X58" s="80"/>
      <c r="Y58" s="80"/>
    </row>
    <row r="59" spans="1:25" ht="16.5">
      <c r="A59" s="83">
        <v>58</v>
      </c>
      <c r="B59" s="88"/>
      <c r="C59" s="89"/>
      <c r="D59" s="111">
        <f>升级曲线!G82</f>
        <v>27615.229662800004</v>
      </c>
      <c r="E59" s="110">
        <f>ROUNDUP(D59/副本时间模板!$F$48,0)</f>
        <v>11669</v>
      </c>
      <c r="F59" s="80"/>
      <c r="G59" s="80"/>
      <c r="H59" s="80"/>
      <c r="I59" s="80"/>
      <c r="J59" s="80"/>
      <c r="K59" s="80"/>
      <c r="L59" s="80"/>
      <c r="M59" s="80"/>
      <c r="N59" s="80"/>
      <c r="O59" s="80"/>
      <c r="P59" s="80"/>
      <c r="Q59" s="80"/>
      <c r="R59" s="80"/>
      <c r="S59" s="80"/>
      <c r="T59" s="80"/>
      <c r="U59" s="80"/>
      <c r="V59" s="80"/>
      <c r="W59" s="80"/>
      <c r="X59" s="80"/>
      <c r="Y59" s="80"/>
    </row>
    <row r="60" spans="1:25" ht="16.5">
      <c r="A60" s="83">
        <v>59</v>
      </c>
      <c r="B60" s="88"/>
      <c r="C60" s="89"/>
      <c r="D60" s="111">
        <f>升级曲线!G83</f>
        <v>29672.309960787923</v>
      </c>
      <c r="E60" s="110">
        <f>ROUNDUP(D60/副本时间模板!$F$48,0)</f>
        <v>12538</v>
      </c>
      <c r="F60" s="80"/>
      <c r="G60" s="80"/>
      <c r="H60" s="80"/>
      <c r="I60" s="80"/>
      <c r="J60" s="80"/>
      <c r="K60" s="80"/>
      <c r="L60" s="80"/>
      <c r="M60" s="80"/>
      <c r="N60" s="80"/>
      <c r="O60" s="80"/>
      <c r="P60" s="80"/>
      <c r="Q60" s="80"/>
      <c r="R60" s="80"/>
      <c r="S60" s="80"/>
      <c r="T60" s="80"/>
      <c r="U60" s="80"/>
      <c r="V60" s="80"/>
      <c r="W60" s="80"/>
      <c r="X60" s="80"/>
      <c r="Y60" s="80"/>
    </row>
    <row r="61" spans="1:25" ht="16.5">
      <c r="A61" s="83">
        <v>60</v>
      </c>
      <c r="B61" s="89">
        <v>1215</v>
      </c>
      <c r="C61" s="89">
        <v>202.5</v>
      </c>
      <c r="D61" s="111">
        <f>升级曲线!G84</f>
        <v>31842.52272674537</v>
      </c>
      <c r="E61" s="110">
        <f>ROUNDUP(D61/副本时间模板!$F$48,0)</f>
        <v>13455</v>
      </c>
      <c r="F61" s="80"/>
      <c r="G61" s="80"/>
      <c r="H61" s="80"/>
      <c r="I61" s="80"/>
      <c r="J61" s="80"/>
      <c r="K61" s="80"/>
      <c r="L61" s="80"/>
      <c r="M61" s="80"/>
      <c r="N61" s="80"/>
      <c r="O61" s="80"/>
      <c r="P61" s="80"/>
      <c r="Q61" s="80"/>
      <c r="R61" s="80"/>
      <c r="S61" s="80"/>
      <c r="T61" s="80"/>
      <c r="U61" s="80"/>
      <c r="V61" s="80"/>
      <c r="W61" s="80"/>
      <c r="X61" s="80"/>
      <c r="Y61" s="80"/>
    </row>
    <row r="62" spans="1:25" ht="16.5">
      <c r="A62" s="83">
        <v>61</v>
      </c>
      <c r="B62" s="88"/>
      <c r="C62" s="89"/>
      <c r="D62" s="111">
        <f>升级曲线!G85</f>
        <v>34012.735492702814</v>
      </c>
      <c r="E62" s="110">
        <f>ROUNDUP(D62/副本时间模板!$F$48,0)</f>
        <v>14372</v>
      </c>
      <c r="F62" s="80"/>
      <c r="G62" s="80"/>
      <c r="H62" s="80"/>
      <c r="I62" s="80"/>
      <c r="J62" s="80"/>
      <c r="K62" s="80"/>
      <c r="L62" s="80"/>
      <c r="M62" s="80"/>
      <c r="N62" s="80"/>
      <c r="O62" s="80"/>
      <c r="P62" s="80"/>
      <c r="Q62" s="80"/>
      <c r="R62" s="80"/>
      <c r="S62" s="80"/>
      <c r="T62" s="80"/>
      <c r="U62" s="80"/>
      <c r="V62" s="80"/>
      <c r="W62" s="80"/>
      <c r="X62" s="80"/>
      <c r="Y62" s="80"/>
    </row>
    <row r="63" spans="1:25" ht="16.5">
      <c r="A63" s="83">
        <v>62</v>
      </c>
      <c r="B63" s="88"/>
      <c r="C63" s="89"/>
      <c r="D63" s="111">
        <f>升级曲线!G86</f>
        <v>36292.679584344667</v>
      </c>
      <c r="E63" s="110">
        <f>ROUNDUP(D63/副本时间模板!$F$48,0)</f>
        <v>15335</v>
      </c>
      <c r="F63" s="80"/>
      <c r="G63" s="80"/>
      <c r="H63" s="80"/>
      <c r="I63" s="80"/>
      <c r="J63" s="80"/>
      <c r="K63" s="80"/>
      <c r="L63" s="80"/>
      <c r="M63" s="80"/>
      <c r="N63" s="80"/>
      <c r="O63" s="80"/>
      <c r="P63" s="80"/>
      <c r="Q63" s="80"/>
      <c r="R63" s="80"/>
      <c r="S63" s="80"/>
      <c r="T63" s="80"/>
      <c r="U63" s="80"/>
      <c r="V63" s="80"/>
      <c r="W63" s="80"/>
      <c r="X63" s="80"/>
      <c r="Y63" s="80"/>
    </row>
    <row r="64" spans="1:25" ht="16.5">
      <c r="A64" s="83">
        <v>63</v>
      </c>
      <c r="B64" s="88"/>
      <c r="C64" s="89"/>
      <c r="D64" s="111">
        <f>升级曲线!G87</f>
        <v>38687.903288928901</v>
      </c>
      <c r="E64" s="110">
        <f>ROUNDUP(D64/副本时间模板!$F$48,0)</f>
        <v>16348</v>
      </c>
      <c r="F64" s="80"/>
      <c r="G64" s="80"/>
      <c r="H64" s="80"/>
      <c r="I64" s="80"/>
      <c r="J64" s="80"/>
      <c r="K64" s="80"/>
      <c r="L64" s="80"/>
      <c r="M64" s="80"/>
      <c r="N64" s="80"/>
      <c r="O64" s="80"/>
      <c r="P64" s="80"/>
      <c r="Q64" s="80"/>
      <c r="R64" s="80"/>
      <c r="S64" s="80"/>
      <c r="T64" s="80"/>
      <c r="U64" s="80"/>
      <c r="V64" s="80"/>
      <c r="W64" s="80"/>
      <c r="X64" s="80"/>
      <c r="Y64" s="80"/>
    </row>
    <row r="65" spans="1:5" ht="16.5">
      <c r="A65" s="83">
        <v>64</v>
      </c>
      <c r="B65" s="88"/>
      <c r="C65" s="89"/>
      <c r="D65" s="111">
        <f>升级曲线!G88</f>
        <v>41204.235428841494</v>
      </c>
      <c r="E65" s="110">
        <f>ROUNDUP(D65/副本时间模板!$F$48,0)</f>
        <v>17411</v>
      </c>
    </row>
    <row r="66" spans="1:5" ht="16.5">
      <c r="A66" s="83">
        <v>65</v>
      </c>
      <c r="B66" s="88"/>
      <c r="C66" s="89"/>
      <c r="D66" s="111">
        <f>升级曲线!G89</f>
        <v>43847.799546146438</v>
      </c>
      <c r="E66" s="110">
        <f>ROUNDUP(D66/副本时间模板!$F$48,0)</f>
        <v>18528</v>
      </c>
    </row>
    <row r="67" spans="1:5" ht="16.5">
      <c r="A67" s="83">
        <v>66</v>
      </c>
      <c r="B67" s="88"/>
      <c r="C67" s="89"/>
      <c r="D67" s="111">
        <f>升级曲线!G90</f>
        <v>46625.028804341666</v>
      </c>
      <c r="E67" s="110">
        <f>ROUNDUP(D67/副本时间模板!$F$48,0)</f>
        <v>19701</v>
      </c>
    </row>
    <row r="68" spans="1:5" ht="16.5">
      <c r="A68" s="83">
        <v>67</v>
      </c>
      <c r="B68" s="88"/>
      <c r="C68" s="89"/>
      <c r="D68" s="111">
        <f>升级曲线!G91</f>
        <v>49542.681643584641</v>
      </c>
      <c r="E68" s="110">
        <f>ROUNDUP(D68/副本时间模板!$F$48,0)</f>
        <v>20934</v>
      </c>
    </row>
    <row r="69" spans="1:5" ht="16.5">
      <c r="A69" s="83">
        <v>68</v>
      </c>
      <c r="B69" s="88"/>
      <c r="C69" s="89"/>
      <c r="D69" s="111">
        <f>升级曲线!G92</f>
        <v>52607.85822748486</v>
      </c>
      <c r="E69" s="110">
        <f>ROUNDUP(D69/副本时间模板!$F$48,0)</f>
        <v>22229</v>
      </c>
    </row>
    <row r="70" spans="1:5" ht="16.5">
      <c r="A70" s="83">
        <v>69</v>
      </c>
      <c r="B70" s="88"/>
      <c r="C70" s="89"/>
      <c r="D70" s="111">
        <f>升级曲线!G93</f>
        <v>55828.017721486889</v>
      </c>
      <c r="E70" s="110">
        <f>ROUNDUP(D70/副本时间模板!$F$48,0)</f>
        <v>23590</v>
      </c>
    </row>
    <row r="71" spans="1:5" ht="16.5">
      <c r="A71" s="83">
        <v>70</v>
      </c>
      <c r="B71" s="89">
        <v>1845</v>
      </c>
      <c r="C71" s="89">
        <v>307.5</v>
      </c>
      <c r="D71" s="111">
        <f>升级曲线!G94</f>
        <v>59210.996444891141</v>
      </c>
      <c r="E71" s="110">
        <f>ROUNDUP(D71/副本时间模板!$F$48,0)</f>
        <v>25019</v>
      </c>
    </row>
    <row r="72" spans="1:5" ht="16.5">
      <c r="A72" s="83">
        <v>71</v>
      </c>
      <c r="B72" s="88"/>
      <c r="C72" s="89"/>
      <c r="D72" s="111">
        <f>升级曲线!G95</f>
        <v>62593.975168295401</v>
      </c>
      <c r="E72" s="110">
        <f>ROUNDUP(D72/副本时间模板!$F$48,0)</f>
        <v>26449</v>
      </c>
    </row>
    <row r="73" spans="1:5" ht="16.5">
      <c r="A73" s="83">
        <v>72</v>
      </c>
      <c r="B73" s="88"/>
      <c r="C73" s="89"/>
      <c r="D73" s="111">
        <f>升级曲线!G96</f>
        <v>66125.36605798181</v>
      </c>
      <c r="E73" s="110">
        <f>ROUNDUP(D73/副本时间模板!$F$48,0)</f>
        <v>27941</v>
      </c>
    </row>
    <row r="74" spans="1:5" ht="16.5">
      <c r="A74" s="83">
        <v>73</v>
      </c>
      <c r="B74" s="88"/>
      <c r="C74" s="89"/>
      <c r="D74" s="111">
        <f>升级曲线!G97</f>
        <v>69811.679994715945</v>
      </c>
      <c r="E74" s="110">
        <f>ROUNDUP(D74/副本时间模板!$F$48,0)</f>
        <v>29498</v>
      </c>
    </row>
    <row r="75" spans="1:5" ht="16.5">
      <c r="A75" s="83">
        <v>74</v>
      </c>
      <c r="B75" s="88"/>
      <c r="C75" s="89"/>
      <c r="D75" s="111">
        <f>升级曲线!G98</f>
        <v>73659.713493314848</v>
      </c>
      <c r="E75" s="110">
        <f>ROUNDUP(D75/副本时间模板!$F$48,0)</f>
        <v>31124</v>
      </c>
    </row>
    <row r="76" spans="1:5" ht="16.5">
      <c r="A76" s="83">
        <v>75</v>
      </c>
      <c r="B76" s="88"/>
      <c r="C76" s="89"/>
      <c r="D76" s="111">
        <f>升级曲线!G99</f>
        <v>77676.561233488013</v>
      </c>
      <c r="E76" s="110">
        <f>ROUNDUP(D76/副本时间模板!$F$48,0)</f>
        <v>32822</v>
      </c>
    </row>
    <row r="77" spans="1:5" ht="16.5">
      <c r="A77" s="83">
        <v>76</v>
      </c>
      <c r="B77" s="88"/>
      <c r="C77" s="89"/>
      <c r="D77" s="111">
        <f>升级曲线!G100</f>
        <v>81869.629140409597</v>
      </c>
      <c r="E77" s="110">
        <f>ROUNDUP(D77/副本时间模板!$F$48,0)</f>
        <v>34593</v>
      </c>
    </row>
    <row r="78" spans="1:5" ht="16.5">
      <c r="A78" s="83">
        <v>77</v>
      </c>
      <c r="B78" s="88"/>
      <c r="C78" s="89"/>
      <c r="D78" s="111">
        <f>升级曲线!G101</f>
        <v>86246.648039138818</v>
      </c>
      <c r="E78" s="110">
        <f>ROUNDUP(D78/副本时间模板!$F$48,0)</f>
        <v>36443</v>
      </c>
    </row>
    <row r="79" spans="1:5" ht="16.5">
      <c r="A79" s="83">
        <v>78</v>
      </c>
      <c r="B79" s="88"/>
      <c r="C79" s="89"/>
      <c r="D79" s="111">
        <f>升级曲线!G102</f>
        <v>90815.687908063395</v>
      </c>
      <c r="E79" s="110">
        <f>ROUNDUP(D79/副本时间模板!$F$48,0)</f>
        <v>38373</v>
      </c>
    </row>
    <row r="80" spans="1:5" ht="16.5">
      <c r="A80" s="83">
        <v>79</v>
      </c>
      <c r="B80" s="88"/>
      <c r="C80" s="89"/>
      <c r="D80" s="111">
        <f>升级曲线!G103</f>
        <v>95585.17275764521</v>
      </c>
      <c r="E80" s="110">
        <f>ROUNDUP(D80/副本时间模板!$F$48,0)</f>
        <v>40389</v>
      </c>
    </row>
    <row r="81" spans="1:5" ht="16.5">
      <c r="A81" s="83">
        <v>80</v>
      </c>
      <c r="B81" s="89">
        <v>2925</v>
      </c>
      <c r="C81" s="89">
        <v>487.5</v>
      </c>
      <c r="D81" s="111">
        <f>升级曲线!G104</f>
        <v>100563.89616190053</v>
      </c>
      <c r="E81" s="110">
        <f>ROUNDUP(D81/副本时间模板!$F$48,0)</f>
        <v>42492</v>
      </c>
    </row>
    <row r="82" spans="1:5" ht="16.5">
      <c r="A82" s="83">
        <v>81</v>
      </c>
      <c r="B82" s="88"/>
      <c r="C82" s="89"/>
      <c r="D82" s="111">
        <f>升级曲线!G105</f>
        <v>105542.61956615584</v>
      </c>
      <c r="E82" s="110">
        <f>ROUNDUP(D82/副本时间模板!$F$48,0)</f>
        <v>44596</v>
      </c>
    </row>
    <row r="83" spans="1:5" ht="16.5">
      <c r="A83" s="83">
        <v>82</v>
      </c>
      <c r="B83" s="88"/>
      <c r="C83" s="89"/>
      <c r="D83" s="111">
        <f>升级曲线!G106</f>
        <v>110673.9949346526</v>
      </c>
      <c r="E83" s="110">
        <f>ROUNDUP(D83/副本时间模板!$F$48,0)</f>
        <v>46764</v>
      </c>
    </row>
    <row r="84" spans="1:5" ht="16.5">
      <c r="A84" s="83">
        <v>83</v>
      </c>
      <c r="B84" s="88"/>
      <c r="C84" s="89"/>
      <c r="D84" s="111">
        <f>升级曲线!G107</f>
        <v>115962.70270859923</v>
      </c>
      <c r="E84" s="110">
        <f>ROUNDUP(D84/副本时间模板!$F$48,0)</f>
        <v>48999</v>
      </c>
    </row>
    <row r="85" spans="1:5" ht="16.5">
      <c r="A85" s="83">
        <v>84</v>
      </c>
      <c r="B85" s="88"/>
      <c r="C85" s="89"/>
      <c r="D85" s="111">
        <f>升级曲线!G108</f>
        <v>121413.56683557843</v>
      </c>
      <c r="E85" s="110">
        <f>ROUNDUP(D85/副本时间模板!$F$48,0)</f>
        <v>51302</v>
      </c>
    </row>
    <row r="86" spans="1:5" ht="16.5">
      <c r="A86" s="83">
        <v>85</v>
      </c>
      <c r="B86" s="88"/>
      <c r="C86" s="89"/>
      <c r="D86" s="111">
        <f>升级曲线!G109</f>
        <v>127031.55916957659</v>
      </c>
      <c r="E86" s="110">
        <f>ROUNDUP(D86/副本时间模板!$F$48,0)</f>
        <v>53676</v>
      </c>
    </row>
    <row r="87" spans="1:5" ht="16.5">
      <c r="A87" s="83">
        <v>86</v>
      </c>
      <c r="B87" s="88"/>
      <c r="C87" s="89"/>
      <c r="D87" s="111">
        <f>升级曲线!G110</f>
        <v>132821.80400592208</v>
      </c>
      <c r="E87" s="110">
        <f>ROUNDUP(D87/副本时间模板!$F$48,0)</f>
        <v>56122</v>
      </c>
    </row>
    <row r="88" spans="1:5" ht="16.5">
      <c r="A88" s="83">
        <v>87</v>
      </c>
      <c r="B88" s="88"/>
      <c r="C88" s="89"/>
      <c r="D88" s="111">
        <f>升级曲线!G111</f>
        <v>138789.58275526855</v>
      </c>
      <c r="E88" s="110">
        <f>ROUNDUP(D88/副本时间模板!$F$48,0)</f>
        <v>58644</v>
      </c>
    </row>
    <row r="89" spans="1:5" ht="16.5">
      <c r="A89" s="83">
        <v>88</v>
      </c>
      <c r="B89" s="88"/>
      <c r="C89" s="89"/>
      <c r="D89" s="111">
        <f>升级曲线!G112</f>
        <v>144940.33876088663</v>
      </c>
      <c r="E89" s="110">
        <f>ROUNDUP(D89/副本时间模板!$F$48,0)</f>
        <v>61243</v>
      </c>
    </row>
    <row r="90" spans="1:5" ht="16.5">
      <c r="A90" s="83">
        <v>89</v>
      </c>
      <c r="B90" s="88"/>
      <c r="C90" s="89"/>
      <c r="D90" s="111">
        <f>升级曲线!G113</f>
        <v>151279.68226365809</v>
      </c>
      <c r="E90" s="110">
        <f>ROUNDUP(D90/副本时间模板!$F$48,0)</f>
        <v>63921</v>
      </c>
    </row>
    <row r="91" spans="1:5" ht="16.5">
      <c r="A91" s="83">
        <v>90</v>
      </c>
      <c r="B91" s="89">
        <v>4095</v>
      </c>
      <c r="C91" s="89">
        <v>682.5</v>
      </c>
      <c r="D91" s="111">
        <f>升级曲线!G114</f>
        <v>158013.72481684957</v>
      </c>
      <c r="E91" s="110">
        <f>ROUNDUP(D91/副本时间模板!$F$48,0)</f>
        <v>66767</v>
      </c>
    </row>
    <row r="92" spans="1:5" ht="16.5">
      <c r="A92" s="83">
        <v>91</v>
      </c>
      <c r="B92" s="88"/>
      <c r="C92" s="89"/>
      <c r="D92" s="111">
        <f>升级曲线!G115</f>
        <v>164747.76737004105</v>
      </c>
      <c r="E92" s="110">
        <f>ROUNDUP(D92/副本时间模板!$F$48,0)</f>
        <v>69612</v>
      </c>
    </row>
    <row r="93" spans="1:5" ht="16.5">
      <c r="A93" s="83">
        <v>92</v>
      </c>
      <c r="B93" s="88"/>
      <c r="C93" s="89"/>
      <c r="D93" s="111">
        <f>升级曲线!G116</f>
        <v>171481.80992323253</v>
      </c>
      <c r="E93" s="110">
        <f>ROUNDUP(D93/副本时间模板!$F$48,0)</f>
        <v>72458</v>
      </c>
    </row>
    <row r="94" spans="1:5" ht="16.5">
      <c r="A94" s="83">
        <v>93</v>
      </c>
      <c r="B94" s="88"/>
      <c r="C94" s="89"/>
      <c r="D94" s="111">
        <f>升级曲线!G117</f>
        <v>178215.85247642401</v>
      </c>
      <c r="E94" s="110">
        <f>ROUNDUP(D94/副本时间模板!$F$48,0)</f>
        <v>75303</v>
      </c>
    </row>
    <row r="95" spans="1:5" ht="16.5">
      <c r="A95" s="83">
        <v>94</v>
      </c>
      <c r="B95" s="88"/>
      <c r="C95" s="89"/>
      <c r="D95" s="111">
        <f>升级曲线!G118</f>
        <v>184949.89502961549</v>
      </c>
      <c r="E95" s="110">
        <f>ROUNDUP(D95/副本时间模板!$F$48,0)</f>
        <v>78148</v>
      </c>
    </row>
    <row r="96" spans="1:5" ht="16.5">
      <c r="A96" s="83">
        <v>95</v>
      </c>
      <c r="B96" s="88"/>
      <c r="C96" s="89"/>
      <c r="D96" s="111">
        <f>升级曲线!G119</f>
        <v>191683.93758280698</v>
      </c>
      <c r="E96" s="110">
        <f>ROUNDUP(D96/副本时间模板!$F$48,0)</f>
        <v>80994</v>
      </c>
    </row>
    <row r="97" spans="1:5" ht="16.5">
      <c r="A97" s="83">
        <v>96</v>
      </c>
      <c r="B97" s="88"/>
      <c r="C97" s="89"/>
      <c r="D97" s="111">
        <f>升级曲线!G120</f>
        <v>198417.98013599846</v>
      </c>
      <c r="E97" s="110">
        <f>ROUNDUP(D97/副本时间模板!$F$48,0)</f>
        <v>83839</v>
      </c>
    </row>
    <row r="98" spans="1:5" ht="16.5">
      <c r="A98" s="83">
        <v>97</v>
      </c>
      <c r="B98" s="88"/>
      <c r="C98" s="89"/>
      <c r="D98" s="111">
        <f>升级曲线!G121</f>
        <v>205152.02268918994</v>
      </c>
      <c r="E98" s="110">
        <f>ROUNDUP(D98/副本时间模板!$F$48,0)</f>
        <v>86684</v>
      </c>
    </row>
    <row r="99" spans="1:5" ht="16.5">
      <c r="A99" s="83">
        <v>98</v>
      </c>
      <c r="B99" s="88"/>
      <c r="C99" s="89"/>
      <c r="D99" s="111">
        <f>升级曲线!G122</f>
        <v>211886.06524238142</v>
      </c>
      <c r="E99" s="110">
        <f>ROUNDUP(D99/副本时间模板!$F$48,0)</f>
        <v>89530</v>
      </c>
    </row>
    <row r="100" spans="1:5" ht="16.5">
      <c r="A100" s="83">
        <v>99</v>
      </c>
      <c r="B100" s="89">
        <v>6000</v>
      </c>
      <c r="C100" s="89">
        <v>1000</v>
      </c>
      <c r="D100" s="111">
        <f>升级曲线!G123</f>
        <v>218620.1077955729</v>
      </c>
      <c r="E100" s="110">
        <f>ROUNDUP(D100/副本时间模板!$F$48,0)</f>
        <v>92375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副本时间模板</vt:lpstr>
      <vt:lpstr>升级曲线</vt:lpstr>
      <vt:lpstr>投放控制方法</vt:lpstr>
      <vt:lpstr>Q&amp;A</vt:lpstr>
      <vt:lpstr>参考</vt:lpstr>
      <vt:lpstr>玩家历程（未完成）</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yuuki</dc:creator>
  <cp:lastModifiedBy>mtong</cp:lastModifiedBy>
  <dcterms:created xsi:type="dcterms:W3CDTF">2015-07-23T07:34:00Z</dcterms:created>
  <dcterms:modified xsi:type="dcterms:W3CDTF">2015-08-24T06:31:13Z</dcterms:modified>
</cp:coreProperties>
</file>