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Desktop\"/>
    </mc:Choice>
  </mc:AlternateContent>
  <bookViews>
    <workbookView xWindow="0" yWindow="0" windowWidth="28800" windowHeight="12450"/>
  </bookViews>
  <sheets>
    <sheet name="数值规划" sheetId="1" r:id="rId1"/>
    <sheet name="自用" sheetId="2" r:id="rId2"/>
    <sheet name="自用2" sheetId="3" r:id="rId3"/>
    <sheet name="自用3" sheetId="4" r:id="rId4"/>
    <sheet name="自用4"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5" i="5" l="1"/>
  <c r="J155" i="5"/>
  <c r="I155" i="5"/>
  <c r="H155" i="5"/>
  <c r="F157" i="5" s="1"/>
  <c r="G155" i="5"/>
  <c r="H157" i="5" s="1"/>
  <c r="F155" i="5"/>
  <c r="O145" i="5"/>
  <c r="N145" i="5"/>
  <c r="M145" i="5"/>
  <c r="L145" i="5"/>
  <c r="K145" i="5"/>
  <c r="J145" i="5"/>
  <c r="I145" i="5"/>
  <c r="H145" i="5"/>
  <c r="F147" i="5" s="1"/>
  <c r="G145" i="5"/>
  <c r="F145" i="5"/>
  <c r="I134" i="5"/>
  <c r="H134" i="5"/>
  <c r="G134" i="5"/>
  <c r="F134" i="5"/>
  <c r="I121" i="5"/>
  <c r="H121" i="5"/>
  <c r="G121" i="5"/>
  <c r="I106" i="5"/>
  <c r="J106" i="5" s="1"/>
  <c r="E103" i="5"/>
  <c r="F103" i="5" s="1"/>
  <c r="G103" i="5" s="1"/>
  <c r="E95" i="5"/>
  <c r="F95" i="5" s="1"/>
  <c r="G95" i="5" s="1"/>
  <c r="E91" i="5"/>
  <c r="F91" i="5" s="1"/>
  <c r="E88" i="5"/>
  <c r="F88" i="5" s="1"/>
  <c r="G88" i="5" s="1"/>
  <c r="I82" i="5"/>
  <c r="D82" i="5"/>
  <c r="I81" i="5"/>
  <c r="D81" i="5"/>
  <c r="L80" i="5"/>
  <c r="K80" i="5"/>
  <c r="J80" i="5"/>
  <c r="I80" i="5"/>
  <c r="D80" i="5"/>
  <c r="L79" i="5"/>
  <c r="K79" i="5"/>
  <c r="I79" i="5"/>
  <c r="J79" i="5" s="1"/>
  <c r="D79" i="5"/>
  <c r="D78" i="5"/>
  <c r="J74" i="5"/>
  <c r="I74" i="5"/>
  <c r="H74" i="5"/>
  <c r="G74" i="5"/>
  <c r="J73" i="5"/>
  <c r="H73" i="5"/>
  <c r="G73" i="5"/>
  <c r="H72" i="5"/>
  <c r="J72" i="5" s="1"/>
  <c r="G72" i="5"/>
  <c r="I72" i="5" s="1"/>
  <c r="I71" i="5"/>
  <c r="H71" i="5"/>
  <c r="J71" i="5" s="1"/>
  <c r="G71" i="5"/>
  <c r="J70" i="5"/>
  <c r="H70" i="5"/>
  <c r="G70" i="5"/>
  <c r="I70" i="5" s="1"/>
  <c r="E57" i="5"/>
  <c r="E47" i="5"/>
  <c r="I44" i="5"/>
  <c r="G44" i="5"/>
  <c r="F44" i="5"/>
  <c r="E44" i="5" s="1"/>
  <c r="G43" i="5"/>
  <c r="F43" i="5"/>
  <c r="E43" i="5" s="1"/>
  <c r="I42" i="5"/>
  <c r="G42" i="5"/>
  <c r="F42" i="5"/>
  <c r="E42" i="5" s="1"/>
  <c r="I41" i="5"/>
  <c r="G41" i="5"/>
  <c r="F41" i="5" s="1"/>
  <c r="E41" i="5" s="1"/>
  <c r="I40" i="5"/>
  <c r="G40" i="5"/>
  <c r="G45" i="5" s="1"/>
  <c r="F40" i="5"/>
  <c r="E37" i="5"/>
  <c r="F35" i="5"/>
  <c r="F33" i="5"/>
  <c r="C27" i="5"/>
  <c r="G26" i="5"/>
  <c r="J24" i="5"/>
  <c r="G16" i="5"/>
  <c r="G15" i="5"/>
  <c r="J23" i="5" s="1"/>
  <c r="J26" i="5" s="1"/>
  <c r="E7" i="5"/>
  <c r="I43" i="5" s="1"/>
  <c r="E4" i="5"/>
  <c r="E123" i="5" l="1"/>
  <c r="D123" i="5"/>
  <c r="D125" i="5" s="1"/>
  <c r="I73" i="5"/>
  <c r="K73" i="5" s="1"/>
  <c r="I105" i="5"/>
  <c r="J105" i="5" s="1"/>
  <c r="E97" i="5"/>
  <c r="F97" i="5" s="1"/>
  <c r="H91" i="5"/>
  <c r="G91" i="5"/>
  <c r="F123" i="5"/>
  <c r="F125" i="5" s="1"/>
  <c r="K71" i="5"/>
  <c r="E40" i="5"/>
  <c r="F45" i="5"/>
  <c r="G35" i="5"/>
  <c r="F52" i="5"/>
  <c r="F62" i="5"/>
  <c r="K70" i="5"/>
  <c r="L106" i="5"/>
  <c r="K106" i="5"/>
  <c r="F60" i="5"/>
  <c r="F50" i="5"/>
  <c r="G33" i="5"/>
  <c r="E64" i="5"/>
  <c r="E54" i="5"/>
  <c r="F37" i="5"/>
  <c r="G37" i="5" s="1"/>
  <c r="E45" i="5"/>
  <c r="K72" i="5"/>
  <c r="F136" i="5"/>
  <c r="H136" i="5" s="1"/>
  <c r="E53" i="5"/>
  <c r="E52" i="5"/>
  <c r="E51" i="5"/>
  <c r="E50" i="5"/>
  <c r="E49" i="5"/>
  <c r="K82" i="5"/>
  <c r="J82" i="5"/>
  <c r="E104" i="5"/>
  <c r="F104" i="5" s="1"/>
  <c r="G104" i="5" s="1"/>
  <c r="I103" i="5"/>
  <c r="J103" i="5" s="1"/>
  <c r="E90" i="5"/>
  <c r="F90" i="5" s="1"/>
  <c r="F34" i="5"/>
  <c r="E105" i="5"/>
  <c r="F105" i="5" s="1"/>
  <c r="G105" i="5" s="1"/>
  <c r="I104" i="5"/>
  <c r="J104" i="5" s="1"/>
  <c r="E89" i="5"/>
  <c r="F89" i="5" s="1"/>
  <c r="F32" i="5"/>
  <c r="K74" i="5"/>
  <c r="L81" i="5"/>
  <c r="K81" i="5"/>
  <c r="L82" i="5"/>
  <c r="H88" i="5"/>
  <c r="H95" i="5"/>
  <c r="F36" i="5"/>
  <c r="E63" i="5"/>
  <c r="E62" i="5"/>
  <c r="E61" i="5"/>
  <c r="E60" i="5"/>
  <c r="E59" i="5"/>
  <c r="J81" i="5"/>
  <c r="E96" i="5"/>
  <c r="F96" i="5" s="1"/>
  <c r="E98" i="5"/>
  <c r="F98" i="5" s="1"/>
  <c r="E106" i="5"/>
  <c r="F106" i="5" s="1"/>
  <c r="G106" i="5" s="1"/>
  <c r="H147" i="5"/>
  <c r="G96" i="5" l="1"/>
  <c r="H96" i="5"/>
  <c r="G50" i="5"/>
  <c r="H50" i="5" s="1"/>
  <c r="H33" i="5"/>
  <c r="G60" i="5"/>
  <c r="H60" i="5" s="1"/>
  <c r="G62" i="5"/>
  <c r="H62" i="5" s="1"/>
  <c r="H35" i="5"/>
  <c r="G52" i="5"/>
  <c r="H52" i="5" s="1"/>
  <c r="K105" i="5"/>
  <c r="L105" i="5"/>
  <c r="F53" i="5"/>
  <c r="F63" i="5"/>
  <c r="G36" i="5"/>
  <c r="G32" i="5"/>
  <c r="F49" i="5"/>
  <c r="F59" i="5"/>
  <c r="H89" i="5"/>
  <c r="G89" i="5"/>
  <c r="I89" i="5" s="1"/>
  <c r="H90" i="5"/>
  <c r="G90" i="5"/>
  <c r="I90" i="5" s="1"/>
  <c r="G54" i="5"/>
  <c r="F54" i="5"/>
  <c r="G34" i="5"/>
  <c r="F61" i="5"/>
  <c r="F51" i="5"/>
  <c r="G98" i="5"/>
  <c r="H98" i="5"/>
  <c r="L104" i="5"/>
  <c r="K104" i="5"/>
  <c r="L103" i="5"/>
  <c r="K103" i="5"/>
  <c r="F64" i="5"/>
  <c r="G64" i="5"/>
  <c r="G97" i="5"/>
  <c r="H97" i="5"/>
  <c r="E125" i="5"/>
  <c r="E124" i="5"/>
  <c r="E126" i="5" s="1"/>
  <c r="H36" i="5" l="1"/>
  <c r="G53" i="5"/>
  <c r="H53" i="5" s="1"/>
  <c r="G63" i="5"/>
  <c r="H63" i="5" s="1"/>
  <c r="G61" i="5"/>
  <c r="H61" i="5" s="1"/>
  <c r="G51" i="5"/>
  <c r="H51" i="5" s="1"/>
  <c r="H34" i="5"/>
  <c r="I91" i="5"/>
  <c r="H32" i="5"/>
  <c r="G78" i="5" s="1"/>
  <c r="G49" i="5"/>
  <c r="H49" i="5" s="1"/>
  <c r="G59" i="5"/>
  <c r="H59" i="5" s="1"/>
  <c r="K78" i="5" l="1"/>
  <c r="I78" i="5"/>
  <c r="I102" i="5"/>
  <c r="J102" i="5" s="1"/>
  <c r="E102" i="5"/>
  <c r="F102" i="5" s="1"/>
  <c r="G102" i="5" s="1"/>
  <c r="L102" i="5" l="1"/>
  <c r="K102" i="5"/>
  <c r="J78" i="5"/>
  <c r="L78" i="5"/>
  <c r="E87" i="5"/>
  <c r="F87" i="5" s="1"/>
  <c r="E94" i="5"/>
  <c r="F94" i="5" s="1"/>
  <c r="G94" i="5" l="1"/>
  <c r="H94" i="5"/>
  <c r="G87" i="5"/>
  <c r="I88" i="5" s="1"/>
  <c r="H87" i="5"/>
  <c r="E115" i="5"/>
  <c r="E114" i="5"/>
  <c r="E113" i="5"/>
  <c r="F108" i="5"/>
  <c r="E117" i="5"/>
  <c r="E116" i="5"/>
  <c r="N13" i="3" l="1"/>
  <c r="M13" i="3"/>
  <c r="L13" i="3"/>
  <c r="G13" i="3"/>
  <c r="F13" i="3"/>
  <c r="E13" i="3"/>
  <c r="N12" i="3"/>
  <c r="M12" i="3"/>
  <c r="L12" i="3"/>
  <c r="G12" i="3"/>
  <c r="F12" i="3"/>
  <c r="E12" i="3"/>
  <c r="N11" i="3"/>
  <c r="M11" i="3"/>
  <c r="L11" i="3"/>
  <c r="G11" i="3"/>
  <c r="F11" i="3"/>
  <c r="E11" i="3"/>
  <c r="N10" i="3"/>
  <c r="M10" i="3"/>
  <c r="L10" i="3"/>
  <c r="G10" i="3"/>
  <c r="F10" i="3"/>
  <c r="E10" i="3"/>
  <c r="N9" i="3"/>
  <c r="M9" i="3"/>
  <c r="L9" i="3"/>
  <c r="G9" i="3"/>
  <c r="F9" i="3"/>
  <c r="E9" i="3"/>
  <c r="N8" i="3"/>
  <c r="M8" i="3"/>
  <c r="L8" i="3"/>
  <c r="G8" i="3"/>
  <c r="F8" i="3"/>
  <c r="E8" i="3"/>
  <c r="E139" i="2" l="1"/>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G11" i="2"/>
  <c r="H11" i="2" s="1"/>
  <c r="I11" i="2" s="1"/>
  <c r="J11" i="2" s="1"/>
  <c r="K11" i="2" s="1"/>
  <c r="E11" i="2"/>
  <c r="E10" i="2"/>
  <c r="E9" i="2"/>
  <c r="D6" i="2"/>
  <c r="F6" i="2" s="1"/>
  <c r="H6" i="2" s="1"/>
  <c r="J6" i="2" s="1"/>
  <c r="L6" i="2" s="1"/>
</calcChain>
</file>

<file path=xl/comments1.xml><?xml version="1.0" encoding="utf-8"?>
<comments xmlns="http://schemas.openxmlformats.org/spreadsheetml/2006/main">
  <authors>
    <author>xinwei</author>
  </authors>
  <commentList>
    <comment ref="G78" authorId="0" shapeId="0">
      <text>
        <r>
          <rPr>
            <b/>
            <sz val="9"/>
            <color indexed="81"/>
            <rFont val="Tahoma"/>
            <family val="2"/>
          </rPr>
          <t>xinwei:</t>
        </r>
        <r>
          <rPr>
            <sz val="9"/>
            <color indexed="81"/>
            <rFont val="Tahoma"/>
            <family val="2"/>
          </rPr>
          <t xml:space="preserve">
</t>
        </r>
        <r>
          <rPr>
            <sz val="9"/>
            <color indexed="81"/>
            <rFont val="宋体"/>
            <family val="3"/>
            <charset val="134"/>
          </rPr>
          <t>预期对局除以副本对局个数</t>
        </r>
      </text>
    </comment>
  </commentList>
</comments>
</file>

<file path=xl/sharedStrings.xml><?xml version="1.0" encoding="utf-8"?>
<sst xmlns="http://schemas.openxmlformats.org/spreadsheetml/2006/main" count="342" uniqueCount="232">
  <si>
    <t>繁殖</t>
    <phoneticPr fontId="1" type="noConversion"/>
  </si>
  <si>
    <t xml:space="preserve">                                                                                                                                                                                                                                                                                                                                                                                        </t>
    <phoneticPr fontId="1" type="noConversion"/>
  </si>
  <si>
    <t>宠物训练，装备，被动洗练</t>
    <phoneticPr fontId="1" type="noConversion"/>
  </si>
  <si>
    <t>魔灵召唤</t>
    <phoneticPr fontId="1" type="noConversion"/>
  </si>
  <si>
    <t>符文，星级，觉醒</t>
    <phoneticPr fontId="1" type="noConversion"/>
  </si>
  <si>
    <t>队长技，觉醒技（有的木有）</t>
    <phoneticPr fontId="1" type="noConversion"/>
  </si>
  <si>
    <t>合成，训练</t>
    <phoneticPr fontId="1" type="noConversion"/>
  </si>
  <si>
    <t>天下HD</t>
    <phoneticPr fontId="1" type="noConversion"/>
  </si>
  <si>
    <t>梦幻西游</t>
    <phoneticPr fontId="1" type="noConversion"/>
  </si>
  <si>
    <t>怪物升级（加属性学技能），品质（技能书，合成，属性相克）</t>
    <phoneticPr fontId="1" type="noConversion"/>
  </si>
  <si>
    <t>怪物属性</t>
    <phoneticPr fontId="1" type="noConversion"/>
  </si>
  <si>
    <t>战斗时长</t>
    <phoneticPr fontId="1" type="noConversion"/>
  </si>
  <si>
    <t>AI（性格）</t>
    <phoneticPr fontId="1" type="noConversion"/>
  </si>
  <si>
    <t>一级二级转换关系，</t>
    <phoneticPr fontId="1" type="noConversion"/>
  </si>
  <si>
    <t>装备数值</t>
    <phoneticPr fontId="1" type="noConversion"/>
  </si>
  <si>
    <t>嗨皮精灵</t>
    <phoneticPr fontId="1" type="noConversion"/>
  </si>
  <si>
    <t>经济系统</t>
    <phoneticPr fontId="1" type="noConversion"/>
  </si>
  <si>
    <t>产出投入</t>
    <phoneticPr fontId="1" type="noConversion"/>
  </si>
  <si>
    <t>资质，技能，洗点，加点，洗练（重置），合宠，寿命，宠物成长，变异</t>
    <phoneticPr fontId="1" type="noConversion"/>
  </si>
  <si>
    <t>装备，星级，装备强化，进化，技能加点，分解</t>
    <phoneticPr fontId="1" type="noConversion"/>
  </si>
  <si>
    <t>技能数值（普通，大招，被动，队长）</t>
    <phoneticPr fontId="1" type="noConversion"/>
  </si>
  <si>
    <t>耐力对战斗影响</t>
    <phoneticPr fontId="1" type="noConversion"/>
  </si>
  <si>
    <t>PL值</t>
    <phoneticPr fontId="1" type="noConversion"/>
  </si>
  <si>
    <t>速度重构</t>
    <phoneticPr fontId="1" type="noConversion"/>
  </si>
  <si>
    <t>定义价值：阶段性平衡，凸线性渐进</t>
    <phoneticPr fontId="1" type="noConversion"/>
  </si>
  <si>
    <t>首先要定义每类怪物的基础属性与极限属性来规定属性差别与属性成长或极限，同时要规定各类怪物的对比关系（不考虑属性相克）</t>
    <phoneticPr fontId="1" type="noConversion"/>
  </si>
  <si>
    <t>定义E类怪为基础怪物，其余每类怪物在E类怪物上做加成（定义加成系数为1.1）</t>
    <phoneticPr fontId="1" type="noConversion"/>
  </si>
  <si>
    <t>则E类怪物属性</t>
    <phoneticPr fontId="1" type="noConversion"/>
  </si>
  <si>
    <t>d</t>
    <phoneticPr fontId="1" type="noConversion"/>
  </si>
  <si>
    <t>c</t>
    <phoneticPr fontId="1" type="noConversion"/>
  </si>
  <si>
    <t>b</t>
    <phoneticPr fontId="1" type="noConversion"/>
  </si>
  <si>
    <t>a</t>
    <phoneticPr fontId="1" type="noConversion"/>
  </si>
  <si>
    <t>s</t>
    <phoneticPr fontId="1" type="noConversion"/>
  </si>
  <si>
    <t>初始值</t>
    <phoneticPr fontId="1" type="noConversion"/>
  </si>
  <si>
    <t>最大值</t>
    <phoneticPr fontId="1" type="noConversion"/>
  </si>
  <si>
    <t>lev</t>
    <phoneticPr fontId="1" type="noConversion"/>
  </si>
  <si>
    <t>hp</t>
    <phoneticPr fontId="1" type="noConversion"/>
  </si>
  <si>
    <t>atk</t>
    <phoneticPr fontId="1" type="noConversion"/>
  </si>
  <si>
    <t>防御约掉</t>
    <phoneticPr fontId="1" type="noConversion"/>
  </si>
  <si>
    <t>人物的技能</t>
    <phoneticPr fontId="1" type="noConversion"/>
  </si>
  <si>
    <t>2个通用技能+4个攻击技能</t>
    <phoneticPr fontId="1" type="noConversion"/>
  </si>
  <si>
    <t>休息，防御，物理技能，法术技能，dot技能，大招</t>
    <phoneticPr fontId="1" type="noConversion"/>
  </si>
  <si>
    <t>性格及耐力剩余决定技能的比重</t>
    <phoneticPr fontId="1" type="noConversion"/>
  </si>
  <si>
    <t>耐力不为零</t>
    <phoneticPr fontId="1" type="noConversion"/>
  </si>
  <si>
    <t>耐力为0</t>
    <phoneticPr fontId="1" type="noConversion"/>
  </si>
  <si>
    <t>性格</t>
    <phoneticPr fontId="1" type="noConversion"/>
  </si>
  <si>
    <t>休息</t>
  </si>
  <si>
    <t>防御</t>
  </si>
  <si>
    <t>物理技能</t>
  </si>
  <si>
    <t>法术技能</t>
  </si>
  <si>
    <t>dot技能</t>
  </si>
  <si>
    <t>物攻型</t>
    <phoneticPr fontId="1" type="noConversion"/>
  </si>
  <si>
    <t>法攻型</t>
    <phoneticPr fontId="1" type="noConversion"/>
  </si>
  <si>
    <t>状态型</t>
    <phoneticPr fontId="1" type="noConversion"/>
  </si>
  <si>
    <t>均衡型</t>
    <phoneticPr fontId="1" type="noConversion"/>
  </si>
  <si>
    <t>胆小型</t>
    <phoneticPr fontId="1" type="noConversion"/>
  </si>
  <si>
    <t>懒惰型</t>
    <phoneticPr fontId="1" type="noConversion"/>
  </si>
  <si>
    <t>性格决定了选取的AI，每只怪物的技能都要有physic，magic等标签，AI只需指出释放技能的标签即可</t>
    <phoneticPr fontId="1" type="noConversion"/>
  </si>
  <si>
    <t>速度重构：</t>
    <phoneticPr fontId="1" type="noConversion"/>
  </si>
  <si>
    <t>按照路程与速度的思路</t>
    <phoneticPr fontId="1" type="noConversion"/>
  </si>
  <si>
    <t>设一个大数K/速度，数值越小则释放技能，释放技能后未释放技能怪物速度叠加,释放技能后叠加速度归零，继续k/速度，小的释放技能</t>
    <phoneticPr fontId="1" type="noConversion"/>
  </si>
  <si>
    <t>举例:当A怪物的速度为40，B怪的速度为100，则取k=1000</t>
    <phoneticPr fontId="1" type="noConversion"/>
  </si>
  <si>
    <t>则1000/40=25，1000/100=10，则B释放技能，A速度=40+40=80，1000/80=12.5,1000/100=10,则B释放技能，1000/120=8.33,1000/100=10,则A释放技能；</t>
    <phoneticPr fontId="1" type="noConversion"/>
  </si>
  <si>
    <t>技能价值</t>
    <phoneticPr fontId="1" type="noConversion"/>
  </si>
  <si>
    <t>普通招数</t>
    <phoneticPr fontId="1" type="noConversion"/>
  </si>
  <si>
    <t>非自己资质招数价值为1-1.2，自己擅长属性资质1.2-1.5，大招资质2-3，队长技能1.2</t>
    <phoneticPr fontId="1" type="noConversion"/>
  </si>
  <si>
    <t>抗性系数k&gt;物理、法术攻击系数k，因为防御力的价值低与攻击力的价值</t>
    <phoneticPr fontId="1" type="noConversion"/>
  </si>
  <si>
    <t>max(1/(1+(总防御力)/I(min(lv1,lv2))),25%)</t>
    <phoneticPr fontId="1"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</si>
  <si>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</si>
  <si>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</si>
  <si>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</si>
  <si>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I(min(lv1,lv2))=5*lv+50</t>
    <phoneticPr fontId="1" type="noConversion"/>
  </si>
  <si>
    <t>数值项（需定义）</t>
    <phoneticPr fontId="1" type="noConversion"/>
  </si>
  <si>
    <t>Demo时间模板</t>
    <phoneticPr fontId="1" type="noConversion"/>
  </si>
  <si>
    <t>预计送1/3时间给每天完成所有活动的免费玩家</t>
    <phoneticPr fontId="1" type="noConversion"/>
  </si>
  <si>
    <t>极限时间</t>
    <phoneticPr fontId="1" type="noConversion"/>
  </si>
  <si>
    <t>3小时产出9小时价值</t>
    <phoneticPr fontId="1" type="noConversion"/>
  </si>
  <si>
    <t>图示：</t>
    <phoneticPr fontId="1" type="noConversion"/>
  </si>
  <si>
    <t>确定数值</t>
    <phoneticPr fontId="1" type="noConversion"/>
  </si>
  <si>
    <t>每天时间</t>
    <phoneticPr fontId="1" type="noConversion"/>
  </si>
  <si>
    <t>1:3</t>
    <phoneticPr fontId="1" type="noConversion"/>
  </si>
  <si>
    <t>公式数值</t>
    <phoneticPr fontId="1" type="noConversion"/>
  </si>
  <si>
    <t>分钟</t>
    <phoneticPr fontId="1" type="noConversion"/>
  </si>
  <si>
    <t>小时</t>
    <phoneticPr fontId="1" type="noConversion"/>
  </si>
  <si>
    <t>重点数据</t>
    <phoneticPr fontId="1" type="noConversion"/>
  </si>
  <si>
    <t>高中强度总时间</t>
    <phoneticPr fontId="1" type="noConversion"/>
  </si>
  <si>
    <t>待调整数值</t>
    <phoneticPr fontId="1" type="noConversion"/>
  </si>
  <si>
    <t>高强度</t>
    <phoneticPr fontId="1" type="noConversion"/>
  </si>
  <si>
    <t>Boss战，pvp，高难度活动本等</t>
    <phoneticPr fontId="1" type="noConversion"/>
  </si>
  <si>
    <t>中强度</t>
    <phoneticPr fontId="1" type="noConversion"/>
  </si>
  <si>
    <t>副本小怪刷刷刷，活动本</t>
    <phoneticPr fontId="1" type="noConversion"/>
  </si>
  <si>
    <t>低强度</t>
    <phoneticPr fontId="1" type="noConversion"/>
  </si>
  <si>
    <t>不需要战斗的玩法的操作时间，如解谜玩法，远征，家园捕宠</t>
    <phoneticPr fontId="1" type="noConversion"/>
  </si>
  <si>
    <t>时间定价（元/分钟）</t>
    <phoneticPr fontId="1" type="noConversion"/>
  </si>
  <si>
    <t>玩法基础时间模板</t>
    <phoneticPr fontId="1" type="noConversion"/>
  </si>
  <si>
    <t>基础对局时间（分钟）</t>
    <phoneticPr fontId="1" type="noConversion"/>
  </si>
  <si>
    <t>休闲对局时间系数</t>
    <phoneticPr fontId="1" type="noConversion"/>
  </si>
  <si>
    <t>休闲时间（分钟）</t>
    <phoneticPr fontId="1" type="noConversion"/>
  </si>
  <si>
    <t>标准难度各种本+通天塔</t>
    <phoneticPr fontId="1" type="noConversion"/>
  </si>
  <si>
    <t>困难对局时间系数</t>
    <phoneticPr fontId="1" type="noConversion"/>
  </si>
  <si>
    <t>挑战时间（分钟）</t>
    <phoneticPr fontId="1" type="noConversion"/>
  </si>
  <si>
    <t>困难难度</t>
    <phoneticPr fontId="1" type="noConversion"/>
  </si>
  <si>
    <t>竞技场对局时间系数</t>
    <phoneticPr fontId="1" type="noConversion"/>
  </si>
  <si>
    <t>竞技场战斗时间（分钟）</t>
    <phoneticPr fontId="1" type="noConversion"/>
  </si>
  <si>
    <t>PVP竞技场排位赛</t>
    <phoneticPr fontId="1" type="noConversion"/>
  </si>
  <si>
    <t>长时战斗时间系数</t>
    <phoneticPr fontId="1" type="noConversion"/>
  </si>
  <si>
    <t>长时间战斗时间（分钟）</t>
    <phoneticPr fontId="1" type="noConversion"/>
  </si>
  <si>
    <t>活动（异步boss打法）</t>
    <phoneticPr fontId="1" type="noConversion"/>
  </si>
  <si>
    <t>基础场景行走时间（分钟）</t>
    <phoneticPr fontId="1" type="noConversion"/>
  </si>
  <si>
    <t>跑步速度约5米每秒,休息区移动长度约30米</t>
    <phoneticPr fontId="1" type="noConversion"/>
  </si>
  <si>
    <t>基础场景解谜时间（分钟）</t>
    <phoneticPr fontId="1" type="noConversion"/>
  </si>
  <si>
    <t>每个解谜需要10秒，约1-2个采集</t>
    <phoneticPr fontId="1" type="noConversion"/>
  </si>
  <si>
    <t>对局数min</t>
    <phoneticPr fontId="1" type="noConversion"/>
  </si>
  <si>
    <t>区域数min</t>
    <phoneticPr fontId="1" type="noConversion"/>
  </si>
  <si>
    <t>有价值的</t>
    <phoneticPr fontId="1" type="noConversion"/>
  </si>
  <si>
    <t>最小耗时</t>
    <phoneticPr fontId="1" type="noConversion"/>
  </si>
  <si>
    <t>不加入解谜，一个副本的基础时间</t>
    <phoneticPr fontId="1" type="noConversion"/>
  </si>
  <si>
    <t>对局数max</t>
    <phoneticPr fontId="1" type="noConversion"/>
  </si>
  <si>
    <t>区域数max</t>
    <phoneticPr fontId="1" type="noConversion"/>
  </si>
  <si>
    <t>最大耗时</t>
    <phoneticPr fontId="1" type="noConversion"/>
  </si>
  <si>
    <t>休闲本百分比</t>
    <phoneticPr fontId="1" type="noConversion"/>
  </si>
  <si>
    <t>副本平均对局数</t>
    <phoneticPr fontId="1" type="noConversion"/>
  </si>
  <si>
    <t>平均耗时</t>
    <phoneticPr fontId="1" type="noConversion"/>
  </si>
  <si>
    <t>困难本百分比</t>
    <phoneticPr fontId="1" type="noConversion"/>
  </si>
  <si>
    <t>战斗时间等级分段</t>
    <phoneticPr fontId="1" type="noConversion"/>
  </si>
  <si>
    <t>天</t>
    <phoneticPr fontId="1" type="noConversion"/>
  </si>
  <si>
    <t>小时</t>
    <phoneticPr fontId="1" type="noConversion"/>
  </si>
  <si>
    <t>分钟</t>
    <phoneticPr fontId="1" type="noConversion"/>
  </si>
  <si>
    <t>预期对局数</t>
    <phoneticPr fontId="1" type="noConversion"/>
  </si>
  <si>
    <t>1~20</t>
    <phoneticPr fontId="1" type="noConversion"/>
  </si>
  <si>
    <t>可能会加等级修正系数</t>
    <phoneticPr fontId="1" type="noConversion"/>
  </si>
  <si>
    <t>21~30</t>
    <phoneticPr fontId="1" type="noConversion"/>
  </si>
  <si>
    <t>31~40</t>
    <phoneticPr fontId="1" type="noConversion"/>
  </si>
  <si>
    <t>41~50</t>
    <phoneticPr fontId="1" type="noConversion"/>
  </si>
  <si>
    <t>51~60</t>
    <phoneticPr fontId="1" type="noConversion"/>
  </si>
  <si>
    <t>总战斗时间</t>
    <phoneticPr fontId="1" type="noConversion"/>
  </si>
  <si>
    <t>非战斗时间等级分段</t>
    <phoneticPr fontId="1" type="noConversion"/>
  </si>
  <si>
    <t>低强度系数</t>
    <phoneticPr fontId="1" type="noConversion"/>
  </si>
  <si>
    <t>每天非活动时间（小时）</t>
    <phoneticPr fontId="1" type="noConversion"/>
  </si>
  <si>
    <t>总休闲时间</t>
    <phoneticPr fontId="1" type="noConversion"/>
  </si>
  <si>
    <t>同战斗时间并行，扩充每天时间</t>
    <phoneticPr fontId="1" type="noConversion"/>
  </si>
  <si>
    <t>普通玩家极限系数</t>
    <phoneticPr fontId="1" type="noConversion"/>
  </si>
  <si>
    <t>普通玩家极限</t>
    <phoneticPr fontId="1" type="noConversion"/>
  </si>
  <si>
    <t>RMB玩家极限</t>
    <phoneticPr fontId="1" type="noConversion"/>
  </si>
  <si>
    <t>基于每天的活动分流</t>
    <phoneticPr fontId="1" type="noConversion"/>
  </si>
  <si>
    <t>玩法强度分流</t>
    <phoneticPr fontId="1" type="noConversion"/>
  </si>
  <si>
    <t>每日时间系数</t>
    <phoneticPr fontId="1" type="noConversion"/>
  </si>
  <si>
    <t>高强度系数</t>
    <phoneticPr fontId="1" type="noConversion"/>
  </si>
  <si>
    <t>中强度系数</t>
    <phoneticPr fontId="1" type="noConversion"/>
  </si>
  <si>
    <t>高强度时间</t>
    <phoneticPr fontId="1" type="noConversion"/>
  </si>
  <si>
    <t>中强度时间</t>
    <phoneticPr fontId="1" type="noConversion"/>
  </si>
  <si>
    <t>高强度对局数</t>
    <phoneticPr fontId="1" type="noConversion"/>
  </si>
  <si>
    <t>中强度对局数</t>
    <phoneticPr fontId="1" type="noConversion"/>
  </si>
  <si>
    <t>时间分流系数</t>
    <phoneticPr fontId="1" type="noConversion"/>
  </si>
  <si>
    <t>时间分流</t>
    <phoneticPr fontId="1" type="noConversion"/>
  </si>
  <si>
    <t>活动系数</t>
    <phoneticPr fontId="1" type="noConversion"/>
  </si>
  <si>
    <t>活动数量（等级段）</t>
    <phoneticPr fontId="1" type="noConversion"/>
  </si>
  <si>
    <t>活动对局修正系数</t>
    <phoneticPr fontId="1" type="noConversion"/>
  </si>
  <si>
    <t>主支线系数</t>
    <phoneticPr fontId="1" type="noConversion"/>
  </si>
  <si>
    <t>坑对局系数</t>
    <phoneticPr fontId="1" type="noConversion"/>
  </si>
  <si>
    <t>总权重</t>
    <phoneticPr fontId="1" type="noConversion"/>
  </si>
  <si>
    <t>活动比例</t>
    <phoneticPr fontId="1" type="noConversion"/>
  </si>
  <si>
    <t>主支线比例</t>
    <phoneticPr fontId="1" type="noConversion"/>
  </si>
  <si>
    <t>坑比例</t>
    <phoneticPr fontId="1" type="noConversion"/>
  </si>
  <si>
    <t>活动系数需要细分，活动系数*活动对局修正系数=等级段对局权重</t>
    <phoneticPr fontId="1" type="noConversion"/>
  </si>
  <si>
    <t>此处活动只有战斗活动</t>
    <phoneticPr fontId="1" type="noConversion"/>
  </si>
  <si>
    <t>非坑周期投放时间</t>
    <phoneticPr fontId="1" type="noConversion"/>
  </si>
  <si>
    <t>期望对局数</t>
    <phoneticPr fontId="1" type="noConversion"/>
  </si>
  <si>
    <t>新模版副本期望</t>
    <phoneticPr fontId="1" type="noConversion"/>
  </si>
  <si>
    <t>对局增量</t>
    <phoneticPr fontId="1" type="noConversion"/>
  </si>
  <si>
    <t>-</t>
    <phoneticPr fontId="1" type="noConversion"/>
  </si>
  <si>
    <t>20~30</t>
    <phoneticPr fontId="1" type="noConversion"/>
  </si>
  <si>
    <t>30~40</t>
    <phoneticPr fontId="1" type="noConversion"/>
  </si>
  <si>
    <t>40~50</t>
    <phoneticPr fontId="1" type="noConversion"/>
  </si>
  <si>
    <t>50~60</t>
    <phoneticPr fontId="1" type="noConversion"/>
  </si>
  <si>
    <t>坑周期投放时间</t>
    <phoneticPr fontId="1" type="noConversion"/>
  </si>
  <si>
    <t>每天</t>
    <phoneticPr fontId="1" type="noConversion"/>
  </si>
  <si>
    <t>总体</t>
    <phoneticPr fontId="1" type="noConversion"/>
  </si>
  <si>
    <t>单次投放时间</t>
    <phoneticPr fontId="1" type="noConversion"/>
  </si>
  <si>
    <t>预计对局</t>
    <phoneticPr fontId="1" type="noConversion"/>
  </si>
  <si>
    <t>新模版预期任务</t>
    <phoneticPr fontId="1" type="noConversion"/>
  </si>
  <si>
    <t>新模版</t>
    <phoneticPr fontId="1" type="noConversion"/>
  </si>
  <si>
    <t>主支线总任务量</t>
    <phoneticPr fontId="1" type="noConversion"/>
  </si>
  <si>
    <t>主支线副本复用系数</t>
    <phoneticPr fontId="1" type="noConversion"/>
  </si>
  <si>
    <t>复用系数代表平均复用次数，主线支线期望复用1次</t>
    <phoneticPr fontId="1" type="noConversion"/>
  </si>
  <si>
    <t>复用系数是3的话可以是加一个难度，此难度复用副本大部分设计，按等级数值提高，并扩充相应等级玩法即可</t>
    <phoneticPr fontId="1" type="noConversion"/>
  </si>
  <si>
    <t>副本总量</t>
    <phoneticPr fontId="1" type="noConversion"/>
  </si>
  <si>
    <t>1~30</t>
    <phoneticPr fontId="1" type="noConversion"/>
  </si>
  <si>
    <t>1~40</t>
    <phoneticPr fontId="1" type="noConversion"/>
  </si>
  <si>
    <t>1~50</t>
    <phoneticPr fontId="1" type="noConversion"/>
  </si>
  <si>
    <t>1~60</t>
    <phoneticPr fontId="1" type="noConversion"/>
  </si>
  <si>
    <t>副本内时间分配</t>
    <phoneticPr fontId="1" type="noConversion"/>
  </si>
  <si>
    <t>解谜</t>
    <phoneticPr fontId="1" type="noConversion"/>
  </si>
  <si>
    <t>普通对局</t>
    <phoneticPr fontId="1" type="noConversion"/>
  </si>
  <si>
    <t>boss对局</t>
    <phoneticPr fontId="1" type="noConversion"/>
  </si>
  <si>
    <t>解谜比例</t>
    <phoneticPr fontId="1" type="noConversion"/>
  </si>
  <si>
    <t>普通对局比例</t>
    <phoneticPr fontId="1" type="noConversion"/>
  </si>
  <si>
    <t>boss对局比例</t>
    <phoneticPr fontId="1" type="noConversion"/>
  </si>
  <si>
    <t>副本时间分配</t>
    <phoneticPr fontId="1" type="noConversion"/>
  </si>
  <si>
    <t>玩法时间分流</t>
  </si>
  <si>
    <t>玩法分流</t>
    <phoneticPr fontId="1" type="noConversion"/>
  </si>
  <si>
    <t>一次性投放时间权重分流</t>
    <phoneticPr fontId="1" type="noConversion"/>
  </si>
  <si>
    <t>主线</t>
    <phoneticPr fontId="1" type="noConversion"/>
  </si>
  <si>
    <t>支线</t>
    <phoneticPr fontId="1" type="noConversion"/>
  </si>
  <si>
    <t>设计具体分流时需要考虑等级段影响</t>
    <phoneticPr fontId="1" type="noConversion"/>
  </si>
  <si>
    <t>主线设计目的？</t>
    <phoneticPr fontId="1" type="noConversion"/>
  </si>
  <si>
    <t>期望对局个数权重</t>
    <phoneticPr fontId="1" type="noConversion"/>
  </si>
  <si>
    <t>用对局个数做基础单位，不同性质玩法时间不同</t>
    <phoneticPr fontId="1" type="noConversion"/>
  </si>
  <si>
    <t>支线设计目的？</t>
    <phoneticPr fontId="1" type="noConversion"/>
  </si>
  <si>
    <t>休闲</t>
    <phoneticPr fontId="1" type="noConversion"/>
  </si>
  <si>
    <t>挑战</t>
    <phoneticPr fontId="1" type="noConversion"/>
  </si>
  <si>
    <t>扩展时横向加列</t>
    <phoneticPr fontId="1" type="noConversion"/>
  </si>
  <si>
    <t>玩法对局个数权重</t>
    <phoneticPr fontId="1" type="noConversion"/>
  </si>
  <si>
    <t>分流比例</t>
    <phoneticPr fontId="1" type="noConversion"/>
  </si>
  <si>
    <t>记得横向扩展时总权重域需要扩展</t>
    <phoneticPr fontId="1" type="noConversion"/>
  </si>
  <si>
    <t>休闲比例</t>
    <phoneticPr fontId="1" type="noConversion"/>
  </si>
  <si>
    <t>挑战比例</t>
    <phoneticPr fontId="1" type="noConversion"/>
  </si>
  <si>
    <t>周期投放时间权重分流</t>
    <phoneticPr fontId="1" type="noConversion"/>
  </si>
  <si>
    <t>经验本</t>
    <phoneticPr fontId="1" type="noConversion"/>
  </si>
  <si>
    <t>金钱本</t>
    <phoneticPr fontId="1" type="noConversion"/>
  </si>
  <si>
    <t>陷阱</t>
    <phoneticPr fontId="1" type="noConversion"/>
  </si>
  <si>
    <t>挑战困难难度</t>
    <phoneticPr fontId="1" type="noConversion"/>
  </si>
  <si>
    <t>普通难度副本</t>
    <phoneticPr fontId="1" type="noConversion"/>
  </si>
  <si>
    <t>玩法分流比例</t>
    <phoneticPr fontId="1" type="noConversion"/>
  </si>
  <si>
    <t>玩法对局个数权重</t>
  </si>
  <si>
    <t>竞技场</t>
    <phoneticPr fontId="1" type="noConversion"/>
  </si>
  <si>
    <t>远征</t>
    <phoneticPr fontId="1" type="noConversion"/>
  </si>
  <si>
    <t>材料（装备）本</t>
    <phoneticPr fontId="1" type="noConversion"/>
  </si>
  <si>
    <t>世界boss</t>
    <phoneticPr fontId="1" type="noConversion"/>
  </si>
  <si>
    <t>公会</t>
    <phoneticPr fontId="1" type="noConversion"/>
  </si>
  <si>
    <t>一二级系数转换</t>
    <phoneticPr fontId="1" type="noConversion"/>
  </si>
  <si>
    <t>受伤百分比：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</si>
</sst>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4" x14ac:knownFonts="1">
    <font>
      <sz val="11"/>
      <color theme="1"/>
      <name val="宋体"/>
      <family val="2"/>
      <charset val="134"/>
      <scheme val="minor"/>
    </font>
    <font>
      <sz val="9"/>
      <name val="宋体"/>
      <family val="2"/>
      <charset val="134"/>
      <scheme val="minor"/>
    </font>
    <font>
      <sz val="11"/>
      <color theme="1"/>
      <name val="微软雅黑"/>
      <family val="2"/>
      <charset val="134"/>
    </font>
    <font>
      <sz val="11"/>
      <name val="微软雅黑"/>
      <family val="2"/>
      <charset val="134"/>
    </font>
    <font>
      <sz val="9"/>
      <name val="宋体"/>
      <family val="2"/>
      <charset val="134"/>
    </font>
    <font>
      <b/>
      <sz val="11"/>
      <color theme="1"/>
      <name val="微软雅黑"/>
      <family val="2"/>
      <charset val="134"/>
    </font>
    <font>
      <sz val="11"/>
      <color rgb="FFFF0000"/>
      <name val="微软雅黑"/>
      <family val="2"/>
      <charset val="134"/>
    </font>
    <font>
      <i/>
      <sz val="11"/>
      <color theme="1"/>
      <name val="微软雅黑"/>
      <family val="2"/>
      <charset val="134"/>
    </font>
    <font>
      <b/>
      <sz val="11"/>
      <name val="微软雅黑"/>
      <family val="2"/>
      <charset val="134"/>
    </font>
    <font>
      <sz val="11"/>
      <color theme="0" tint="-0.249977111117893"/>
      <name val="微软雅黑"/>
      <family val="2"/>
      <charset val="134"/>
    </font>
    <font>
      <b/>
      <sz val="11"/>
      <color rgb="FFFF0000"/>
      <name val="微软雅黑"/>
      <family val="2"/>
      <charset val="134"/>
    </font>
    <font>
      <b/>
      <sz val="9"/>
      <color indexed="81"/>
      <name val="Tahoma"/>
      <family val="2"/>
    </font>
    <font>
      <sz val="9"/>
      <color indexed="81"/>
      <name val="Tahoma"/>
      <family val="2"/>
    </font>
    <font>
      <sz val="9"/>
      <color indexed="81"/>
      <name val="宋体"/>
      <family val="3"/>
      <charset val="134"/>
    </font>
  </fonts>
  <fills count="9">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tint="-0.14999847407452621"/>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s>
  <cellStyleXfs count="1">
    <xf numFmtId="0" fontId="0" fillId="0" borderId="0">
      <alignment vertical="center"/>
    </xf>
  </cellStyleXfs>
  <cellXfs count="65">
    <xf numFmtId="0" fontId="0" fillId="0" borderId="0" xfId="0">
      <alignment vertical="center"/>
    </xf>
    <xf numFmtId="0" fontId="2" fillId="0" borderId="0" xfId="0" applyFont="1">
      <alignment vertical="center"/>
    </xf>
    <xf numFmtId="0" fontId="2" fillId="3" borderId="0" xfId="0" applyFont="1" applyFill="1">
      <alignment vertical="center"/>
    </xf>
    <xf numFmtId="0" fontId="2" fillId="2" borderId="0" xfId="0" applyFont="1" applyFill="1">
      <alignment vertical="center"/>
    </xf>
    <xf numFmtId="0" fontId="2" fillId="0" borderId="0" xfId="0" applyFont="1" applyFill="1">
      <alignment vertical="center"/>
    </xf>
    <xf numFmtId="0" fontId="2" fillId="0" borderId="0" xfId="0" applyFont="1" applyFill="1" applyBorder="1" applyAlignment="1">
      <alignment vertical="center"/>
    </xf>
    <xf numFmtId="0" fontId="2" fillId="0" borderId="0" xfId="0" applyFont="1" applyAlignment="1">
      <alignment horizontal="center" vertical="center"/>
    </xf>
    <xf numFmtId="0" fontId="2" fillId="4" borderId="0" xfId="0" applyFont="1" applyFill="1">
      <alignment vertical="center"/>
    </xf>
    <xf numFmtId="0" fontId="3" fillId="0" borderId="0" xfId="0" applyFont="1" applyFill="1" applyAlignment="1">
      <alignment vertical="center"/>
    </xf>
    <xf numFmtId="0" fontId="5" fillId="0" borderId="0" xfId="0" applyFont="1">
      <alignment vertical="center"/>
    </xf>
    <xf numFmtId="0" fontId="5" fillId="0" borderId="1" xfId="0" applyFont="1" applyFill="1" applyBorder="1">
      <alignment vertical="center"/>
    </xf>
    <xf numFmtId="0" fontId="5" fillId="0" borderId="2" xfId="0" applyFont="1" applyFill="1" applyBorder="1">
      <alignment vertical="center"/>
    </xf>
    <xf numFmtId="0" fontId="2" fillId="5" borderId="3" xfId="0" applyFont="1" applyFill="1" applyBorder="1">
      <alignment vertical="center"/>
    </xf>
    <xf numFmtId="49" fontId="2" fillId="0" borderId="0" xfId="0" applyNumberFormat="1" applyFont="1">
      <alignment vertical="center"/>
    </xf>
    <xf numFmtId="0" fontId="5" fillId="0" borderId="4" xfId="0" applyFont="1" applyFill="1" applyBorder="1">
      <alignment vertical="center"/>
    </xf>
    <xf numFmtId="0" fontId="5" fillId="0" borderId="0" xfId="0" applyFont="1" applyFill="1" applyBorder="1">
      <alignment vertical="center"/>
    </xf>
    <xf numFmtId="0" fontId="2" fillId="6" borderId="5" xfId="0" applyFont="1" applyFill="1" applyBorder="1">
      <alignment vertical="center"/>
    </xf>
    <xf numFmtId="0" fontId="2" fillId="0" borderId="4" xfId="0" applyFont="1" applyFill="1" applyBorder="1">
      <alignment vertical="center"/>
    </xf>
    <xf numFmtId="0" fontId="5" fillId="7" borderId="5" xfId="0" applyFont="1" applyFill="1" applyBorder="1">
      <alignment vertical="center"/>
    </xf>
    <xf numFmtId="0" fontId="6" fillId="0" borderId="0" xfId="0" applyFont="1">
      <alignment vertical="center"/>
    </xf>
    <xf numFmtId="0" fontId="2" fillId="8" borderId="0" xfId="0" applyFont="1" applyFill="1">
      <alignment vertical="center"/>
    </xf>
    <xf numFmtId="0" fontId="2" fillId="0" borderId="6" xfId="0" applyFont="1" applyFill="1" applyBorder="1">
      <alignment vertical="center"/>
    </xf>
    <xf numFmtId="0" fontId="5" fillId="0" borderId="7" xfId="0" applyFont="1" applyFill="1" applyBorder="1">
      <alignment vertical="center"/>
    </xf>
    <xf numFmtId="0" fontId="6" fillId="5" borderId="8" xfId="0" applyFont="1" applyFill="1" applyBorder="1">
      <alignment vertical="center"/>
    </xf>
    <xf numFmtId="0" fontId="6" fillId="0" borderId="0" xfId="0" applyFont="1" applyFill="1" applyBorder="1">
      <alignment vertical="center"/>
    </xf>
    <xf numFmtId="0" fontId="7" fillId="0" borderId="0" xfId="0" applyFont="1">
      <alignment vertical="center"/>
    </xf>
    <xf numFmtId="0" fontId="3" fillId="0" borderId="0" xfId="0" applyFont="1">
      <alignment vertical="center"/>
    </xf>
    <xf numFmtId="0" fontId="5" fillId="0" borderId="0" xfId="0" applyNumberFormat="1" applyFont="1">
      <alignment vertical="center"/>
    </xf>
    <xf numFmtId="0" fontId="2" fillId="0" borderId="0" xfId="0" applyFont="1" applyFill="1" applyBorder="1">
      <alignment vertical="center"/>
    </xf>
    <xf numFmtId="0" fontId="2" fillId="8" borderId="0" xfId="0" applyFont="1" applyFill="1" applyBorder="1">
      <alignment vertical="center"/>
    </xf>
    <xf numFmtId="0" fontId="2" fillId="0" borderId="9" xfId="0" applyFont="1" applyFill="1" applyBorder="1">
      <alignment vertical="center"/>
    </xf>
    <xf numFmtId="0" fontId="2" fillId="8" borderId="9" xfId="0" applyFont="1" applyFill="1" applyBorder="1">
      <alignment vertical="center"/>
    </xf>
    <xf numFmtId="0" fontId="8" fillId="0" borderId="0" xfId="0" applyFont="1">
      <alignment vertical="center"/>
    </xf>
    <xf numFmtId="0" fontId="2" fillId="0" borderId="0" xfId="0" applyFont="1" applyBorder="1">
      <alignment vertical="center"/>
    </xf>
    <xf numFmtId="0" fontId="2" fillId="0" borderId="9" xfId="0" applyFont="1" applyBorder="1">
      <alignment vertical="center"/>
    </xf>
    <xf numFmtId="0" fontId="5" fillId="7" borderId="0" xfId="0" applyFont="1" applyFill="1">
      <alignment vertical="center"/>
    </xf>
    <xf numFmtId="0" fontId="9" fillId="0" borderId="0" xfId="0" applyFont="1" applyFill="1" applyBorder="1">
      <alignment vertical="center"/>
    </xf>
    <xf numFmtId="0" fontId="9" fillId="8" borderId="0" xfId="0" applyFont="1" applyFill="1">
      <alignment vertical="center"/>
    </xf>
    <xf numFmtId="10" fontId="2" fillId="8" borderId="0" xfId="0" applyNumberFormat="1" applyFont="1" applyFill="1">
      <alignment vertical="center"/>
    </xf>
    <xf numFmtId="176" fontId="2" fillId="8" borderId="0" xfId="0" applyNumberFormat="1" applyFont="1" applyFill="1" applyBorder="1">
      <alignment vertical="center"/>
    </xf>
    <xf numFmtId="0" fontId="2" fillId="8" borderId="0" xfId="0" applyNumberFormat="1" applyFont="1" applyFill="1" applyBorder="1">
      <alignment vertical="center"/>
    </xf>
    <xf numFmtId="0" fontId="5" fillId="7" borderId="0" xfId="0" applyNumberFormat="1" applyFont="1" applyFill="1" applyBorder="1">
      <alignment vertical="center"/>
    </xf>
    <xf numFmtId="0" fontId="2" fillId="8" borderId="0" xfId="0" applyNumberFormat="1" applyFont="1" applyFill="1" applyBorder="1" applyAlignment="1">
      <alignment horizontal="right" vertical="center"/>
    </xf>
    <xf numFmtId="176" fontId="2" fillId="0" borderId="0" xfId="0" applyNumberFormat="1" applyFont="1" applyFill="1" applyBorder="1">
      <alignment vertical="center"/>
    </xf>
    <xf numFmtId="0" fontId="2" fillId="0" borderId="0" xfId="0" applyNumberFormat="1" applyFont="1" applyFill="1" applyBorder="1">
      <alignment vertical="center"/>
    </xf>
    <xf numFmtId="0" fontId="10" fillId="0" borderId="0" xfId="0" applyFont="1" applyFill="1" applyBorder="1">
      <alignment vertical="center"/>
    </xf>
    <xf numFmtId="0" fontId="5" fillId="7" borderId="0" xfId="0" applyFont="1" applyFill="1" applyBorder="1">
      <alignment vertical="center"/>
    </xf>
    <xf numFmtId="0" fontId="2" fillId="6" borderId="0" xfId="0" applyNumberFormat="1" applyFont="1" applyFill="1" applyBorder="1" applyAlignment="1">
      <alignment horizontal="right" vertical="center"/>
    </xf>
    <xf numFmtId="0" fontId="10" fillId="0" borderId="0" xfId="0" applyFont="1">
      <alignment vertical="center"/>
    </xf>
    <xf numFmtId="0" fontId="7" fillId="0" borderId="0" xfId="0" applyFont="1" applyFill="1" applyBorder="1">
      <alignment vertical="center"/>
    </xf>
    <xf numFmtId="0" fontId="3" fillId="0" borderId="0" xfId="0" applyFont="1" applyBorder="1">
      <alignment vertical="center"/>
    </xf>
    <xf numFmtId="0" fontId="3" fillId="0" borderId="5" xfId="0" applyFont="1" applyBorder="1">
      <alignment vertical="center"/>
    </xf>
    <xf numFmtId="10" fontId="2" fillId="8" borderId="0" xfId="0" applyNumberFormat="1" applyFont="1" applyFill="1" applyBorder="1">
      <alignment vertical="center"/>
    </xf>
    <xf numFmtId="10" fontId="2" fillId="0" borderId="0" xfId="0" applyNumberFormat="1" applyFont="1" applyFill="1" applyBorder="1">
      <alignment vertical="center"/>
    </xf>
    <xf numFmtId="0" fontId="5" fillId="0" borderId="0" xfId="0" applyFont="1" applyFill="1" applyBorder="1" applyAlignment="1">
      <alignment vertical="center"/>
    </xf>
    <xf numFmtId="0" fontId="2" fillId="0" borderId="0" xfId="0" applyFont="1" applyFill="1" applyBorder="1" applyAlignment="1">
      <alignment horizontal="center" vertical="center"/>
    </xf>
    <xf numFmtId="0" fontId="2" fillId="0" borderId="5" xfId="0" applyFont="1" applyBorder="1">
      <alignment vertical="center"/>
    </xf>
    <xf numFmtId="0" fontId="2" fillId="0" borderId="0" xfId="0" applyFont="1" applyAlignment="1">
      <alignment horizontal="center" vertical="center"/>
    </xf>
    <xf numFmtId="0" fontId="5" fillId="0" borderId="0" xfId="0" applyFont="1" applyAlignment="1">
      <alignment horizontal="center" vertical="center"/>
    </xf>
    <xf numFmtId="10" fontId="5"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8"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7</xdr:row>
      <xdr:rowOff>38100</xdr:rowOff>
    </xdr:from>
    <xdr:to>
      <xdr:col>20</xdr:col>
      <xdr:colOff>312652</xdr:colOff>
      <xdr:row>30</xdr:row>
      <xdr:rowOff>132845</xdr:rowOff>
    </xdr:to>
    <xdr:pic>
      <xdr:nvPicPr>
        <xdr:cNvPr id="2" name="图片 1"/>
        <xdr:cNvPicPr>
          <a:picLocks noChangeAspect="1"/>
        </xdr:cNvPicPr>
      </xdr:nvPicPr>
      <xdr:blipFill>
        <a:blip xmlns:r="http://schemas.openxmlformats.org/officeDocument/2006/relationships" r:embed="rId1"/>
        <a:stretch>
          <a:fillRect/>
        </a:stretch>
      </xdr:blipFill>
      <xdr:spPr>
        <a:xfrm>
          <a:off x="647700" y="1238250"/>
          <a:ext cx="13380952" cy="40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sqref="A1:J28"/>
    </sheetView>
  </sheetViews>
  <sheetFormatPr defaultRowHeight="16.5" x14ac:dyDescent="0.15"/>
  <cols>
    <col min="1" max="16384" width="9" style="1"/>
  </cols>
  <sheetData>
    <row r="1" spans="1:3" x14ac:dyDescent="0.15">
      <c r="A1" s="9" t="s">
        <v>15</v>
      </c>
    </row>
    <row r="2" spans="1:3" x14ac:dyDescent="0.15">
      <c r="B2" s="1" t="s">
        <v>0</v>
      </c>
    </row>
    <row r="3" spans="1:3" s="5" customFormat="1" x14ac:dyDescent="0.15">
      <c r="A3" s="5" t="s">
        <v>1</v>
      </c>
      <c r="B3" s="5" t="s">
        <v>9</v>
      </c>
    </row>
    <row r="4" spans="1:3" x14ac:dyDescent="0.15">
      <c r="B4" s="1" t="s">
        <v>2</v>
      </c>
    </row>
    <row r="6" spans="1:3" x14ac:dyDescent="0.15">
      <c r="A6" s="9" t="s">
        <v>3</v>
      </c>
    </row>
    <row r="7" spans="1:3" x14ac:dyDescent="0.15">
      <c r="B7" s="1" t="s">
        <v>4</v>
      </c>
    </row>
    <row r="8" spans="1:3" x14ac:dyDescent="0.15">
      <c r="B8" s="1" t="s">
        <v>5</v>
      </c>
      <c r="C8" s="4"/>
    </row>
    <row r="9" spans="1:3" x14ac:dyDescent="0.15">
      <c r="B9" s="1" t="s">
        <v>6</v>
      </c>
    </row>
    <row r="11" spans="1:3" x14ac:dyDescent="0.15">
      <c r="A11" s="9" t="s">
        <v>7</v>
      </c>
    </row>
    <row r="12" spans="1:3" x14ac:dyDescent="0.15">
      <c r="A12" s="9"/>
      <c r="B12" s="1" t="s">
        <v>19</v>
      </c>
    </row>
    <row r="14" spans="1:3" x14ac:dyDescent="0.15">
      <c r="A14" s="9" t="s">
        <v>8</v>
      </c>
    </row>
    <row r="15" spans="1:3" x14ac:dyDescent="0.15">
      <c r="A15" s="9"/>
      <c r="B15" s="1" t="s">
        <v>18</v>
      </c>
    </row>
    <row r="17" spans="1:2" x14ac:dyDescent="0.15">
      <c r="A17" s="9" t="s">
        <v>72</v>
      </c>
    </row>
    <row r="18" spans="1:2" x14ac:dyDescent="0.15">
      <c r="A18" s="2"/>
      <c r="B18" s="1" t="s">
        <v>11</v>
      </c>
    </row>
    <row r="19" spans="1:2" x14ac:dyDescent="0.15">
      <c r="A19" s="2"/>
      <c r="B19" s="1" t="s">
        <v>10</v>
      </c>
    </row>
    <row r="20" spans="1:2" x14ac:dyDescent="0.15">
      <c r="A20" s="2"/>
      <c r="B20" s="1" t="s">
        <v>20</v>
      </c>
    </row>
    <row r="21" spans="1:2" x14ac:dyDescent="0.15">
      <c r="A21" s="2"/>
      <c r="B21" s="1" t="s">
        <v>12</v>
      </c>
    </row>
    <row r="22" spans="1:2" x14ac:dyDescent="0.15">
      <c r="A22" s="2"/>
      <c r="B22" s="1" t="s">
        <v>13</v>
      </c>
    </row>
    <row r="23" spans="1:2" x14ac:dyDescent="0.15">
      <c r="A23" s="2"/>
      <c r="B23" s="1" t="s">
        <v>23</v>
      </c>
    </row>
    <row r="24" spans="1:2" x14ac:dyDescent="0.15">
      <c r="A24" s="3"/>
      <c r="B24" s="4" t="s">
        <v>21</v>
      </c>
    </row>
    <row r="25" spans="1:2" x14ac:dyDescent="0.15">
      <c r="A25" s="3"/>
      <c r="B25" s="4" t="s">
        <v>22</v>
      </c>
    </row>
    <row r="26" spans="1:2" x14ac:dyDescent="0.15">
      <c r="A26" s="3"/>
      <c r="B26" s="1" t="s">
        <v>14</v>
      </c>
    </row>
    <row r="27" spans="1:2" x14ac:dyDescent="0.15">
      <c r="A27" s="3"/>
      <c r="B27" s="1" t="s">
        <v>16</v>
      </c>
    </row>
    <row r="28" spans="1:2" x14ac:dyDescent="0.15">
      <c r="A28" s="3"/>
      <c r="B28" s="1" t="s">
        <v>17</v>
      </c>
    </row>
  </sheetData>
  <phoneticPr fontId="1" type="noConversion"/>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9"/>
  <sheetViews>
    <sheetView workbookViewId="0">
      <selection activeCell="B6" sqref="B6"/>
    </sheetView>
  </sheetViews>
  <sheetFormatPr defaultRowHeight="16.5" x14ac:dyDescent="0.15"/>
  <cols>
    <col min="1" max="16384" width="9" style="1"/>
  </cols>
  <sheetData>
    <row r="1" spans="1:12" x14ac:dyDescent="0.15">
      <c r="A1" s="1" t="s">
        <v>24</v>
      </c>
    </row>
    <row r="2" spans="1:12" x14ac:dyDescent="0.15">
      <c r="A2" s="1" t="s">
        <v>25</v>
      </c>
    </row>
    <row r="3" spans="1:12" x14ac:dyDescent="0.15">
      <c r="A3" s="1" t="s">
        <v>26</v>
      </c>
    </row>
    <row r="4" spans="1:12" x14ac:dyDescent="0.15">
      <c r="A4" s="1" t="s">
        <v>27</v>
      </c>
      <c r="C4" s="1" t="s">
        <v>28</v>
      </c>
      <c r="E4" s="1" t="s">
        <v>29</v>
      </c>
      <c r="G4" s="1" t="s">
        <v>30</v>
      </c>
      <c r="I4" s="1" t="s">
        <v>31</v>
      </c>
      <c r="K4" s="1" t="s">
        <v>32</v>
      </c>
    </row>
    <row r="5" spans="1:12" x14ac:dyDescent="0.15">
      <c r="A5" s="1" t="s">
        <v>33</v>
      </c>
      <c r="B5" s="1" t="s">
        <v>34</v>
      </c>
      <c r="C5" s="1" t="s">
        <v>33</v>
      </c>
      <c r="D5" s="1" t="s">
        <v>34</v>
      </c>
      <c r="E5" s="1" t="s">
        <v>33</v>
      </c>
      <c r="F5" s="1" t="s">
        <v>34</v>
      </c>
      <c r="G5" s="1" t="s">
        <v>33</v>
      </c>
      <c r="H5" s="1" t="s">
        <v>34</v>
      </c>
      <c r="I5" s="1" t="s">
        <v>33</v>
      </c>
      <c r="J5" s="1" t="s">
        <v>34</v>
      </c>
      <c r="K5" s="1" t="s">
        <v>33</v>
      </c>
      <c r="L5" s="1" t="s">
        <v>34</v>
      </c>
    </row>
    <row r="6" spans="1:12" x14ac:dyDescent="0.15">
      <c r="A6" s="1">
        <v>10</v>
      </c>
      <c r="B6" s="1">
        <v>100</v>
      </c>
      <c r="C6" s="1">
        <v>12</v>
      </c>
      <c r="D6" s="1">
        <f>ROUNDDOWN(B6*F9,0)</f>
        <v>110</v>
      </c>
      <c r="E6" s="1">
        <v>14</v>
      </c>
      <c r="F6" s="1">
        <f>ROUNDDOWN(D6*G9,0)</f>
        <v>121</v>
      </c>
      <c r="G6" s="1">
        <v>16</v>
      </c>
      <c r="H6" s="1">
        <f>ROUNDDOWN(F6*H9,0)</f>
        <v>130</v>
      </c>
      <c r="I6" s="1">
        <v>18</v>
      </c>
      <c r="J6" s="1">
        <f>ROUNDDOWN(H6*I9,0)</f>
        <v>140</v>
      </c>
      <c r="K6" s="1">
        <v>20</v>
      </c>
      <c r="L6" s="1">
        <f>ROUNDDOWN(J6*J9,0)</f>
        <v>147</v>
      </c>
    </row>
    <row r="9" spans="1:12" x14ac:dyDescent="0.15">
      <c r="A9" s="1">
        <v>99</v>
      </c>
      <c r="B9" s="1">
        <v>99</v>
      </c>
      <c r="C9" s="1" t="s">
        <v>35</v>
      </c>
      <c r="D9" s="1">
        <v>1</v>
      </c>
      <c r="E9" s="1">
        <f>1/(1+D9/(D9*5+50))</f>
        <v>0.98214285714285721</v>
      </c>
      <c r="F9" s="1">
        <v>1.1000000000000001</v>
      </c>
      <c r="G9" s="1">
        <v>1.1000000000000001</v>
      </c>
      <c r="H9" s="1">
        <v>1.08</v>
      </c>
      <c r="I9" s="1">
        <v>1.08</v>
      </c>
      <c r="J9" s="1">
        <v>1.05</v>
      </c>
    </row>
    <row r="10" spans="1:12" x14ac:dyDescent="0.15">
      <c r="A10" s="1">
        <v>100</v>
      </c>
      <c r="B10" s="1">
        <v>110</v>
      </c>
      <c r="C10" s="1" t="s">
        <v>36</v>
      </c>
      <c r="D10" s="1">
        <v>2</v>
      </c>
      <c r="E10" s="1">
        <f>1/(1+D10/(D10*5+50))</f>
        <v>0.96774193548387089</v>
      </c>
    </row>
    <row r="11" spans="1:12" x14ac:dyDescent="0.15">
      <c r="A11" s="1">
        <v>100</v>
      </c>
      <c r="B11" s="1">
        <v>110</v>
      </c>
      <c r="C11" s="1" t="s">
        <v>37</v>
      </c>
      <c r="D11" s="1">
        <v>3</v>
      </c>
      <c r="E11" s="1">
        <f t="shared" ref="E11:E74" si="0">1/(1+D11/(D11*5+50))</f>
        <v>0.95588235294117641</v>
      </c>
      <c r="F11" s="1">
        <v>1</v>
      </c>
      <c r="G11" s="1">
        <f>F11*F9^2</f>
        <v>1.2100000000000002</v>
      </c>
      <c r="H11" s="1">
        <f>G11*G9^2</f>
        <v>1.4641000000000004</v>
      </c>
      <c r="I11" s="1">
        <f t="shared" ref="I11:K11" si="1">H11*H9^2</f>
        <v>1.7077262400000006</v>
      </c>
      <c r="J11" s="1">
        <f t="shared" si="1"/>
        <v>1.9918918863360009</v>
      </c>
      <c r="K11" s="1">
        <f t="shared" si="1"/>
        <v>2.1960608046854411</v>
      </c>
    </row>
    <row r="12" spans="1:12" x14ac:dyDescent="0.15">
      <c r="C12" s="1" t="s">
        <v>38</v>
      </c>
      <c r="D12" s="1">
        <v>4</v>
      </c>
      <c r="E12" s="1">
        <f t="shared" si="0"/>
        <v>0.94594594594594594</v>
      </c>
    </row>
    <row r="13" spans="1:12" x14ac:dyDescent="0.15">
      <c r="D13" s="1">
        <v>5</v>
      </c>
      <c r="E13" s="1">
        <f t="shared" si="0"/>
        <v>0.9375</v>
      </c>
    </row>
    <row r="14" spans="1:12" x14ac:dyDescent="0.15">
      <c r="D14" s="1">
        <v>6</v>
      </c>
      <c r="E14" s="1">
        <f t="shared" si="0"/>
        <v>0.93023255813953487</v>
      </c>
    </row>
    <row r="15" spans="1:12" ht="15.75" customHeight="1" x14ac:dyDescent="0.15">
      <c r="D15" s="1">
        <v>7</v>
      </c>
      <c r="E15" s="1">
        <f t="shared" si="0"/>
        <v>0.92391304347826098</v>
      </c>
    </row>
    <row r="16" spans="1:12" x14ac:dyDescent="0.15">
      <c r="D16" s="1">
        <v>8</v>
      </c>
      <c r="E16" s="1">
        <f t="shared" si="0"/>
        <v>0.91836734693877564</v>
      </c>
    </row>
    <row r="17" spans="4:5" x14ac:dyDescent="0.15">
      <c r="D17" s="1">
        <v>9</v>
      </c>
      <c r="E17" s="1">
        <f t="shared" si="0"/>
        <v>0.91346153846153844</v>
      </c>
    </row>
    <row r="18" spans="4:5" x14ac:dyDescent="0.15">
      <c r="D18" s="1">
        <v>10</v>
      </c>
      <c r="E18" s="1">
        <f t="shared" si="0"/>
        <v>0.90909090909090906</v>
      </c>
    </row>
    <row r="19" spans="4:5" x14ac:dyDescent="0.15">
      <c r="D19" s="1">
        <v>11</v>
      </c>
      <c r="E19" s="1">
        <f t="shared" si="0"/>
        <v>0.90517241379310343</v>
      </c>
    </row>
    <row r="20" spans="4:5" x14ac:dyDescent="0.15">
      <c r="D20" s="1">
        <v>12</v>
      </c>
      <c r="E20" s="1">
        <f t="shared" si="0"/>
        <v>0.90163934426229508</v>
      </c>
    </row>
    <row r="21" spans="4:5" x14ac:dyDescent="0.15">
      <c r="D21" s="1">
        <v>13</v>
      </c>
      <c r="E21" s="1">
        <f t="shared" si="0"/>
        <v>0.8984375</v>
      </c>
    </row>
    <row r="22" spans="4:5" x14ac:dyDescent="0.15">
      <c r="D22" s="1">
        <v>14</v>
      </c>
      <c r="E22" s="1">
        <f t="shared" si="0"/>
        <v>0.89552238805970152</v>
      </c>
    </row>
    <row r="23" spans="4:5" x14ac:dyDescent="0.15">
      <c r="D23" s="1">
        <v>15</v>
      </c>
      <c r="E23" s="1">
        <f t="shared" si="0"/>
        <v>0.89285714285714279</v>
      </c>
    </row>
    <row r="24" spans="4:5" x14ac:dyDescent="0.15">
      <c r="D24" s="1">
        <v>16</v>
      </c>
      <c r="E24" s="1">
        <f t="shared" si="0"/>
        <v>0.8904109589041096</v>
      </c>
    </row>
    <row r="25" spans="4:5" x14ac:dyDescent="0.15">
      <c r="D25" s="1">
        <v>17</v>
      </c>
      <c r="E25" s="1">
        <f t="shared" si="0"/>
        <v>0.88815789473684204</v>
      </c>
    </row>
    <row r="26" spans="4:5" x14ac:dyDescent="0.15">
      <c r="D26" s="1">
        <v>18</v>
      </c>
      <c r="E26" s="1">
        <f t="shared" si="0"/>
        <v>0.88607594936708867</v>
      </c>
    </row>
    <row r="27" spans="4:5" x14ac:dyDescent="0.15">
      <c r="D27" s="1">
        <v>19</v>
      </c>
      <c r="E27" s="1">
        <f t="shared" si="0"/>
        <v>0.88414634146341464</v>
      </c>
    </row>
    <row r="28" spans="4:5" x14ac:dyDescent="0.15">
      <c r="D28" s="1">
        <v>20</v>
      </c>
      <c r="E28" s="1">
        <f t="shared" si="0"/>
        <v>0.88235294117647056</v>
      </c>
    </row>
    <row r="29" spans="4:5" x14ac:dyDescent="0.15">
      <c r="D29" s="1">
        <v>21</v>
      </c>
      <c r="E29" s="1">
        <f t="shared" si="0"/>
        <v>0.88068181818181812</v>
      </c>
    </row>
    <row r="30" spans="4:5" x14ac:dyDescent="0.15">
      <c r="D30" s="1">
        <v>22</v>
      </c>
      <c r="E30" s="1">
        <f t="shared" si="0"/>
        <v>0.87912087912087911</v>
      </c>
    </row>
    <row r="31" spans="4:5" x14ac:dyDescent="0.15">
      <c r="D31" s="1">
        <v>23</v>
      </c>
      <c r="E31" s="1">
        <f t="shared" si="0"/>
        <v>0.87765957446808507</v>
      </c>
    </row>
    <row r="32" spans="4:5" x14ac:dyDescent="0.15">
      <c r="D32" s="1">
        <v>24</v>
      </c>
      <c r="E32" s="1">
        <f t="shared" si="0"/>
        <v>0.87628865979381443</v>
      </c>
    </row>
    <row r="33" spans="4:5" x14ac:dyDescent="0.15">
      <c r="D33" s="1">
        <v>25</v>
      </c>
      <c r="E33" s="1">
        <f t="shared" si="0"/>
        <v>0.875</v>
      </c>
    </row>
    <row r="34" spans="4:5" x14ac:dyDescent="0.15">
      <c r="D34" s="1">
        <v>26</v>
      </c>
      <c r="E34" s="1">
        <f t="shared" si="0"/>
        <v>0.87378640776699035</v>
      </c>
    </row>
    <row r="35" spans="4:5" x14ac:dyDescent="0.15">
      <c r="D35" s="1">
        <v>27</v>
      </c>
      <c r="E35" s="1">
        <f t="shared" si="0"/>
        <v>0.87264150943396224</v>
      </c>
    </row>
    <row r="36" spans="4:5" x14ac:dyDescent="0.15">
      <c r="D36" s="1">
        <v>28</v>
      </c>
      <c r="E36" s="1">
        <f t="shared" si="0"/>
        <v>0.87155963302752293</v>
      </c>
    </row>
    <row r="37" spans="4:5" x14ac:dyDescent="0.15">
      <c r="D37" s="1">
        <v>29</v>
      </c>
      <c r="E37" s="1">
        <f t="shared" si="0"/>
        <v>0.8705357142857143</v>
      </c>
    </row>
    <row r="38" spans="4:5" x14ac:dyDescent="0.15">
      <c r="D38" s="1">
        <v>30</v>
      </c>
      <c r="E38" s="1">
        <f t="shared" si="0"/>
        <v>0.86956521739130443</v>
      </c>
    </row>
    <row r="39" spans="4:5" x14ac:dyDescent="0.15">
      <c r="D39" s="1">
        <v>31</v>
      </c>
      <c r="E39" s="1">
        <f t="shared" si="0"/>
        <v>0.86864406779661019</v>
      </c>
    </row>
    <row r="40" spans="4:5" x14ac:dyDescent="0.15">
      <c r="D40" s="1">
        <v>32</v>
      </c>
      <c r="E40" s="1">
        <f t="shared" si="0"/>
        <v>0.86776859504132242</v>
      </c>
    </row>
    <row r="41" spans="4:5" x14ac:dyDescent="0.15">
      <c r="D41" s="1">
        <v>33</v>
      </c>
      <c r="E41" s="1">
        <f t="shared" si="0"/>
        <v>0.86693548387096764</v>
      </c>
    </row>
    <row r="42" spans="4:5" x14ac:dyDescent="0.15">
      <c r="D42" s="1">
        <v>34</v>
      </c>
      <c r="E42" s="1">
        <f t="shared" si="0"/>
        <v>0.86614173228346458</v>
      </c>
    </row>
    <row r="43" spans="4:5" x14ac:dyDescent="0.15">
      <c r="D43" s="1">
        <v>35</v>
      </c>
      <c r="E43" s="1">
        <f t="shared" si="0"/>
        <v>0.86538461538461542</v>
      </c>
    </row>
    <row r="44" spans="4:5" x14ac:dyDescent="0.15">
      <c r="D44" s="1">
        <v>36</v>
      </c>
      <c r="E44" s="1">
        <f t="shared" si="0"/>
        <v>0.86466165413533835</v>
      </c>
    </row>
    <row r="45" spans="4:5" x14ac:dyDescent="0.15">
      <c r="D45" s="1">
        <v>37</v>
      </c>
      <c r="E45" s="1">
        <f t="shared" si="0"/>
        <v>0.86397058823529416</v>
      </c>
    </row>
    <row r="46" spans="4:5" x14ac:dyDescent="0.15">
      <c r="D46" s="1">
        <v>38</v>
      </c>
      <c r="E46" s="1">
        <f t="shared" si="0"/>
        <v>0.86330935251798568</v>
      </c>
    </row>
    <row r="47" spans="4:5" x14ac:dyDescent="0.15">
      <c r="D47" s="1">
        <v>39</v>
      </c>
      <c r="E47" s="1">
        <f t="shared" si="0"/>
        <v>0.86267605633802824</v>
      </c>
    </row>
    <row r="48" spans="4:5" x14ac:dyDescent="0.15">
      <c r="D48" s="1">
        <v>40</v>
      </c>
      <c r="E48" s="1">
        <f t="shared" si="0"/>
        <v>0.86206896551724144</v>
      </c>
    </row>
    <row r="49" spans="4:5" x14ac:dyDescent="0.15">
      <c r="D49" s="1">
        <v>41</v>
      </c>
      <c r="E49" s="1">
        <f t="shared" si="0"/>
        <v>0.8614864864864864</v>
      </c>
    </row>
    <row r="50" spans="4:5" x14ac:dyDescent="0.15">
      <c r="D50" s="1">
        <v>42</v>
      </c>
      <c r="E50" s="1">
        <f t="shared" si="0"/>
        <v>0.86092715231788075</v>
      </c>
    </row>
    <row r="51" spans="4:5" x14ac:dyDescent="0.15">
      <c r="D51" s="1">
        <v>43</v>
      </c>
      <c r="E51" s="1">
        <f t="shared" si="0"/>
        <v>0.86038961038961037</v>
      </c>
    </row>
    <row r="52" spans="4:5" x14ac:dyDescent="0.15">
      <c r="D52" s="1">
        <v>44</v>
      </c>
      <c r="E52" s="1">
        <f t="shared" si="0"/>
        <v>0.85987261146496818</v>
      </c>
    </row>
    <row r="53" spans="4:5" x14ac:dyDescent="0.15">
      <c r="D53" s="1">
        <v>45</v>
      </c>
      <c r="E53" s="1">
        <f t="shared" si="0"/>
        <v>0.859375</v>
      </c>
    </row>
    <row r="54" spans="4:5" x14ac:dyDescent="0.15">
      <c r="D54" s="1">
        <v>46</v>
      </c>
      <c r="E54" s="1">
        <f t="shared" si="0"/>
        <v>0.85889570552147232</v>
      </c>
    </row>
    <row r="55" spans="4:5" x14ac:dyDescent="0.15">
      <c r="D55" s="1">
        <v>47</v>
      </c>
      <c r="E55" s="1">
        <f t="shared" si="0"/>
        <v>0.85843373493975894</v>
      </c>
    </row>
    <row r="56" spans="4:5" x14ac:dyDescent="0.15">
      <c r="D56" s="1">
        <v>48</v>
      </c>
      <c r="E56" s="1">
        <f t="shared" si="0"/>
        <v>0.85798816568047342</v>
      </c>
    </row>
    <row r="57" spans="4:5" x14ac:dyDescent="0.15">
      <c r="D57" s="1">
        <v>49</v>
      </c>
      <c r="E57" s="1">
        <f t="shared" si="0"/>
        <v>0.85755813953488369</v>
      </c>
    </row>
    <row r="58" spans="4:5" x14ac:dyDescent="0.15">
      <c r="D58" s="1">
        <v>50</v>
      </c>
      <c r="E58" s="1">
        <f t="shared" si="0"/>
        <v>0.8571428571428571</v>
      </c>
    </row>
    <row r="59" spans="4:5" x14ac:dyDescent="0.15">
      <c r="D59" s="1">
        <v>51</v>
      </c>
      <c r="E59" s="1">
        <f t="shared" si="0"/>
        <v>0.8567415730337079</v>
      </c>
    </row>
    <row r="60" spans="4:5" x14ac:dyDescent="0.15">
      <c r="D60" s="1">
        <v>52</v>
      </c>
      <c r="E60" s="1">
        <f t="shared" si="0"/>
        <v>0.85635359116022103</v>
      </c>
    </row>
    <row r="61" spans="4:5" x14ac:dyDescent="0.15">
      <c r="D61" s="1">
        <v>53</v>
      </c>
      <c r="E61" s="1">
        <f t="shared" si="0"/>
        <v>0.85597826086956519</v>
      </c>
    </row>
    <row r="62" spans="4:5" x14ac:dyDescent="0.15">
      <c r="D62" s="1">
        <v>54</v>
      </c>
      <c r="E62" s="1">
        <f t="shared" si="0"/>
        <v>0.85561497326203206</v>
      </c>
    </row>
    <row r="63" spans="4:5" x14ac:dyDescent="0.15">
      <c r="D63" s="1">
        <v>55</v>
      </c>
      <c r="E63" s="1">
        <f t="shared" si="0"/>
        <v>0.85526315789473684</v>
      </c>
    </row>
    <row r="64" spans="4:5" x14ac:dyDescent="0.15">
      <c r="D64" s="1">
        <v>56</v>
      </c>
      <c r="E64" s="1">
        <f t="shared" si="0"/>
        <v>0.85492227979274615</v>
      </c>
    </row>
    <row r="65" spans="4:5" x14ac:dyDescent="0.15">
      <c r="D65" s="1">
        <v>57</v>
      </c>
      <c r="E65" s="1">
        <f t="shared" si="0"/>
        <v>0.85459183673469385</v>
      </c>
    </row>
    <row r="66" spans="4:5" x14ac:dyDescent="0.15">
      <c r="D66" s="1">
        <v>58</v>
      </c>
      <c r="E66" s="1">
        <f t="shared" si="0"/>
        <v>0.85427135678391952</v>
      </c>
    </row>
    <row r="67" spans="4:5" x14ac:dyDescent="0.15">
      <c r="D67" s="1">
        <v>59</v>
      </c>
      <c r="E67" s="1">
        <f t="shared" si="0"/>
        <v>0.85396039603960394</v>
      </c>
    </row>
    <row r="68" spans="4:5" x14ac:dyDescent="0.15">
      <c r="D68" s="1">
        <v>60</v>
      </c>
      <c r="E68" s="1">
        <f t="shared" si="0"/>
        <v>0.85365853658536583</v>
      </c>
    </row>
    <row r="69" spans="4:5" x14ac:dyDescent="0.15">
      <c r="D69" s="1">
        <v>61</v>
      </c>
      <c r="E69" s="1">
        <f t="shared" si="0"/>
        <v>0.85336538461538458</v>
      </c>
    </row>
    <row r="70" spans="4:5" x14ac:dyDescent="0.15">
      <c r="D70" s="1">
        <v>62</v>
      </c>
      <c r="E70" s="1">
        <f t="shared" si="0"/>
        <v>0.85308056872037907</v>
      </c>
    </row>
    <row r="71" spans="4:5" x14ac:dyDescent="0.15">
      <c r="D71" s="1">
        <v>63</v>
      </c>
      <c r="E71" s="1">
        <f t="shared" si="0"/>
        <v>0.85280373831775691</v>
      </c>
    </row>
    <row r="72" spans="4:5" x14ac:dyDescent="0.15">
      <c r="D72" s="1">
        <v>64</v>
      </c>
      <c r="E72" s="1">
        <f t="shared" si="0"/>
        <v>0.85253456221198154</v>
      </c>
    </row>
    <row r="73" spans="4:5" x14ac:dyDescent="0.15">
      <c r="D73" s="1">
        <v>65</v>
      </c>
      <c r="E73" s="1">
        <f t="shared" si="0"/>
        <v>0.85227272727272729</v>
      </c>
    </row>
    <row r="74" spans="4:5" x14ac:dyDescent="0.15">
      <c r="D74" s="1">
        <v>66</v>
      </c>
      <c r="E74" s="1">
        <f t="shared" si="0"/>
        <v>0.85201793721973085</v>
      </c>
    </row>
    <row r="75" spans="4:5" x14ac:dyDescent="0.15">
      <c r="D75" s="1">
        <v>67</v>
      </c>
      <c r="E75" s="1">
        <f t="shared" ref="E75:E106" si="2">1/(1+D75/(D75*5+50))</f>
        <v>0.85176991150442483</v>
      </c>
    </row>
    <row r="76" spans="4:5" x14ac:dyDescent="0.15">
      <c r="D76" s="1">
        <v>68</v>
      </c>
      <c r="E76" s="1">
        <f t="shared" si="2"/>
        <v>0.85152838427947597</v>
      </c>
    </row>
    <row r="77" spans="4:5" x14ac:dyDescent="0.15">
      <c r="D77" s="1">
        <v>69</v>
      </c>
      <c r="E77" s="1">
        <f t="shared" si="2"/>
        <v>0.8512931034482758</v>
      </c>
    </row>
    <row r="78" spans="4:5" x14ac:dyDescent="0.15">
      <c r="D78" s="1">
        <v>70</v>
      </c>
      <c r="E78" s="1">
        <f t="shared" si="2"/>
        <v>0.85106382978723405</v>
      </c>
    </row>
    <row r="79" spans="4:5" x14ac:dyDescent="0.15">
      <c r="D79" s="1">
        <v>71</v>
      </c>
      <c r="E79" s="1">
        <f t="shared" si="2"/>
        <v>0.85084033613445376</v>
      </c>
    </row>
    <row r="80" spans="4:5" x14ac:dyDescent="0.15">
      <c r="D80" s="1">
        <v>72</v>
      </c>
      <c r="E80" s="1">
        <f t="shared" si="2"/>
        <v>0.85062240663900424</v>
      </c>
    </row>
    <row r="81" spans="4:5" x14ac:dyDescent="0.15">
      <c r="D81" s="1">
        <v>73</v>
      </c>
      <c r="E81" s="1">
        <f t="shared" si="2"/>
        <v>0.85040983606557385</v>
      </c>
    </row>
    <row r="82" spans="4:5" x14ac:dyDescent="0.15">
      <c r="D82" s="1">
        <v>74</v>
      </c>
      <c r="E82" s="1">
        <f t="shared" si="2"/>
        <v>0.85020242914979749</v>
      </c>
    </row>
    <row r="83" spans="4:5" x14ac:dyDescent="0.15">
      <c r="D83" s="1">
        <v>75</v>
      </c>
      <c r="E83" s="1">
        <f t="shared" si="2"/>
        <v>0.85</v>
      </c>
    </row>
    <row r="84" spans="4:5" x14ac:dyDescent="0.15">
      <c r="D84" s="1">
        <v>76</v>
      </c>
      <c r="E84" s="1">
        <f t="shared" si="2"/>
        <v>0.84980237154150207</v>
      </c>
    </row>
    <row r="85" spans="4:5" x14ac:dyDescent="0.15">
      <c r="D85" s="1">
        <v>77</v>
      </c>
      <c r="E85" s="1">
        <f t="shared" si="2"/>
        <v>0.849609375</v>
      </c>
    </row>
    <row r="86" spans="4:5" x14ac:dyDescent="0.15">
      <c r="D86" s="1">
        <v>78</v>
      </c>
      <c r="E86" s="1">
        <f t="shared" si="2"/>
        <v>0.84942084942084939</v>
      </c>
    </row>
    <row r="87" spans="4:5" x14ac:dyDescent="0.15">
      <c r="D87" s="1">
        <v>79</v>
      </c>
      <c r="E87" s="1">
        <f t="shared" si="2"/>
        <v>0.84923664122137399</v>
      </c>
    </row>
    <row r="88" spans="4:5" x14ac:dyDescent="0.15">
      <c r="D88" s="1">
        <v>80</v>
      </c>
      <c r="E88" s="1">
        <f t="shared" si="2"/>
        <v>0.84905660377358483</v>
      </c>
    </row>
    <row r="89" spans="4:5" x14ac:dyDescent="0.15">
      <c r="D89" s="1">
        <v>81</v>
      </c>
      <c r="E89" s="1">
        <f t="shared" si="2"/>
        <v>0.84888059701492535</v>
      </c>
    </row>
    <row r="90" spans="4:5" x14ac:dyDescent="0.15">
      <c r="D90" s="1">
        <v>82</v>
      </c>
      <c r="E90" s="1">
        <f t="shared" si="2"/>
        <v>0.84870848708487079</v>
      </c>
    </row>
    <row r="91" spans="4:5" x14ac:dyDescent="0.15">
      <c r="D91" s="1">
        <v>83</v>
      </c>
      <c r="E91" s="1">
        <f t="shared" si="2"/>
        <v>0.84854014598540151</v>
      </c>
    </row>
    <row r="92" spans="4:5" x14ac:dyDescent="0.15">
      <c r="D92" s="1">
        <v>84</v>
      </c>
      <c r="E92" s="1">
        <f t="shared" si="2"/>
        <v>0.84837545126353786</v>
      </c>
    </row>
    <row r="93" spans="4:5" x14ac:dyDescent="0.15">
      <c r="D93" s="1">
        <v>85</v>
      </c>
      <c r="E93" s="1">
        <f t="shared" si="2"/>
        <v>0.84821428571428559</v>
      </c>
    </row>
    <row r="94" spans="4:5" x14ac:dyDescent="0.15">
      <c r="D94" s="1">
        <v>86</v>
      </c>
      <c r="E94" s="1">
        <f t="shared" si="2"/>
        <v>0.84805653710247353</v>
      </c>
    </row>
    <row r="95" spans="4:5" x14ac:dyDescent="0.15">
      <c r="D95" s="1">
        <v>87</v>
      </c>
      <c r="E95" s="1">
        <f t="shared" si="2"/>
        <v>0.84790209790209792</v>
      </c>
    </row>
    <row r="96" spans="4:5" x14ac:dyDescent="0.15">
      <c r="D96" s="1">
        <v>88</v>
      </c>
      <c r="E96" s="1">
        <f t="shared" si="2"/>
        <v>0.84775086505190311</v>
      </c>
    </row>
    <row r="97" spans="4:5" x14ac:dyDescent="0.15">
      <c r="D97" s="1">
        <v>89</v>
      </c>
      <c r="E97" s="1">
        <f t="shared" si="2"/>
        <v>0.8476027397260274</v>
      </c>
    </row>
    <row r="98" spans="4:5" x14ac:dyDescent="0.15">
      <c r="D98" s="1">
        <v>90</v>
      </c>
      <c r="E98" s="1">
        <f t="shared" si="2"/>
        <v>0.84745762711864414</v>
      </c>
    </row>
    <row r="99" spans="4:5" x14ac:dyDescent="0.15">
      <c r="D99" s="1">
        <v>91</v>
      </c>
      <c r="E99" s="1">
        <f t="shared" si="2"/>
        <v>0.84731543624161076</v>
      </c>
    </row>
    <row r="100" spans="4:5" x14ac:dyDescent="0.15">
      <c r="D100" s="1">
        <v>92</v>
      </c>
      <c r="E100" s="1">
        <f t="shared" si="2"/>
        <v>0.84717607973421927</v>
      </c>
    </row>
    <row r="101" spans="4:5" x14ac:dyDescent="0.15">
      <c r="D101" s="1">
        <v>93</v>
      </c>
      <c r="E101" s="1">
        <f t="shared" si="2"/>
        <v>0.84703947368421051</v>
      </c>
    </row>
    <row r="102" spans="4:5" x14ac:dyDescent="0.15">
      <c r="D102" s="1">
        <v>94</v>
      </c>
      <c r="E102" s="1">
        <f t="shared" si="2"/>
        <v>0.84690553745928332</v>
      </c>
    </row>
    <row r="103" spans="4:5" x14ac:dyDescent="0.15">
      <c r="D103" s="1">
        <v>95</v>
      </c>
      <c r="E103" s="1">
        <f t="shared" si="2"/>
        <v>0.84677419354838712</v>
      </c>
    </row>
    <row r="104" spans="4:5" x14ac:dyDescent="0.15">
      <c r="D104" s="1">
        <v>96</v>
      </c>
      <c r="E104" s="1">
        <f t="shared" si="2"/>
        <v>0.84664536741214058</v>
      </c>
    </row>
    <row r="105" spans="4:5" x14ac:dyDescent="0.15">
      <c r="D105" s="1">
        <v>97</v>
      </c>
      <c r="E105" s="1">
        <f t="shared" si="2"/>
        <v>0.84651898734177222</v>
      </c>
    </row>
    <row r="106" spans="4:5" x14ac:dyDescent="0.15">
      <c r="D106" s="1">
        <v>98</v>
      </c>
      <c r="E106" s="1">
        <f t="shared" si="2"/>
        <v>0.84639498432601878</v>
      </c>
    </row>
    <row r="107" spans="4:5" x14ac:dyDescent="0.15">
      <c r="D107" s="1">
        <v>99</v>
      </c>
      <c r="E107" s="1">
        <f>1/(1+D107/(D107*5+50))</f>
        <v>0.84627329192546574</v>
      </c>
    </row>
    <row r="108" spans="4:5" x14ac:dyDescent="0.15">
      <c r="D108" s="1">
        <v>100</v>
      </c>
      <c r="E108" s="1">
        <f>1/(1+D108/(99*5+50))</f>
        <v>0.84496124031007747</v>
      </c>
    </row>
    <row r="109" spans="4:5" x14ac:dyDescent="0.15">
      <c r="D109" s="1">
        <v>101</v>
      </c>
      <c r="E109" s="1">
        <f t="shared" ref="E109:E138" si="3">1/(1+D109/(99*5+50))</f>
        <v>0.84365325077399389</v>
      </c>
    </row>
    <row r="110" spans="4:5" x14ac:dyDescent="0.15">
      <c r="D110" s="1">
        <v>102</v>
      </c>
      <c r="E110" s="1">
        <f t="shared" si="3"/>
        <v>0.84234930448222556</v>
      </c>
    </row>
    <row r="111" spans="4:5" x14ac:dyDescent="0.15">
      <c r="D111" s="1">
        <v>103</v>
      </c>
      <c r="E111" s="1">
        <f t="shared" si="3"/>
        <v>0.84104938271604934</v>
      </c>
    </row>
    <row r="112" spans="4:5" x14ac:dyDescent="0.15">
      <c r="D112" s="1">
        <v>104</v>
      </c>
      <c r="E112" s="1">
        <f t="shared" si="3"/>
        <v>0.83975346687211094</v>
      </c>
    </row>
    <row r="113" spans="4:5" x14ac:dyDescent="0.15">
      <c r="D113" s="1">
        <v>105</v>
      </c>
      <c r="E113" s="1">
        <f t="shared" si="3"/>
        <v>0.83846153846153848</v>
      </c>
    </row>
    <row r="114" spans="4:5" x14ac:dyDescent="0.15">
      <c r="D114" s="1">
        <v>106</v>
      </c>
      <c r="E114" s="1">
        <f t="shared" si="3"/>
        <v>0.83717357910906309</v>
      </c>
    </row>
    <row r="115" spans="4:5" x14ac:dyDescent="0.15">
      <c r="D115" s="1">
        <v>107</v>
      </c>
      <c r="E115" s="1">
        <f t="shared" si="3"/>
        <v>0.83588957055214719</v>
      </c>
    </row>
    <row r="116" spans="4:5" x14ac:dyDescent="0.15">
      <c r="D116" s="1">
        <v>108</v>
      </c>
      <c r="E116" s="1">
        <f t="shared" si="3"/>
        <v>0.83460949464012246</v>
      </c>
    </row>
    <row r="117" spans="4:5" x14ac:dyDescent="0.15">
      <c r="D117" s="1">
        <v>109</v>
      </c>
      <c r="E117" s="1">
        <f t="shared" si="3"/>
        <v>0.83333333333333337</v>
      </c>
    </row>
    <row r="118" spans="4:5" x14ac:dyDescent="0.15">
      <c r="D118" s="1">
        <v>110</v>
      </c>
      <c r="E118" s="1">
        <f t="shared" si="3"/>
        <v>0.83206106870229002</v>
      </c>
    </row>
    <row r="119" spans="4:5" x14ac:dyDescent="0.15">
      <c r="D119" s="1">
        <v>111</v>
      </c>
      <c r="E119" s="1">
        <f t="shared" si="3"/>
        <v>0.83079268292682917</v>
      </c>
    </row>
    <row r="120" spans="4:5" x14ac:dyDescent="0.15">
      <c r="D120" s="1">
        <v>112</v>
      </c>
      <c r="E120" s="1">
        <f t="shared" si="3"/>
        <v>0.82952815829528159</v>
      </c>
    </row>
    <row r="121" spans="4:5" x14ac:dyDescent="0.15">
      <c r="D121" s="1">
        <v>113</v>
      </c>
      <c r="E121" s="1">
        <f t="shared" si="3"/>
        <v>0.82826747720364746</v>
      </c>
    </row>
    <row r="122" spans="4:5" x14ac:dyDescent="0.15">
      <c r="D122" s="1">
        <v>114</v>
      </c>
      <c r="E122" s="1">
        <f t="shared" si="3"/>
        <v>0.82701062215478005</v>
      </c>
    </row>
    <row r="123" spans="4:5" x14ac:dyDescent="0.15">
      <c r="D123" s="1">
        <v>115</v>
      </c>
      <c r="E123" s="1">
        <f t="shared" si="3"/>
        <v>0.82575757575757569</v>
      </c>
    </row>
    <row r="124" spans="4:5" x14ac:dyDescent="0.15">
      <c r="D124" s="1">
        <v>116</v>
      </c>
      <c r="E124" s="1">
        <f t="shared" si="3"/>
        <v>0.82450832072617242</v>
      </c>
    </row>
    <row r="125" spans="4:5" x14ac:dyDescent="0.15">
      <c r="D125" s="1">
        <v>117</v>
      </c>
      <c r="E125" s="1">
        <f t="shared" si="3"/>
        <v>0.82326283987915416</v>
      </c>
    </row>
    <row r="126" spans="4:5" x14ac:dyDescent="0.15">
      <c r="D126" s="1">
        <v>118</v>
      </c>
      <c r="E126" s="1">
        <f t="shared" si="3"/>
        <v>0.82202111613876316</v>
      </c>
    </row>
    <row r="127" spans="4:5" x14ac:dyDescent="0.15">
      <c r="D127" s="1">
        <v>119</v>
      </c>
      <c r="E127" s="1">
        <f t="shared" si="3"/>
        <v>0.82078313253012047</v>
      </c>
    </row>
    <row r="128" spans="4:5" x14ac:dyDescent="0.15">
      <c r="D128" s="1">
        <v>120</v>
      </c>
      <c r="E128" s="1">
        <f t="shared" si="3"/>
        <v>0.81954887218045114</v>
      </c>
    </row>
    <row r="129" spans="4:5" x14ac:dyDescent="0.15">
      <c r="D129" s="1">
        <v>121</v>
      </c>
      <c r="E129" s="1">
        <f t="shared" si="3"/>
        <v>0.81831831831831836</v>
      </c>
    </row>
    <row r="130" spans="4:5" x14ac:dyDescent="0.15">
      <c r="D130" s="1">
        <v>122</v>
      </c>
      <c r="E130" s="1">
        <f t="shared" si="3"/>
        <v>0.81709145427286367</v>
      </c>
    </row>
    <row r="131" spans="4:5" x14ac:dyDescent="0.15">
      <c r="D131" s="1">
        <v>123</v>
      </c>
      <c r="E131" s="1">
        <f t="shared" si="3"/>
        <v>0.81586826347305386</v>
      </c>
    </row>
    <row r="132" spans="4:5" x14ac:dyDescent="0.15">
      <c r="D132" s="1">
        <v>124</v>
      </c>
      <c r="E132" s="1">
        <f t="shared" si="3"/>
        <v>0.81464872944693567</v>
      </c>
    </row>
    <row r="133" spans="4:5" x14ac:dyDescent="0.15">
      <c r="D133" s="1">
        <v>125</v>
      </c>
      <c r="E133" s="1">
        <f t="shared" si="3"/>
        <v>0.81343283582089554</v>
      </c>
    </row>
    <row r="134" spans="4:5" x14ac:dyDescent="0.15">
      <c r="D134" s="1">
        <v>126</v>
      </c>
      <c r="E134" s="1">
        <f t="shared" si="3"/>
        <v>0.81222056631892692</v>
      </c>
    </row>
    <row r="135" spans="4:5" x14ac:dyDescent="0.15">
      <c r="D135" s="1">
        <v>127</v>
      </c>
      <c r="E135" s="1">
        <f t="shared" si="3"/>
        <v>0.81101190476190477</v>
      </c>
    </row>
    <row r="136" spans="4:5" x14ac:dyDescent="0.15">
      <c r="D136" s="1">
        <v>128</v>
      </c>
      <c r="E136" s="1">
        <f t="shared" si="3"/>
        <v>0.80980683506686479</v>
      </c>
    </row>
    <row r="137" spans="4:5" x14ac:dyDescent="0.15">
      <c r="D137" s="1">
        <v>129</v>
      </c>
      <c r="E137" s="1">
        <f t="shared" si="3"/>
        <v>0.8086053412462908</v>
      </c>
    </row>
    <row r="138" spans="4:5" x14ac:dyDescent="0.15">
      <c r="D138" s="1">
        <v>130</v>
      </c>
      <c r="E138" s="1">
        <f t="shared" si="3"/>
        <v>0.80740740740740746</v>
      </c>
    </row>
    <row r="139" spans="4:5" x14ac:dyDescent="0.15">
      <c r="D139" s="1">
        <v>131</v>
      </c>
      <c r="E139" s="1">
        <f>1/(1+D139/(99*5+50))</f>
        <v>0.80621301775147924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13" workbookViewId="0">
      <selection activeCell="A29" sqref="A29"/>
    </sheetView>
  </sheetViews>
  <sheetFormatPr defaultRowHeight="16.5" x14ac:dyDescent="0.15"/>
  <cols>
    <col min="1" max="16384" width="9" style="1"/>
  </cols>
  <sheetData>
    <row r="1" spans="1:14" x14ac:dyDescent="0.15">
      <c r="A1" s="9" t="s">
        <v>39</v>
      </c>
    </row>
    <row r="2" spans="1:14" x14ac:dyDescent="0.15">
      <c r="B2" s="1" t="s">
        <v>40</v>
      </c>
    </row>
    <row r="3" spans="1:14" x14ac:dyDescent="0.15">
      <c r="C3" s="1" t="s">
        <v>41</v>
      </c>
    </row>
    <row r="5" spans="1:14" x14ac:dyDescent="0.15">
      <c r="A5" s="1" t="s">
        <v>42</v>
      </c>
    </row>
    <row r="6" spans="1:14" x14ac:dyDescent="0.15">
      <c r="B6" s="57" t="s">
        <v>43</v>
      </c>
      <c r="C6" s="57"/>
      <c r="D6" s="57"/>
      <c r="E6" s="57"/>
      <c r="F6" s="57"/>
      <c r="G6" s="57"/>
      <c r="H6" s="6"/>
      <c r="I6" s="57" t="s">
        <v>44</v>
      </c>
      <c r="J6" s="57"/>
      <c r="K6" s="57"/>
      <c r="L6" s="57"/>
      <c r="M6" s="57"/>
      <c r="N6" s="57"/>
    </row>
    <row r="7" spans="1:14" x14ac:dyDescent="0.15">
      <c r="B7" s="1" t="s">
        <v>45</v>
      </c>
      <c r="C7" s="1" t="s">
        <v>46</v>
      </c>
      <c r="D7" s="1" t="s">
        <v>47</v>
      </c>
      <c r="E7" s="1" t="s">
        <v>48</v>
      </c>
      <c r="F7" s="1" t="s">
        <v>49</v>
      </c>
      <c r="G7" s="1" t="s">
        <v>50</v>
      </c>
      <c r="I7" s="1" t="s">
        <v>45</v>
      </c>
      <c r="J7" s="1" t="s">
        <v>46</v>
      </c>
      <c r="K7" s="1" t="s">
        <v>47</v>
      </c>
      <c r="L7" s="1" t="s">
        <v>48</v>
      </c>
      <c r="M7" s="1" t="s">
        <v>49</v>
      </c>
      <c r="N7" s="1" t="s">
        <v>50</v>
      </c>
    </row>
    <row r="8" spans="1:14" x14ac:dyDescent="0.15">
      <c r="B8" s="1" t="s">
        <v>51</v>
      </c>
      <c r="C8" s="1">
        <v>0.1</v>
      </c>
      <c r="D8" s="1">
        <v>0.1</v>
      </c>
      <c r="E8" s="1">
        <f>(1-(D8+C8))*0.8</f>
        <v>0.64000000000000012</v>
      </c>
      <c r="F8" s="1">
        <f>(1-(D8+C8))*0.1</f>
        <v>8.0000000000000016E-2</v>
      </c>
      <c r="G8" s="1">
        <f>(1-(D8+C8))*0.1</f>
        <v>8.0000000000000016E-2</v>
      </c>
      <c r="I8" s="1" t="s">
        <v>51</v>
      </c>
      <c r="J8" s="1">
        <v>0.2</v>
      </c>
      <c r="K8" s="1">
        <v>0.1</v>
      </c>
      <c r="L8" s="1">
        <f>(1-(K8+J8))*0.8</f>
        <v>0.55999999999999994</v>
      </c>
      <c r="M8" s="1">
        <f>(1-(K8+J8))*0.1</f>
        <v>6.9999999999999993E-2</v>
      </c>
      <c r="N8" s="1">
        <f>(1-(K8+J8))*0.1</f>
        <v>6.9999999999999993E-2</v>
      </c>
    </row>
    <row r="9" spans="1:14" x14ac:dyDescent="0.15">
      <c r="B9" s="1" t="s">
        <v>52</v>
      </c>
      <c r="C9" s="1">
        <v>0.1</v>
      </c>
      <c r="D9" s="1">
        <v>0.1</v>
      </c>
      <c r="E9" s="1">
        <f>(1-(D9+C9))*0.1</f>
        <v>8.0000000000000016E-2</v>
      </c>
      <c r="F9" s="1">
        <f>(1-(D9+C9))*0.8</f>
        <v>0.64000000000000012</v>
      </c>
      <c r="G9" s="1">
        <f>(1-(D9+C9))*0.1</f>
        <v>8.0000000000000016E-2</v>
      </c>
      <c r="I9" s="1" t="s">
        <v>52</v>
      </c>
      <c r="J9" s="1">
        <v>0.2</v>
      </c>
      <c r="K9" s="1">
        <v>0.1</v>
      </c>
      <c r="L9" s="1">
        <f>(1-(K9+J9))*0.1</f>
        <v>6.9999999999999993E-2</v>
      </c>
      <c r="M9" s="1">
        <f>(1-(K9+J9))*0.8</f>
        <v>0.55999999999999994</v>
      </c>
      <c r="N9" s="1">
        <f>(1-(K9+J9))*0.1</f>
        <v>6.9999999999999993E-2</v>
      </c>
    </row>
    <row r="10" spans="1:14" x14ac:dyDescent="0.15">
      <c r="B10" s="1" t="s">
        <v>53</v>
      </c>
      <c r="C10" s="1">
        <v>0.1</v>
      </c>
      <c r="D10" s="1">
        <v>0.1</v>
      </c>
      <c r="E10" s="1">
        <f>(1-(D10+C10))*0.1</f>
        <v>8.0000000000000016E-2</v>
      </c>
      <c r="F10" s="1">
        <f>(1-(D10+C10))*0.1</f>
        <v>8.0000000000000016E-2</v>
      </c>
      <c r="G10" s="1">
        <f>(1-(D10+C10))*0.8</f>
        <v>0.64000000000000012</v>
      </c>
      <c r="I10" s="1" t="s">
        <v>53</v>
      </c>
      <c r="J10" s="1">
        <v>0.2</v>
      </c>
      <c r="K10" s="1">
        <v>0.1</v>
      </c>
      <c r="L10" s="1">
        <f>(1-(K10+J10))*0.1</f>
        <v>6.9999999999999993E-2</v>
      </c>
      <c r="M10" s="1">
        <f>(1-(K10+J10))*0.1</f>
        <v>6.9999999999999993E-2</v>
      </c>
      <c r="N10" s="1">
        <f>(1-(K10+J10))*0.8</f>
        <v>0.55999999999999994</v>
      </c>
    </row>
    <row r="11" spans="1:14" x14ac:dyDescent="0.15">
      <c r="B11" s="1" t="s">
        <v>54</v>
      </c>
      <c r="C11" s="1">
        <v>0.1</v>
      </c>
      <c r="D11" s="1">
        <v>0.1</v>
      </c>
      <c r="E11" s="1">
        <f>(1-($C$11+$D$11))/3</f>
        <v>0.26666666666666666</v>
      </c>
      <c r="F11" s="1">
        <f>(1-($C$11+$D$11))/3</f>
        <v>0.26666666666666666</v>
      </c>
      <c r="G11" s="1">
        <f>(1-($C$11+$D$11))/3</f>
        <v>0.26666666666666666</v>
      </c>
      <c r="I11" s="1" t="s">
        <v>54</v>
      </c>
      <c r="J11" s="1">
        <v>0.2</v>
      </c>
      <c r="K11" s="1">
        <v>0.1</v>
      </c>
      <c r="L11" s="1">
        <f>(1-(K11+J11))/3</f>
        <v>0.23333333333333331</v>
      </c>
      <c r="M11" s="1">
        <f t="shared" ref="M11:N11" si="0">(1-($K$11+$J$11))/3</f>
        <v>0.23333333333333331</v>
      </c>
      <c r="N11" s="1">
        <f t="shared" si="0"/>
        <v>0.23333333333333331</v>
      </c>
    </row>
    <row r="12" spans="1:14" x14ac:dyDescent="0.15">
      <c r="A12" s="7"/>
      <c r="B12" s="7" t="s">
        <v>55</v>
      </c>
      <c r="C12" s="7">
        <v>0.1</v>
      </c>
      <c r="D12" s="7">
        <v>0.3</v>
      </c>
      <c r="E12" s="7">
        <f>(1-C12-D12)/3</f>
        <v>0.20000000000000004</v>
      </c>
      <c r="F12" s="7">
        <f>(1-C12-D12)/3</f>
        <v>0.20000000000000004</v>
      </c>
      <c r="G12" s="7">
        <f>(1-C12-D12)/3</f>
        <v>0.20000000000000004</v>
      </c>
      <c r="H12" s="7"/>
      <c r="I12" s="7" t="s">
        <v>55</v>
      </c>
      <c r="J12" s="7">
        <v>0.2</v>
      </c>
      <c r="K12" s="7">
        <v>0.3</v>
      </c>
      <c r="L12" s="7">
        <f t="shared" ref="L12:L13" si="1">(1-(K12+J12))/3</f>
        <v>0.16666666666666666</v>
      </c>
      <c r="M12" s="7">
        <f>(1-(K12+J12))/3</f>
        <v>0.16666666666666666</v>
      </c>
      <c r="N12" s="7">
        <f>(1-(K12+J12))/3</f>
        <v>0.16666666666666666</v>
      </c>
    </row>
    <row r="13" spans="1:14" x14ac:dyDescent="0.15">
      <c r="A13" s="7"/>
      <c r="B13" s="7" t="s">
        <v>56</v>
      </c>
      <c r="C13" s="7">
        <v>0.2</v>
      </c>
      <c r="D13" s="7">
        <v>0.1</v>
      </c>
      <c r="E13" s="7">
        <f>(1-C13-D13)/3</f>
        <v>0.23333333333333336</v>
      </c>
      <c r="F13" s="7">
        <f>(1-C13-D13)/3</f>
        <v>0.23333333333333336</v>
      </c>
      <c r="G13" s="7">
        <f>(1-C13-D13)/3</f>
        <v>0.23333333333333336</v>
      </c>
      <c r="H13" s="7"/>
      <c r="I13" s="7" t="s">
        <v>56</v>
      </c>
      <c r="J13" s="7">
        <v>0.4</v>
      </c>
      <c r="K13" s="7">
        <v>0.1</v>
      </c>
      <c r="L13" s="7">
        <f t="shared" si="1"/>
        <v>0.16666666666666666</v>
      </c>
      <c r="M13" s="7">
        <f>(1-(K13+J13))/3</f>
        <v>0.16666666666666666</v>
      </c>
      <c r="N13" s="7">
        <f>(1-(K13+J13))/3</f>
        <v>0.16666666666666666</v>
      </c>
    </row>
    <row r="15" spans="1:14" x14ac:dyDescent="0.15">
      <c r="B15" s="1" t="s">
        <v>57</v>
      </c>
    </row>
    <row r="18" spans="1:2" x14ac:dyDescent="0.15">
      <c r="A18" s="9" t="s">
        <v>58</v>
      </c>
    </row>
    <row r="19" spans="1:2" x14ac:dyDescent="0.15">
      <c r="A19" s="1" t="s">
        <v>59</v>
      </c>
    </row>
    <row r="20" spans="1:2" x14ac:dyDescent="0.15">
      <c r="A20" s="1" t="s">
        <v>60</v>
      </c>
    </row>
    <row r="21" spans="1:2" x14ac:dyDescent="0.15">
      <c r="A21" s="1" t="s">
        <v>61</v>
      </c>
    </row>
    <row r="22" spans="1:2" x14ac:dyDescent="0.15">
      <c r="A22" s="1" t="s">
        <v>62</v>
      </c>
    </row>
    <row r="24" spans="1:2" x14ac:dyDescent="0.15">
      <c r="A24" s="9" t="s">
        <v>63</v>
      </c>
    </row>
    <row r="25" spans="1:2" x14ac:dyDescent="0.15">
      <c r="A25" s="1" t="s">
        <v>64</v>
      </c>
    </row>
    <row r="26" spans="1:2" x14ac:dyDescent="0.15">
      <c r="A26" s="1" t="s">
        <v>65</v>
      </c>
    </row>
    <row r="29" spans="1:2" x14ac:dyDescent="0.15">
      <c r="A29" s="9" t="s">
        <v>230</v>
      </c>
    </row>
    <row r="30" spans="1:2" x14ac:dyDescent="0.15">
      <c r="A30" s="1" t="s">
        <v>66</v>
      </c>
    </row>
    <row r="32" spans="1:2" x14ac:dyDescent="0.15">
      <c r="A32" s="1" t="s">
        <v>231</v>
      </c>
      <c r="B32" s="1" t="s">
        <v>67</v>
      </c>
    </row>
    <row r="33" spans="2:10" x14ac:dyDescent="0.15">
      <c r="B33" s="8" t="s">
        <v>68</v>
      </c>
    </row>
    <row r="34" spans="2:10" x14ac:dyDescent="0.15">
      <c r="B34" s="8" t="s">
        <v>69</v>
      </c>
    </row>
    <row r="35" spans="2:10" x14ac:dyDescent="0.15">
      <c r="B35" s="8" t="s">
        <v>70</v>
      </c>
      <c r="J35" s="1" t="s">
        <v>71</v>
      </c>
    </row>
  </sheetData>
  <mergeCells count="2">
    <mergeCell ref="B6:G6"/>
    <mergeCell ref="I6:N6"/>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3.5" x14ac:dyDescent="0.15"/>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1"/>
  <sheetViews>
    <sheetView topLeftCell="C1" workbookViewId="0">
      <selection activeCell="F70" sqref="F70"/>
    </sheetView>
  </sheetViews>
  <sheetFormatPr defaultRowHeight="16.5" x14ac:dyDescent="0.15"/>
  <cols>
    <col min="1" max="2" width="9" style="1"/>
    <col min="3" max="4" width="9.125" style="1" bestFit="1" customWidth="1"/>
    <col min="5" max="5" width="16.375" style="1" customWidth="1"/>
    <col min="6" max="7" width="9.125" style="1" bestFit="1" customWidth="1"/>
    <col min="8" max="8" width="9.375" style="1" bestFit="1" customWidth="1"/>
    <col min="9" max="10" width="9.125" style="1" bestFit="1" customWidth="1"/>
    <col min="11" max="11" width="9.5" style="1" bestFit="1" customWidth="1"/>
    <col min="12" max="12" width="9.125" style="1" bestFit="1" customWidth="1"/>
    <col min="13" max="13" width="9" style="1"/>
    <col min="14" max="14" width="9.125" style="1" bestFit="1" customWidth="1"/>
    <col min="15" max="16384" width="9" style="1"/>
  </cols>
  <sheetData>
    <row r="1" spans="1:14" x14ac:dyDescent="0.15">
      <c r="A1" s="9" t="s">
        <v>73</v>
      </c>
      <c r="D1" s="1" t="s">
        <v>74</v>
      </c>
      <c r="I1" s="1" t="s">
        <v>75</v>
      </c>
      <c r="J1" s="1" t="s">
        <v>76</v>
      </c>
      <c r="L1" s="10" t="s">
        <v>77</v>
      </c>
      <c r="M1" s="11" t="s">
        <v>78</v>
      </c>
      <c r="N1" s="12">
        <v>123</v>
      </c>
    </row>
    <row r="2" spans="1:14" x14ac:dyDescent="0.15">
      <c r="B2" s="9" t="s">
        <v>79</v>
      </c>
      <c r="J2" s="13" t="s">
        <v>80</v>
      </c>
      <c r="L2" s="14"/>
      <c r="M2" s="15" t="s">
        <v>81</v>
      </c>
      <c r="N2" s="16">
        <v>123</v>
      </c>
    </row>
    <row r="3" spans="1:14" x14ac:dyDescent="0.15">
      <c r="C3" s="9"/>
      <c r="D3" s="1" t="s">
        <v>82</v>
      </c>
      <c r="E3" s="1" t="s">
        <v>83</v>
      </c>
      <c r="H3" s="13"/>
      <c r="L3" s="17"/>
      <c r="M3" s="15" t="s">
        <v>84</v>
      </c>
      <c r="N3" s="18">
        <v>124</v>
      </c>
    </row>
    <row r="4" spans="1:14" x14ac:dyDescent="0.15">
      <c r="C4" s="9" t="s">
        <v>85</v>
      </c>
      <c r="D4" s="19">
        <v>90</v>
      </c>
      <c r="E4" s="20">
        <f>D4/60</f>
        <v>1.5</v>
      </c>
      <c r="H4" s="13"/>
      <c r="L4" s="21"/>
      <c r="M4" s="22" t="s">
        <v>86</v>
      </c>
      <c r="N4" s="23">
        <v>123</v>
      </c>
    </row>
    <row r="5" spans="1:14" x14ac:dyDescent="0.15">
      <c r="C5" s="9" t="s">
        <v>87</v>
      </c>
      <c r="D5" s="1" t="s">
        <v>88</v>
      </c>
      <c r="E5" s="20"/>
    </row>
    <row r="6" spans="1:14" x14ac:dyDescent="0.15">
      <c r="C6" s="9" t="s">
        <v>89</v>
      </c>
      <c r="D6" s="1" t="s">
        <v>90</v>
      </c>
      <c r="E6" s="20"/>
    </row>
    <row r="7" spans="1:14" x14ac:dyDescent="0.15">
      <c r="C7" s="9" t="s">
        <v>91</v>
      </c>
      <c r="D7" s="19">
        <v>30</v>
      </c>
      <c r="E7" s="20">
        <f>D7/60</f>
        <v>0.5</v>
      </c>
      <c r="F7" s="1" t="s">
        <v>92</v>
      </c>
    </row>
    <row r="8" spans="1:14" x14ac:dyDescent="0.15">
      <c r="C8" s="9" t="s">
        <v>93</v>
      </c>
      <c r="D8" s="19">
        <v>0.15</v>
      </c>
      <c r="G8" s="15"/>
      <c r="H8" s="24"/>
    </row>
    <row r="9" spans="1:14" x14ac:dyDescent="0.15">
      <c r="G9" s="15"/>
      <c r="H9" s="24"/>
    </row>
    <row r="12" spans="1:14" x14ac:dyDescent="0.15">
      <c r="A12" s="9" t="s">
        <v>94</v>
      </c>
      <c r="B12" s="9"/>
    </row>
    <row r="13" spans="1:14" x14ac:dyDescent="0.15">
      <c r="A13" s="9"/>
      <c r="B13" s="9" t="s">
        <v>95</v>
      </c>
      <c r="C13" s="1">
        <v>1</v>
      </c>
    </row>
    <row r="14" spans="1:14" x14ac:dyDescent="0.15">
      <c r="A14" s="9"/>
      <c r="B14" s="9"/>
    </row>
    <row r="15" spans="1:14" x14ac:dyDescent="0.15">
      <c r="A15" s="9"/>
      <c r="B15" s="9" t="s">
        <v>96</v>
      </c>
      <c r="C15" s="1">
        <v>1</v>
      </c>
      <c r="E15" s="9" t="s">
        <v>97</v>
      </c>
      <c r="G15" s="20">
        <f>$C$13*$C$15</f>
        <v>1</v>
      </c>
      <c r="H15" s="25" t="s">
        <v>98</v>
      </c>
    </row>
    <row r="16" spans="1:14" x14ac:dyDescent="0.15">
      <c r="A16" s="9"/>
      <c r="B16" s="9" t="s">
        <v>99</v>
      </c>
      <c r="C16" s="1">
        <v>1.5</v>
      </c>
      <c r="E16" s="9" t="s">
        <v>100</v>
      </c>
      <c r="G16" s="20">
        <f>$C$13*$C$16</f>
        <v>1.5</v>
      </c>
      <c r="H16" s="25" t="s">
        <v>101</v>
      </c>
    </row>
    <row r="17" spans="1:14" x14ac:dyDescent="0.15">
      <c r="A17" s="9"/>
      <c r="B17" s="9" t="s">
        <v>102</v>
      </c>
      <c r="C17" s="1">
        <v>3.5</v>
      </c>
      <c r="E17" s="9" t="s">
        <v>103</v>
      </c>
      <c r="G17" s="20">
        <v>3.5</v>
      </c>
      <c r="H17" s="25" t="s">
        <v>104</v>
      </c>
    </row>
    <row r="18" spans="1:14" x14ac:dyDescent="0.15">
      <c r="A18" s="9"/>
      <c r="B18" s="9" t="s">
        <v>105</v>
      </c>
      <c r="C18" s="19">
        <v>5</v>
      </c>
      <c r="E18" s="9" t="s">
        <v>106</v>
      </c>
      <c r="G18" s="20">
        <v>5</v>
      </c>
      <c r="H18" s="25" t="s">
        <v>107</v>
      </c>
    </row>
    <row r="19" spans="1:14" x14ac:dyDescent="0.15">
      <c r="A19" s="9"/>
      <c r="B19" s="9"/>
      <c r="E19" s="9"/>
      <c r="G19" s="4"/>
      <c r="H19" s="25"/>
    </row>
    <row r="20" spans="1:14" x14ac:dyDescent="0.15">
      <c r="A20" s="9"/>
      <c r="B20" s="9" t="s">
        <v>108</v>
      </c>
      <c r="C20" s="19">
        <v>0.1</v>
      </c>
      <c r="D20" s="1" t="s">
        <v>109</v>
      </c>
      <c r="E20" s="9"/>
      <c r="G20" s="4"/>
      <c r="H20" s="25"/>
    </row>
    <row r="21" spans="1:14" x14ac:dyDescent="0.15">
      <c r="A21" s="9"/>
      <c r="B21" s="9" t="s">
        <v>110</v>
      </c>
      <c r="C21" s="19">
        <v>0.2</v>
      </c>
      <c r="D21" s="1" t="s">
        <v>111</v>
      </c>
      <c r="E21" s="9"/>
      <c r="G21" s="4"/>
      <c r="H21" s="25"/>
    </row>
    <row r="22" spans="1:14" x14ac:dyDescent="0.15">
      <c r="A22" s="9"/>
      <c r="B22" s="9"/>
      <c r="E22" s="9"/>
      <c r="G22" s="4"/>
      <c r="H22" s="25"/>
    </row>
    <row r="23" spans="1:14" x14ac:dyDescent="0.15">
      <c r="A23" s="9"/>
      <c r="B23" s="9" t="s">
        <v>112</v>
      </c>
      <c r="C23" s="26">
        <v>4</v>
      </c>
      <c r="D23" s="25"/>
      <c r="E23" s="9" t="s">
        <v>113</v>
      </c>
      <c r="G23" s="26">
        <v>4</v>
      </c>
      <c r="H23" s="25" t="s">
        <v>114</v>
      </c>
      <c r="I23" s="9" t="s">
        <v>115</v>
      </c>
      <c r="J23" s="20">
        <f>C23*G15+(G23*C20+C21)</f>
        <v>4.5999999999999996</v>
      </c>
      <c r="L23" s="1" t="s">
        <v>116</v>
      </c>
      <c r="M23" s="25"/>
      <c r="N23" s="25"/>
    </row>
    <row r="24" spans="1:14" x14ac:dyDescent="0.15">
      <c r="B24" s="9" t="s">
        <v>117</v>
      </c>
      <c r="C24" s="26">
        <v>6</v>
      </c>
      <c r="D24" s="25"/>
      <c r="E24" s="9" t="s">
        <v>118</v>
      </c>
      <c r="G24" s="26">
        <v>6</v>
      </c>
      <c r="H24" s="25" t="s">
        <v>114</v>
      </c>
      <c r="I24" s="27" t="s">
        <v>119</v>
      </c>
      <c r="J24" s="20">
        <f>C24*G16+(G24*C20+C21)</f>
        <v>9.8000000000000007</v>
      </c>
      <c r="L24" s="25"/>
    </row>
    <row r="25" spans="1:14" x14ac:dyDescent="0.15">
      <c r="E25" s="9"/>
    </row>
    <row r="26" spans="1:14" x14ac:dyDescent="0.15">
      <c r="B26" s="9" t="s">
        <v>120</v>
      </c>
      <c r="C26" s="1">
        <v>0.5</v>
      </c>
      <c r="E26" s="1" t="s">
        <v>121</v>
      </c>
      <c r="G26" s="20">
        <f>C26*C23+C27*C24</f>
        <v>5</v>
      </c>
      <c r="I26" s="9" t="s">
        <v>122</v>
      </c>
      <c r="J26" s="20">
        <f>J23*C26+J24*C27</f>
        <v>7.2</v>
      </c>
    </row>
    <row r="27" spans="1:14" x14ac:dyDescent="0.15">
      <c r="B27" s="9" t="s">
        <v>123</v>
      </c>
      <c r="C27" s="20">
        <f>1-C26</f>
        <v>0.5</v>
      </c>
      <c r="F27" s="9"/>
    </row>
    <row r="28" spans="1:14" x14ac:dyDescent="0.15">
      <c r="F28" s="9"/>
    </row>
    <row r="29" spans="1:14" x14ac:dyDescent="0.15">
      <c r="F29" s="9"/>
    </row>
    <row r="31" spans="1:14" x14ac:dyDescent="0.15">
      <c r="C31" s="9" t="s">
        <v>124</v>
      </c>
      <c r="D31" s="26"/>
      <c r="E31" s="1" t="s">
        <v>125</v>
      </c>
      <c r="F31" s="1" t="s">
        <v>126</v>
      </c>
      <c r="G31" s="28" t="s">
        <v>127</v>
      </c>
      <c r="H31" s="28" t="s">
        <v>128</v>
      </c>
    </row>
    <row r="32" spans="1:14" x14ac:dyDescent="0.15">
      <c r="C32" s="9"/>
      <c r="D32" s="9" t="s">
        <v>129</v>
      </c>
      <c r="E32" s="28">
        <v>1</v>
      </c>
      <c r="F32" s="29">
        <f>E32*$E$4</f>
        <v>1.5</v>
      </c>
      <c r="G32" s="29">
        <f>F32*60</f>
        <v>90</v>
      </c>
      <c r="H32" s="29">
        <f>G32/$C$13</f>
        <v>90</v>
      </c>
      <c r="I32" s="1" t="s">
        <v>130</v>
      </c>
    </row>
    <row r="33" spans="3:10" x14ac:dyDescent="0.15">
      <c r="C33" s="9"/>
      <c r="D33" s="9" t="s">
        <v>131</v>
      </c>
      <c r="E33" s="28">
        <v>4</v>
      </c>
      <c r="F33" s="29">
        <f>E33*$E$4</f>
        <v>6</v>
      </c>
      <c r="G33" s="29">
        <f t="shared" ref="G33:G37" si="0">F33*60</f>
        <v>360</v>
      </c>
      <c r="H33" s="29">
        <f>G33/$C$13</f>
        <v>360</v>
      </c>
    </row>
    <row r="34" spans="3:10" x14ac:dyDescent="0.15">
      <c r="C34" s="9"/>
      <c r="D34" s="9" t="s">
        <v>132</v>
      </c>
      <c r="E34" s="28">
        <v>24</v>
      </c>
      <c r="F34" s="29">
        <f t="shared" ref="F34:F36" si="1">E34*$E$4</f>
        <v>36</v>
      </c>
      <c r="G34" s="29">
        <f>F34*60</f>
        <v>2160</v>
      </c>
      <c r="H34" s="29">
        <f t="shared" ref="H34:H36" si="2">G34/$C$13</f>
        <v>2160</v>
      </c>
    </row>
    <row r="35" spans="3:10" x14ac:dyDescent="0.15">
      <c r="C35" s="9"/>
      <c r="D35" s="9" t="s">
        <v>133</v>
      </c>
      <c r="E35" s="28">
        <v>90</v>
      </c>
      <c r="F35" s="29">
        <f t="shared" si="1"/>
        <v>135</v>
      </c>
      <c r="G35" s="29">
        <f t="shared" si="0"/>
        <v>8100</v>
      </c>
      <c r="H35" s="29">
        <f t="shared" si="2"/>
        <v>8100</v>
      </c>
    </row>
    <row r="36" spans="3:10" ht="17.25" thickBot="1" x14ac:dyDescent="0.2">
      <c r="C36" s="9"/>
      <c r="D36" s="9" t="s">
        <v>134</v>
      </c>
      <c r="E36" s="30">
        <v>210</v>
      </c>
      <c r="F36" s="31">
        <f t="shared" si="1"/>
        <v>315</v>
      </c>
      <c r="G36" s="31">
        <f t="shared" si="0"/>
        <v>18900</v>
      </c>
      <c r="H36" s="31">
        <f t="shared" si="2"/>
        <v>18900</v>
      </c>
    </row>
    <row r="37" spans="3:10" x14ac:dyDescent="0.15">
      <c r="C37" s="9"/>
      <c r="D37" s="32" t="s">
        <v>135</v>
      </c>
      <c r="E37" s="20">
        <f>SUM(E32:E36)</f>
        <v>329</v>
      </c>
      <c r="F37" s="20">
        <f>E37*$E$4</f>
        <v>493.5</v>
      </c>
      <c r="G37" s="20">
        <f t="shared" si="0"/>
        <v>29610</v>
      </c>
      <c r="H37" s="24"/>
    </row>
    <row r="39" spans="3:10" x14ac:dyDescent="0.15">
      <c r="C39" s="9" t="s">
        <v>136</v>
      </c>
      <c r="D39" s="26"/>
      <c r="E39" s="1" t="s">
        <v>125</v>
      </c>
      <c r="F39" s="1" t="s">
        <v>126</v>
      </c>
      <c r="G39" s="28" t="s">
        <v>127</v>
      </c>
      <c r="H39" s="28" t="s">
        <v>137</v>
      </c>
      <c r="I39" s="28" t="s">
        <v>138</v>
      </c>
    </row>
    <row r="40" spans="3:10" x14ac:dyDescent="0.15">
      <c r="C40" s="9"/>
      <c r="D40" s="9" t="s">
        <v>129</v>
      </c>
      <c r="E40" s="29">
        <f>F40/($D$7*H40)</f>
        <v>1.6666666666666666E-2</v>
      </c>
      <c r="F40" s="29">
        <f t="shared" ref="F40:F44" si="3">G40/60</f>
        <v>0.15</v>
      </c>
      <c r="G40" s="29">
        <f>E32*$D$7*H40</f>
        <v>9</v>
      </c>
      <c r="H40" s="33">
        <v>0.3</v>
      </c>
      <c r="I40" s="29">
        <f>H40*$E$7</f>
        <v>0.15</v>
      </c>
    </row>
    <row r="41" spans="3:10" x14ac:dyDescent="0.15">
      <c r="C41" s="9"/>
      <c r="D41" s="9" t="s">
        <v>131</v>
      </c>
      <c r="E41" s="29">
        <f>F41/($D$7*H41)</f>
        <v>6.6666666666666666E-2</v>
      </c>
      <c r="F41" s="29">
        <f t="shared" si="3"/>
        <v>1</v>
      </c>
      <c r="G41" s="29">
        <f t="shared" ref="G41:G44" si="4">E33*$D$7*H41</f>
        <v>60</v>
      </c>
      <c r="H41" s="33">
        <v>0.5</v>
      </c>
      <c r="I41" s="29">
        <f t="shared" ref="I41:I44" si="5">H41*$E$7</f>
        <v>0.25</v>
      </c>
    </row>
    <row r="42" spans="3:10" x14ac:dyDescent="0.15">
      <c r="C42" s="9"/>
      <c r="D42" s="9" t="s">
        <v>132</v>
      </c>
      <c r="E42" s="29">
        <f>F42/($E$7*H42)</f>
        <v>24</v>
      </c>
      <c r="F42" s="29">
        <f t="shared" si="3"/>
        <v>9</v>
      </c>
      <c r="G42" s="29">
        <f t="shared" si="4"/>
        <v>540</v>
      </c>
      <c r="H42" s="33">
        <v>0.75</v>
      </c>
      <c r="I42" s="29">
        <f t="shared" si="5"/>
        <v>0.375</v>
      </c>
    </row>
    <row r="43" spans="3:10" x14ac:dyDescent="0.15">
      <c r="C43" s="9"/>
      <c r="D43" s="9" t="s">
        <v>133</v>
      </c>
      <c r="E43" s="29">
        <f t="shared" ref="E43:E44" si="6">F43/($E$7*H43)</f>
        <v>90</v>
      </c>
      <c r="F43" s="29">
        <f t="shared" si="3"/>
        <v>45</v>
      </c>
      <c r="G43" s="29">
        <f t="shared" si="4"/>
        <v>2700</v>
      </c>
      <c r="H43" s="33">
        <v>1</v>
      </c>
      <c r="I43" s="29">
        <f t="shared" si="5"/>
        <v>0.5</v>
      </c>
    </row>
    <row r="44" spans="3:10" ht="17.25" thickBot="1" x14ac:dyDescent="0.2">
      <c r="C44" s="9"/>
      <c r="D44" s="9" t="s">
        <v>134</v>
      </c>
      <c r="E44" s="31">
        <f t="shared" si="6"/>
        <v>210</v>
      </c>
      <c r="F44" s="31">
        <f t="shared" si="3"/>
        <v>105</v>
      </c>
      <c r="G44" s="31">
        <f t="shared" si="4"/>
        <v>6300</v>
      </c>
      <c r="H44" s="34">
        <v>1</v>
      </c>
      <c r="I44" s="29">
        <f t="shared" si="5"/>
        <v>0.5</v>
      </c>
    </row>
    <row r="45" spans="3:10" x14ac:dyDescent="0.15">
      <c r="C45" s="9"/>
      <c r="D45" s="9" t="s">
        <v>139</v>
      </c>
      <c r="E45" s="29">
        <f>SUM(E41:E44)</f>
        <v>324.06666666666666</v>
      </c>
      <c r="F45" s="29">
        <f t="shared" ref="F45:G45" si="7">SUM(F40:F44)</f>
        <v>160.15</v>
      </c>
      <c r="G45" s="29">
        <f t="shared" si="7"/>
        <v>9609</v>
      </c>
      <c r="I45" s="25" t="s">
        <v>140</v>
      </c>
      <c r="J45" s="24"/>
    </row>
    <row r="47" spans="3:10" x14ac:dyDescent="0.15">
      <c r="D47" s="9" t="s">
        <v>141</v>
      </c>
      <c r="E47" s="4">
        <f>2/3</f>
        <v>0.66666666666666663</v>
      </c>
      <c r="F47" s="4"/>
      <c r="G47" s="4"/>
      <c r="H47" s="4"/>
      <c r="I47" s="4"/>
      <c r="J47" s="24"/>
    </row>
    <row r="48" spans="3:10" x14ac:dyDescent="0.15">
      <c r="E48" s="1" t="s">
        <v>125</v>
      </c>
      <c r="F48" s="1" t="s">
        <v>126</v>
      </c>
      <c r="G48" s="28" t="s">
        <v>127</v>
      </c>
      <c r="H48" s="28" t="s">
        <v>128</v>
      </c>
      <c r="I48" s="4"/>
      <c r="J48" s="24"/>
    </row>
    <row r="49" spans="4:10" x14ac:dyDescent="0.15">
      <c r="D49" s="9" t="s">
        <v>129</v>
      </c>
      <c r="E49" s="29">
        <f>E32*$E$47</f>
        <v>0.66666666666666663</v>
      </c>
      <c r="F49" s="29">
        <f t="shared" ref="F49:G49" si="8">F32*$E$47</f>
        <v>1</v>
      </c>
      <c r="G49" s="29">
        <f t="shared" si="8"/>
        <v>60</v>
      </c>
      <c r="H49" s="29">
        <f>G49/$C$13</f>
        <v>60</v>
      </c>
      <c r="I49" s="4"/>
      <c r="J49" s="24"/>
    </row>
    <row r="50" spans="4:10" x14ac:dyDescent="0.15">
      <c r="D50" s="9" t="s">
        <v>131</v>
      </c>
      <c r="E50" s="29">
        <f t="shared" ref="E50:G53" si="9">E33*$E$47</f>
        <v>2.6666666666666665</v>
      </c>
      <c r="F50" s="29">
        <f t="shared" si="9"/>
        <v>4</v>
      </c>
      <c r="G50" s="29">
        <f t="shared" si="9"/>
        <v>240</v>
      </c>
      <c r="H50" s="29">
        <f t="shared" ref="H50:H53" si="10">G50/$C$13</f>
        <v>240</v>
      </c>
      <c r="I50" s="4"/>
      <c r="J50" s="24"/>
    </row>
    <row r="51" spans="4:10" x14ac:dyDescent="0.15">
      <c r="D51" s="9" t="s">
        <v>132</v>
      </c>
      <c r="E51" s="29">
        <f t="shared" si="9"/>
        <v>16</v>
      </c>
      <c r="F51" s="29">
        <f t="shared" si="9"/>
        <v>24</v>
      </c>
      <c r="G51" s="29">
        <f t="shared" si="9"/>
        <v>1440</v>
      </c>
      <c r="H51" s="29">
        <f t="shared" si="10"/>
        <v>1440</v>
      </c>
      <c r="I51" s="4"/>
      <c r="J51" s="24"/>
    </row>
    <row r="52" spans="4:10" x14ac:dyDescent="0.15">
      <c r="D52" s="9" t="s">
        <v>133</v>
      </c>
      <c r="E52" s="29">
        <f t="shared" si="9"/>
        <v>60</v>
      </c>
      <c r="F52" s="29">
        <f t="shared" si="9"/>
        <v>90</v>
      </c>
      <c r="G52" s="29">
        <f t="shared" si="9"/>
        <v>5400</v>
      </c>
      <c r="H52" s="29">
        <f t="shared" si="10"/>
        <v>5400</v>
      </c>
      <c r="I52" s="4"/>
      <c r="J52" s="24"/>
    </row>
    <row r="53" spans="4:10" ht="17.25" thickBot="1" x14ac:dyDescent="0.2">
      <c r="D53" s="9" t="s">
        <v>134</v>
      </c>
      <c r="E53" s="31">
        <f t="shared" si="9"/>
        <v>140</v>
      </c>
      <c r="F53" s="31">
        <f t="shared" si="9"/>
        <v>210</v>
      </c>
      <c r="G53" s="31">
        <f t="shared" si="9"/>
        <v>12600</v>
      </c>
      <c r="H53" s="31">
        <f t="shared" si="10"/>
        <v>12600</v>
      </c>
      <c r="I53" s="4"/>
      <c r="J53" s="24"/>
    </row>
    <row r="54" spans="4:10" x14ac:dyDescent="0.15">
      <c r="D54" s="9" t="s">
        <v>142</v>
      </c>
      <c r="E54" s="35">
        <f>E37*E47</f>
        <v>219.33333333333331</v>
      </c>
      <c r="F54" s="20">
        <f>E54*$E$4</f>
        <v>329</v>
      </c>
      <c r="G54" s="20">
        <f>E54*$D$4</f>
        <v>19740</v>
      </c>
      <c r="H54" s="4"/>
      <c r="I54" s="4"/>
      <c r="J54" s="24"/>
    </row>
    <row r="55" spans="4:10" x14ac:dyDescent="0.15">
      <c r="D55" s="9"/>
      <c r="E55" s="4"/>
      <c r="F55" s="4"/>
      <c r="G55" s="4"/>
      <c r="H55" s="4"/>
      <c r="I55" s="4"/>
      <c r="J55" s="24"/>
    </row>
    <row r="56" spans="4:10" x14ac:dyDescent="0.15">
      <c r="D56" s="9"/>
      <c r="E56" s="4"/>
      <c r="F56" s="4"/>
      <c r="G56" s="4"/>
      <c r="H56" s="4"/>
      <c r="I56" s="4"/>
      <c r="J56" s="24"/>
    </row>
    <row r="57" spans="4:10" x14ac:dyDescent="0.15">
      <c r="D57" s="9" t="s">
        <v>143</v>
      </c>
      <c r="E57" s="1">
        <f>(2/3)*(1/3)</f>
        <v>0.22222222222222221</v>
      </c>
      <c r="H57" s="4"/>
      <c r="I57" s="4"/>
      <c r="J57" s="24"/>
    </row>
    <row r="58" spans="4:10" x14ac:dyDescent="0.15">
      <c r="E58" s="1" t="s">
        <v>125</v>
      </c>
      <c r="F58" s="1" t="s">
        <v>126</v>
      </c>
      <c r="G58" s="28" t="s">
        <v>127</v>
      </c>
      <c r="H58" s="28" t="s">
        <v>128</v>
      </c>
      <c r="I58" s="4"/>
      <c r="J58" s="24"/>
    </row>
    <row r="59" spans="4:10" x14ac:dyDescent="0.15">
      <c r="D59" s="9" t="s">
        <v>129</v>
      </c>
      <c r="E59" s="29">
        <f>E32*$E$57</f>
        <v>0.22222222222222221</v>
      </c>
      <c r="F59" s="29">
        <f t="shared" ref="F59:G59" si="11">F32*$E$57</f>
        <v>0.33333333333333331</v>
      </c>
      <c r="G59" s="29">
        <f t="shared" si="11"/>
        <v>20</v>
      </c>
      <c r="H59" s="29">
        <f>G59/$C$13</f>
        <v>20</v>
      </c>
      <c r="I59" s="4"/>
      <c r="J59" s="24"/>
    </row>
    <row r="60" spans="4:10" x14ac:dyDescent="0.15">
      <c r="D60" s="9" t="s">
        <v>131</v>
      </c>
      <c r="E60" s="29">
        <f t="shared" ref="E60:G63" si="12">E33*$E$57</f>
        <v>0.88888888888888884</v>
      </c>
      <c r="F60" s="29">
        <f t="shared" si="12"/>
        <v>1.3333333333333333</v>
      </c>
      <c r="G60" s="29">
        <f t="shared" si="12"/>
        <v>80</v>
      </c>
      <c r="H60" s="29">
        <f t="shared" ref="H60:H63" si="13">G60/$C$13</f>
        <v>80</v>
      </c>
      <c r="I60" s="4"/>
      <c r="J60" s="24"/>
    </row>
    <row r="61" spans="4:10" x14ac:dyDescent="0.15">
      <c r="D61" s="9" t="s">
        <v>132</v>
      </c>
      <c r="E61" s="29">
        <f t="shared" si="12"/>
        <v>5.333333333333333</v>
      </c>
      <c r="F61" s="29">
        <f t="shared" si="12"/>
        <v>8</v>
      </c>
      <c r="G61" s="29">
        <f t="shared" si="12"/>
        <v>480</v>
      </c>
      <c r="H61" s="29">
        <f t="shared" si="13"/>
        <v>480</v>
      </c>
      <c r="I61" s="4"/>
      <c r="J61" s="24"/>
    </row>
    <row r="62" spans="4:10" x14ac:dyDescent="0.15">
      <c r="D62" s="9" t="s">
        <v>133</v>
      </c>
      <c r="E62" s="29">
        <f t="shared" si="12"/>
        <v>20</v>
      </c>
      <c r="F62" s="29">
        <f t="shared" si="12"/>
        <v>30</v>
      </c>
      <c r="G62" s="29">
        <f t="shared" si="12"/>
        <v>1800</v>
      </c>
      <c r="H62" s="29">
        <f t="shared" si="13"/>
        <v>1800</v>
      </c>
      <c r="I62" s="4"/>
      <c r="J62" s="24"/>
    </row>
    <row r="63" spans="4:10" ht="17.25" thickBot="1" x14ac:dyDescent="0.2">
      <c r="D63" s="9" t="s">
        <v>134</v>
      </c>
      <c r="E63" s="31">
        <f t="shared" si="12"/>
        <v>46.666666666666664</v>
      </c>
      <c r="F63" s="31">
        <f t="shared" si="12"/>
        <v>70</v>
      </c>
      <c r="G63" s="31">
        <f t="shared" si="12"/>
        <v>4200</v>
      </c>
      <c r="H63" s="31">
        <f t="shared" si="13"/>
        <v>4200</v>
      </c>
      <c r="I63" s="4"/>
      <c r="J63" s="24"/>
    </row>
    <row r="64" spans="4:10" x14ac:dyDescent="0.15">
      <c r="D64" s="9" t="s">
        <v>143</v>
      </c>
      <c r="E64" s="35">
        <f>E37*E57</f>
        <v>73.1111111111111</v>
      </c>
      <c r="F64" s="20">
        <f>E64*$E$4</f>
        <v>109.66666666666666</v>
      </c>
      <c r="G64" s="20">
        <f>E64*$D$4</f>
        <v>6579.9999999999991</v>
      </c>
      <c r="H64" s="4"/>
      <c r="I64" s="4"/>
      <c r="J64" s="24"/>
    </row>
    <row r="67" spans="3:14" ht="17.25" customHeight="1" x14ac:dyDescent="0.15">
      <c r="C67" s="9" t="s">
        <v>144</v>
      </c>
      <c r="D67" s="9"/>
      <c r="E67" s="4"/>
      <c r="F67" s="4"/>
      <c r="G67" s="4"/>
      <c r="H67" s="4"/>
      <c r="I67" s="4"/>
      <c r="J67" s="24"/>
    </row>
    <row r="68" spans="3:14" ht="17.25" customHeight="1" x14ac:dyDescent="0.15">
      <c r="C68" s="9"/>
      <c r="D68" s="9" t="s">
        <v>145</v>
      </c>
      <c r="E68" s="4"/>
      <c r="F68" s="4"/>
      <c r="G68" s="4"/>
      <c r="H68" s="4"/>
      <c r="I68" s="4"/>
      <c r="J68" s="24"/>
    </row>
    <row r="69" spans="3:14" ht="17.25" customHeight="1" x14ac:dyDescent="0.15">
      <c r="C69" s="9"/>
      <c r="D69" s="9"/>
      <c r="E69" s="1" t="s">
        <v>146</v>
      </c>
      <c r="F69" s="28" t="s">
        <v>147</v>
      </c>
      <c r="G69" s="28" t="s">
        <v>148</v>
      </c>
      <c r="H69" s="28" t="s">
        <v>149</v>
      </c>
      <c r="I69" s="28" t="s">
        <v>150</v>
      </c>
      <c r="J69" s="28" t="s">
        <v>151</v>
      </c>
      <c r="K69" s="28" t="s">
        <v>152</v>
      </c>
    </row>
    <row r="70" spans="3:14" ht="17.25" customHeight="1" x14ac:dyDescent="0.15">
      <c r="C70" s="9"/>
      <c r="D70" s="9" t="s">
        <v>129</v>
      </c>
      <c r="E70" s="1">
        <v>1</v>
      </c>
      <c r="F70" s="1">
        <v>0</v>
      </c>
      <c r="G70" s="20">
        <f>1-F70</f>
        <v>1</v>
      </c>
      <c r="H70" s="20">
        <f>$D$4*F70*E70</f>
        <v>0</v>
      </c>
      <c r="I70" s="20">
        <f>$D$4*G70*E70</f>
        <v>90</v>
      </c>
      <c r="J70" s="20">
        <f>ROUNDDOWN(H70/$G$16,0)</f>
        <v>0</v>
      </c>
      <c r="K70" s="20">
        <f>ROUNDUP(I70/$G$15,0)</f>
        <v>90</v>
      </c>
    </row>
    <row r="71" spans="3:14" ht="17.25" customHeight="1" x14ac:dyDescent="0.15">
      <c r="C71" s="9"/>
      <c r="D71" s="9" t="s">
        <v>131</v>
      </c>
      <c r="E71" s="1">
        <v>1</v>
      </c>
      <c r="F71" s="1">
        <v>0.1</v>
      </c>
      <c r="G71" s="20">
        <f>1-F71</f>
        <v>0.9</v>
      </c>
      <c r="H71" s="20">
        <f t="shared" ref="H71:H74" si="14">$D$4*F71*E71</f>
        <v>9</v>
      </c>
      <c r="I71" s="20">
        <f t="shared" ref="I71:I74" si="15">$D$4*G71*E71</f>
        <v>81</v>
      </c>
      <c r="J71" s="20">
        <f t="shared" ref="J71:J74" si="16">ROUNDDOWN(H71/$G$16,0)</f>
        <v>6</v>
      </c>
      <c r="K71" s="20">
        <f t="shared" ref="K71:K74" si="17">ROUNDUP(I71/$G$15,0)</f>
        <v>81</v>
      </c>
    </row>
    <row r="72" spans="3:14" ht="17.25" customHeight="1" x14ac:dyDescent="0.15">
      <c r="C72" s="9"/>
      <c r="D72" s="9" t="s">
        <v>132</v>
      </c>
      <c r="E72" s="1">
        <v>1.1000000000000001</v>
      </c>
      <c r="F72" s="1">
        <v>0.2</v>
      </c>
      <c r="G72" s="20">
        <f>1-F72</f>
        <v>0.8</v>
      </c>
      <c r="H72" s="20">
        <f t="shared" si="14"/>
        <v>19.8</v>
      </c>
      <c r="I72" s="20">
        <f t="shared" si="15"/>
        <v>79.2</v>
      </c>
      <c r="J72" s="20">
        <f t="shared" si="16"/>
        <v>13</v>
      </c>
      <c r="K72" s="20">
        <f t="shared" si="17"/>
        <v>80</v>
      </c>
    </row>
    <row r="73" spans="3:14" ht="17.25" customHeight="1" x14ac:dyDescent="0.15">
      <c r="C73" s="9"/>
      <c r="D73" s="9" t="s">
        <v>133</v>
      </c>
      <c r="E73" s="1">
        <v>1.2</v>
      </c>
      <c r="F73" s="1">
        <v>0.3</v>
      </c>
      <c r="G73" s="20">
        <f t="shared" ref="G73:G74" si="18">1-F73</f>
        <v>0.7</v>
      </c>
      <c r="H73" s="20">
        <f t="shared" si="14"/>
        <v>32.4</v>
      </c>
      <c r="I73" s="20">
        <f t="shared" si="15"/>
        <v>75.599999999999994</v>
      </c>
      <c r="J73" s="20">
        <f t="shared" si="16"/>
        <v>21</v>
      </c>
      <c r="K73" s="20">
        <f t="shared" si="17"/>
        <v>76</v>
      </c>
    </row>
    <row r="74" spans="3:14" ht="17.25" customHeight="1" x14ac:dyDescent="0.15">
      <c r="C74" s="9"/>
      <c r="D74" s="9" t="s">
        <v>134</v>
      </c>
      <c r="E74" s="1">
        <v>1.3</v>
      </c>
      <c r="F74" s="1">
        <v>0.4</v>
      </c>
      <c r="G74" s="20">
        <f t="shared" si="18"/>
        <v>0.6</v>
      </c>
      <c r="H74" s="20">
        <f t="shared" si="14"/>
        <v>46.800000000000004</v>
      </c>
      <c r="I74" s="20">
        <f t="shared" si="15"/>
        <v>70.2</v>
      </c>
      <c r="J74" s="20">
        <f t="shared" si="16"/>
        <v>31</v>
      </c>
      <c r="K74" s="20">
        <f t="shared" si="17"/>
        <v>71</v>
      </c>
    </row>
    <row r="75" spans="3:14" ht="17.25" customHeight="1" x14ac:dyDescent="0.15">
      <c r="C75" s="9"/>
      <c r="D75" s="9"/>
      <c r="E75" s="4"/>
      <c r="F75" s="4"/>
      <c r="G75" s="4"/>
      <c r="H75" s="4"/>
      <c r="I75" s="4"/>
      <c r="J75" s="24"/>
    </row>
    <row r="76" spans="3:14" ht="17.25" customHeight="1" x14ac:dyDescent="0.15">
      <c r="C76" s="9"/>
      <c r="E76" s="57" t="s">
        <v>153</v>
      </c>
      <c r="F76" s="57"/>
      <c r="G76" s="57"/>
      <c r="H76" s="57"/>
      <c r="J76" s="57" t="s">
        <v>154</v>
      </c>
      <c r="K76" s="57"/>
      <c r="L76" s="57"/>
    </row>
    <row r="77" spans="3:14" ht="17.25" customHeight="1" x14ac:dyDescent="0.15">
      <c r="C77" s="9"/>
      <c r="D77" s="28" t="s">
        <v>155</v>
      </c>
      <c r="E77" s="28" t="s">
        <v>156</v>
      </c>
      <c r="F77" s="28" t="s">
        <v>157</v>
      </c>
      <c r="G77" s="28" t="s">
        <v>158</v>
      </c>
      <c r="H77" s="28" t="s">
        <v>159</v>
      </c>
      <c r="I77" s="36" t="s">
        <v>160</v>
      </c>
      <c r="J77" s="28" t="s">
        <v>161</v>
      </c>
      <c r="K77" s="28" t="s">
        <v>162</v>
      </c>
      <c r="L77" s="28" t="s">
        <v>163</v>
      </c>
    </row>
    <row r="78" spans="3:14" ht="17.25" customHeight="1" x14ac:dyDescent="0.15">
      <c r="C78" s="9"/>
      <c r="D78" s="20">
        <f>E78*F78</f>
        <v>0</v>
      </c>
      <c r="E78" s="1">
        <v>0</v>
      </c>
      <c r="F78" s="1">
        <v>0</v>
      </c>
      <c r="G78" s="20">
        <f>H32/G26</f>
        <v>18</v>
      </c>
      <c r="H78" s="1">
        <v>0</v>
      </c>
      <c r="I78" s="37">
        <f>G78+E78*F78+H78</f>
        <v>18</v>
      </c>
      <c r="J78" s="38">
        <f>E78*F78/I78</f>
        <v>0</v>
      </c>
      <c r="K78" s="38">
        <f>G78/I78</f>
        <v>1</v>
      </c>
      <c r="L78" s="38">
        <f>H78/I78</f>
        <v>0</v>
      </c>
      <c r="N78" s="25"/>
    </row>
    <row r="79" spans="3:14" ht="17.25" customHeight="1" x14ac:dyDescent="0.15">
      <c r="C79" s="9"/>
      <c r="D79" s="20">
        <f t="shared" ref="D79:D82" si="19">E79*F79</f>
        <v>10</v>
      </c>
      <c r="E79" s="1">
        <v>2</v>
      </c>
      <c r="F79" s="1">
        <v>5</v>
      </c>
      <c r="G79" s="1">
        <v>10</v>
      </c>
      <c r="H79" s="1">
        <v>5</v>
      </c>
      <c r="I79" s="37">
        <f>G79+E79*F79+H79</f>
        <v>25</v>
      </c>
      <c r="J79" s="38">
        <f>E79*F79/I79</f>
        <v>0.4</v>
      </c>
      <c r="K79" s="38">
        <f>G79/I79</f>
        <v>0.4</v>
      </c>
      <c r="L79" s="38">
        <f>H79/I79</f>
        <v>0.2</v>
      </c>
    </row>
    <row r="80" spans="3:14" ht="17.25" customHeight="1" x14ac:dyDescent="0.15">
      <c r="C80" s="9"/>
      <c r="D80" s="20">
        <f t="shared" si="19"/>
        <v>20</v>
      </c>
      <c r="E80" s="1">
        <v>4</v>
      </c>
      <c r="F80" s="1">
        <v>5</v>
      </c>
      <c r="G80" s="1">
        <v>3.2</v>
      </c>
      <c r="H80" s="1">
        <v>7</v>
      </c>
      <c r="I80" s="37">
        <f>G80+E80*F80+H80</f>
        <v>30.2</v>
      </c>
      <c r="J80" s="38">
        <f>E80*F80/I80</f>
        <v>0.66225165562913912</v>
      </c>
      <c r="K80" s="38">
        <f>G80/I80</f>
        <v>0.10596026490066227</v>
      </c>
      <c r="L80" s="38">
        <f>H80/I80</f>
        <v>0.23178807947019869</v>
      </c>
    </row>
    <row r="81" spans="3:12" ht="17.25" customHeight="1" x14ac:dyDescent="0.15">
      <c r="C81" s="9"/>
      <c r="D81" s="20">
        <f t="shared" si="19"/>
        <v>30</v>
      </c>
      <c r="E81" s="1">
        <v>6</v>
      </c>
      <c r="F81" s="1">
        <v>5</v>
      </c>
      <c r="G81" s="1">
        <v>0.89</v>
      </c>
      <c r="H81" s="1">
        <v>9</v>
      </c>
      <c r="I81" s="37">
        <f>G81+E81*F81+H81</f>
        <v>39.89</v>
      </c>
      <c r="J81" s="38">
        <f>E81*F81/I81</f>
        <v>0.75206818751566806</v>
      </c>
      <c r="K81" s="38">
        <f>G81/I81</f>
        <v>2.2311356229631485E-2</v>
      </c>
      <c r="L81" s="38">
        <f>H81/I81</f>
        <v>0.22562045625470042</v>
      </c>
    </row>
    <row r="82" spans="3:12" ht="17.25" customHeight="1" x14ac:dyDescent="0.15">
      <c r="C82" s="9"/>
      <c r="D82" s="20">
        <f t="shared" si="19"/>
        <v>42</v>
      </c>
      <c r="E82" s="1">
        <v>7</v>
      </c>
      <c r="F82" s="1">
        <v>6</v>
      </c>
      <c r="G82" s="1">
        <v>0.32</v>
      </c>
      <c r="H82" s="1">
        <v>12</v>
      </c>
      <c r="I82" s="37">
        <f>G82+E82*F82+H82</f>
        <v>54.32</v>
      </c>
      <c r="J82" s="38">
        <f>E82*F82/I82</f>
        <v>0.77319587628865982</v>
      </c>
      <c r="K82" s="38">
        <f>G82/I82</f>
        <v>5.8910162002945507E-3</v>
      </c>
      <c r="L82" s="38">
        <f>H82/I82</f>
        <v>0.22091310751104565</v>
      </c>
    </row>
    <row r="83" spans="3:12" ht="17.25" customHeight="1" x14ac:dyDescent="0.15">
      <c r="C83" s="9"/>
      <c r="D83" s="25" t="s">
        <v>164</v>
      </c>
    </row>
    <row r="84" spans="3:12" ht="17.25" customHeight="1" x14ac:dyDescent="0.15">
      <c r="C84" s="9"/>
      <c r="D84" s="1" t="s">
        <v>165</v>
      </c>
    </row>
    <row r="86" spans="3:12" x14ac:dyDescent="0.15">
      <c r="D86" s="9" t="s">
        <v>166</v>
      </c>
      <c r="E86" s="26" t="s">
        <v>126</v>
      </c>
      <c r="F86" s="1" t="s">
        <v>127</v>
      </c>
      <c r="G86" s="1" t="s">
        <v>167</v>
      </c>
      <c r="H86" s="28" t="s">
        <v>168</v>
      </c>
      <c r="I86" s="28" t="s">
        <v>169</v>
      </c>
    </row>
    <row r="87" spans="3:12" x14ac:dyDescent="0.15">
      <c r="D87" s="9" t="s">
        <v>129</v>
      </c>
      <c r="E87" s="39">
        <f>($E$4*F70+$E$4*G70)*E70*E78*F78/I78</f>
        <v>0</v>
      </c>
      <c r="F87" s="39">
        <f>E87*60</f>
        <v>0</v>
      </c>
      <c r="G87" s="40">
        <f>ROUNDUP(F87/$C$13,0)</f>
        <v>0</v>
      </c>
      <c r="H87" s="41">
        <f>F87/$J$26</f>
        <v>0</v>
      </c>
      <c r="I87" s="42" t="s">
        <v>170</v>
      </c>
    </row>
    <row r="88" spans="3:12" x14ac:dyDescent="0.15">
      <c r="D88" s="9" t="s">
        <v>171</v>
      </c>
      <c r="E88" s="39">
        <f t="shared" ref="E88:E91" si="20">($E$4*F71+$E$4*G71)*E71*E79*F79/I79</f>
        <v>0.6</v>
      </c>
      <c r="F88" s="39">
        <f t="shared" ref="F88:F91" si="21">E88*60</f>
        <v>36</v>
      </c>
      <c r="G88" s="40">
        <f>ROUNDUP(F88/$C$13,0)</f>
        <v>36</v>
      </c>
      <c r="H88" s="41">
        <f>F88/$J$26</f>
        <v>5</v>
      </c>
      <c r="I88" s="40">
        <f>G88-G87</f>
        <v>36</v>
      </c>
      <c r="L88" s="24"/>
    </row>
    <row r="89" spans="3:12" x14ac:dyDescent="0.15">
      <c r="D89" s="9" t="s">
        <v>172</v>
      </c>
      <c r="E89" s="39">
        <f t="shared" si="20"/>
        <v>1.0927152317880797</v>
      </c>
      <c r="F89" s="39">
        <f t="shared" si="21"/>
        <v>65.562913907284781</v>
      </c>
      <c r="G89" s="40">
        <f>ROUNDUP(F89/$C$13,0)</f>
        <v>66</v>
      </c>
      <c r="H89" s="41">
        <f>F89/$J$26</f>
        <v>9.1059602649006646</v>
      </c>
      <c r="I89" s="40">
        <f>G89-G88</f>
        <v>30</v>
      </c>
    </row>
    <row r="90" spans="3:12" x14ac:dyDescent="0.15">
      <c r="D90" s="9" t="s">
        <v>173</v>
      </c>
      <c r="E90" s="39">
        <f t="shared" si="20"/>
        <v>1.3537227375282022</v>
      </c>
      <c r="F90" s="39">
        <f t="shared" si="21"/>
        <v>81.223364251692132</v>
      </c>
      <c r="G90" s="40">
        <f>ROUNDUP(F90/$C$13,0)</f>
        <v>82</v>
      </c>
      <c r="H90" s="41">
        <f>F90/$J$26</f>
        <v>11.281022812735019</v>
      </c>
      <c r="I90" s="40">
        <f>G90-G89</f>
        <v>16</v>
      </c>
    </row>
    <row r="91" spans="3:12" x14ac:dyDescent="0.15">
      <c r="D91" s="9" t="s">
        <v>174</v>
      </c>
      <c r="E91" s="39">
        <f t="shared" si="20"/>
        <v>1.5077319587628868</v>
      </c>
      <c r="F91" s="39">
        <f t="shared" si="21"/>
        <v>90.463917525773212</v>
      </c>
      <c r="G91" s="40">
        <f>ROUNDUP(F91/$C$13,0)</f>
        <v>91</v>
      </c>
      <c r="H91" s="41">
        <f>F91/$J$26</f>
        <v>12.564432989690724</v>
      </c>
      <c r="I91" s="40">
        <f>G91-G90</f>
        <v>9</v>
      </c>
    </row>
    <row r="92" spans="3:12" x14ac:dyDescent="0.15">
      <c r="D92" s="9"/>
      <c r="E92" s="43"/>
      <c r="F92" s="43"/>
      <c r="G92" s="44"/>
      <c r="H92" s="44"/>
    </row>
    <row r="93" spans="3:12" x14ac:dyDescent="0.15">
      <c r="D93" s="9" t="s">
        <v>175</v>
      </c>
      <c r="E93" s="26" t="s">
        <v>126</v>
      </c>
      <c r="F93" s="1" t="s">
        <v>127</v>
      </c>
      <c r="G93" s="1" t="s">
        <v>167</v>
      </c>
      <c r="H93" s="28" t="s">
        <v>168</v>
      </c>
    </row>
    <row r="94" spans="3:12" x14ac:dyDescent="0.15">
      <c r="D94" s="9" t="s">
        <v>129</v>
      </c>
      <c r="E94" s="39">
        <f>($E$4*F70+$E$4*G70)*E70*H78/I78</f>
        <v>0</v>
      </c>
      <c r="F94" s="39">
        <f>E94*60</f>
        <v>0</v>
      </c>
      <c r="G94" s="40">
        <f>ROUNDUP(F94/$C$13,0)</f>
        <v>0</v>
      </c>
      <c r="H94" s="41">
        <f>F94/$J$26</f>
        <v>0</v>
      </c>
    </row>
    <row r="95" spans="3:12" x14ac:dyDescent="0.15">
      <c r="D95" s="9" t="s">
        <v>171</v>
      </c>
      <c r="E95" s="39">
        <f t="shared" ref="E95:E98" si="22">($E$4*F71+$E$4*G71)*E71*H79/I79</f>
        <v>0.3</v>
      </c>
      <c r="F95" s="39">
        <f t="shared" ref="F95:F98" si="23">E95*60</f>
        <v>18</v>
      </c>
      <c r="G95" s="40">
        <f>ROUNDUP(F95/$C$13,0)</f>
        <v>18</v>
      </c>
      <c r="H95" s="41">
        <f>F95/$J$26</f>
        <v>2.5</v>
      </c>
    </row>
    <row r="96" spans="3:12" x14ac:dyDescent="0.15">
      <c r="D96" s="9" t="s">
        <v>172</v>
      </c>
      <c r="E96" s="39">
        <f t="shared" si="22"/>
        <v>0.38245033112582788</v>
      </c>
      <c r="F96" s="39">
        <f t="shared" si="23"/>
        <v>22.947019867549674</v>
      </c>
      <c r="G96" s="40">
        <f>ROUNDUP(F96/$C$13,0)</f>
        <v>23</v>
      </c>
      <c r="H96" s="41">
        <f>F96/$J$26</f>
        <v>3.1870860927152322</v>
      </c>
    </row>
    <row r="97" spans="4:14" x14ac:dyDescent="0.15">
      <c r="D97" s="9" t="s">
        <v>173</v>
      </c>
      <c r="E97" s="39">
        <f t="shared" si="22"/>
        <v>0.40611682125846066</v>
      </c>
      <c r="F97" s="39">
        <f t="shared" si="23"/>
        <v>24.367009275507641</v>
      </c>
      <c r="G97" s="40">
        <f>ROUNDUP(F97/$C$13,0)</f>
        <v>25</v>
      </c>
      <c r="H97" s="41">
        <f>F97/$J$26</f>
        <v>3.3843068438205055</v>
      </c>
    </row>
    <row r="98" spans="4:14" x14ac:dyDescent="0.15">
      <c r="D98" s="9" t="s">
        <v>174</v>
      </c>
      <c r="E98" s="39">
        <f t="shared" si="22"/>
        <v>0.43078055964653905</v>
      </c>
      <c r="F98" s="39">
        <f t="shared" si="23"/>
        <v>25.846833578792342</v>
      </c>
      <c r="G98" s="40">
        <f>ROUNDUP(F98/$C$13,0)</f>
        <v>26</v>
      </c>
      <c r="H98" s="41">
        <f>F98/$J$26</f>
        <v>3.589837997054492</v>
      </c>
    </row>
    <row r="99" spans="4:14" x14ac:dyDescent="0.15">
      <c r="J99" s="9"/>
    </row>
    <row r="100" spans="4:14" x14ac:dyDescent="0.15">
      <c r="E100" s="58" t="s">
        <v>176</v>
      </c>
      <c r="F100" s="58"/>
      <c r="G100" s="58"/>
      <c r="I100" s="64" t="s">
        <v>177</v>
      </c>
      <c r="J100" s="64"/>
      <c r="K100" s="64"/>
      <c r="L100" s="64"/>
      <c r="M100" s="45"/>
    </row>
    <row r="101" spans="4:14" x14ac:dyDescent="0.15">
      <c r="D101" s="9" t="s">
        <v>178</v>
      </c>
      <c r="E101" s="26" t="s">
        <v>126</v>
      </c>
      <c r="F101" s="1" t="s">
        <v>127</v>
      </c>
      <c r="G101" s="1" t="s">
        <v>167</v>
      </c>
      <c r="I101" s="26" t="s">
        <v>126</v>
      </c>
      <c r="J101" s="1" t="s">
        <v>127</v>
      </c>
      <c r="K101" s="1" t="s">
        <v>179</v>
      </c>
      <c r="L101" s="28" t="s">
        <v>180</v>
      </c>
      <c r="M101" s="28"/>
    </row>
    <row r="102" spans="4:14" x14ac:dyDescent="0.15">
      <c r="D102" s="9" t="s">
        <v>129</v>
      </c>
      <c r="E102" s="39">
        <f>($E$4*F70+$E$4*G70)*E70*G78/I78</f>
        <v>1.5</v>
      </c>
      <c r="F102" s="39">
        <f>E102*60</f>
        <v>90</v>
      </c>
      <c r="G102" s="39">
        <f>F102/$C$13</f>
        <v>90</v>
      </c>
      <c r="I102" s="29">
        <f>($E$4*F70+$E$4*G70)*E70*E32*G78/I78</f>
        <v>1.5</v>
      </c>
      <c r="J102" s="29">
        <f>I102*60</f>
        <v>90</v>
      </c>
      <c r="K102" s="29">
        <f>J102/$C$13</f>
        <v>90</v>
      </c>
      <c r="L102" s="46">
        <f>J102/$J$26</f>
        <v>12.5</v>
      </c>
      <c r="M102" s="47"/>
    </row>
    <row r="103" spans="4:14" x14ac:dyDescent="0.15">
      <c r="D103" s="9" t="s">
        <v>171</v>
      </c>
      <c r="E103" s="39">
        <f t="shared" ref="E103:E106" si="24">($E$4*F71+$E$4*G71)*E71*G79/I79</f>
        <v>0.6</v>
      </c>
      <c r="F103" s="39">
        <f t="shared" ref="F103:F106" si="25">E103*60</f>
        <v>36</v>
      </c>
      <c r="G103" s="39">
        <f>F103/$C$13</f>
        <v>36</v>
      </c>
      <c r="I103" s="29">
        <f t="shared" ref="I103:I106" si="26">($E$4*F71+$E$4*G71)*E71*E33*G79/I79</f>
        <v>2.4</v>
      </c>
      <c r="J103" s="29">
        <f t="shared" ref="J103:J106" si="27">I103*60</f>
        <v>144</v>
      </c>
      <c r="K103" s="29">
        <f t="shared" ref="K103:K106" si="28">J103/$C$13</f>
        <v>144</v>
      </c>
      <c r="L103" s="46">
        <f>J103/$J$26</f>
        <v>20</v>
      </c>
    </row>
    <row r="104" spans="4:14" x14ac:dyDescent="0.15">
      <c r="D104" s="9" t="s">
        <v>172</v>
      </c>
      <c r="E104" s="39">
        <f t="shared" si="24"/>
        <v>0.17483443708609275</v>
      </c>
      <c r="F104" s="39">
        <f t="shared" si="25"/>
        <v>10.490066225165565</v>
      </c>
      <c r="G104" s="39">
        <f>F104/$C$13</f>
        <v>10.490066225165565</v>
      </c>
      <c r="I104" s="29">
        <f t="shared" si="26"/>
        <v>4.1960264900662265</v>
      </c>
      <c r="J104" s="29">
        <f>I104*60</f>
        <v>251.7615894039736</v>
      </c>
      <c r="K104" s="29">
        <f t="shared" si="28"/>
        <v>251.7615894039736</v>
      </c>
      <c r="L104" s="46">
        <f>J104/$J$26</f>
        <v>34.966887417218558</v>
      </c>
    </row>
    <row r="105" spans="4:14" x14ac:dyDescent="0.15">
      <c r="D105" s="9" t="s">
        <v>173</v>
      </c>
      <c r="E105" s="39">
        <f t="shared" si="24"/>
        <v>4.0160441213336666E-2</v>
      </c>
      <c r="F105" s="39">
        <f t="shared" si="25"/>
        <v>2.4096264728002001</v>
      </c>
      <c r="G105" s="39">
        <f>F105/$C$13</f>
        <v>2.4096264728002001</v>
      </c>
      <c r="I105" s="29">
        <f t="shared" si="26"/>
        <v>3.6144397092003002</v>
      </c>
      <c r="J105" s="29">
        <f t="shared" si="27"/>
        <v>216.86638255201802</v>
      </c>
      <c r="K105" s="29">
        <f t="shared" si="28"/>
        <v>216.86638255201802</v>
      </c>
      <c r="L105" s="46">
        <f>J105/$J$26</f>
        <v>30.120330910002501</v>
      </c>
    </row>
    <row r="106" spans="4:14" x14ac:dyDescent="0.15">
      <c r="D106" s="9" t="s">
        <v>174</v>
      </c>
      <c r="E106" s="39">
        <f t="shared" si="24"/>
        <v>1.1487481590574377E-2</v>
      </c>
      <c r="F106" s="39">
        <f t="shared" si="25"/>
        <v>0.68924889543446255</v>
      </c>
      <c r="G106" s="39">
        <f>F106/$C$13</f>
        <v>0.68924889543446255</v>
      </c>
      <c r="H106" s="28"/>
      <c r="I106" s="29">
        <f t="shared" si="26"/>
        <v>2.4123711340206189</v>
      </c>
      <c r="J106" s="29">
        <f t="shared" si="27"/>
        <v>144.74226804123714</v>
      </c>
      <c r="K106" s="29">
        <f t="shared" si="28"/>
        <v>144.74226804123714</v>
      </c>
      <c r="L106" s="46">
        <f>J106/$J$26</f>
        <v>20.103092783505158</v>
      </c>
      <c r="N106" s="4"/>
    </row>
    <row r="107" spans="4:14" x14ac:dyDescent="0.15">
      <c r="D107" s="26"/>
      <c r="F107" s="1" t="s">
        <v>181</v>
      </c>
      <c r="I107" s="28"/>
    </row>
    <row r="108" spans="4:14" x14ac:dyDescent="0.15">
      <c r="D108" s="15" t="s">
        <v>182</v>
      </c>
      <c r="E108" s="29"/>
      <c r="F108" s="29">
        <f>SUM(L102:L106)</f>
        <v>117.69031111072621</v>
      </c>
      <c r="I108" s="24"/>
    </row>
    <row r="109" spans="4:14" x14ac:dyDescent="0.15">
      <c r="D109" s="15" t="s">
        <v>183</v>
      </c>
      <c r="E109" s="28"/>
      <c r="F109" s="29">
        <v>2.5</v>
      </c>
      <c r="G109" s="25" t="s">
        <v>184</v>
      </c>
    </row>
    <row r="110" spans="4:14" x14ac:dyDescent="0.15">
      <c r="D110" s="15"/>
      <c r="E110" s="28"/>
      <c r="F110" s="28"/>
      <c r="G110" s="24" t="s">
        <v>185</v>
      </c>
    </row>
    <row r="111" spans="4:14" x14ac:dyDescent="0.15">
      <c r="D111" s="32"/>
      <c r="E111" s="61" t="s">
        <v>186</v>
      </c>
      <c r="F111" s="61"/>
      <c r="G111" s="61"/>
      <c r="H111" s="61"/>
    </row>
    <row r="112" spans="4:14" x14ac:dyDescent="0.15">
      <c r="D112" s="32"/>
      <c r="E112" s="1" t="s">
        <v>181</v>
      </c>
    </row>
    <row r="113" spans="1:9" x14ac:dyDescent="0.15">
      <c r="D113" s="9" t="s">
        <v>129</v>
      </c>
      <c r="E113" s="29">
        <f>SUM($L102:L$102)/$F$109</f>
        <v>5</v>
      </c>
      <c r="G113" s="28"/>
      <c r="H113" s="28"/>
    </row>
    <row r="114" spans="1:9" x14ac:dyDescent="0.15">
      <c r="D114" s="9" t="s">
        <v>187</v>
      </c>
      <c r="E114" s="29">
        <f>SUM($L$102:L103)/$F$109</f>
        <v>13</v>
      </c>
      <c r="G114" s="28"/>
      <c r="H114" s="28"/>
    </row>
    <row r="115" spans="1:9" x14ac:dyDescent="0.15">
      <c r="D115" s="9" t="s">
        <v>188</v>
      </c>
      <c r="E115" s="29">
        <f>SUM($L$102:L104)/$F$109</f>
        <v>26.986754966887425</v>
      </c>
      <c r="G115" s="15"/>
      <c r="H115" s="45"/>
    </row>
    <row r="116" spans="1:9" x14ac:dyDescent="0.15">
      <c r="D116" s="9" t="s">
        <v>189</v>
      </c>
      <c r="E116" s="29">
        <f>SUM($L$102:L105)/$F$109</f>
        <v>39.034887330888424</v>
      </c>
      <c r="G116" s="28"/>
      <c r="H116" s="28"/>
    </row>
    <row r="117" spans="1:9" x14ac:dyDescent="0.15">
      <c r="D117" s="9" t="s">
        <v>190</v>
      </c>
      <c r="E117" s="29">
        <f>SUM($L$102:L106)/$F$109</f>
        <v>47.076124444290485</v>
      </c>
      <c r="G117" s="28"/>
      <c r="H117" s="28"/>
    </row>
    <row r="119" spans="1:9" x14ac:dyDescent="0.15">
      <c r="C119" s="9" t="s">
        <v>191</v>
      </c>
    </row>
    <row r="120" spans="1:9" x14ac:dyDescent="0.15">
      <c r="D120" s="1" t="s">
        <v>192</v>
      </c>
      <c r="E120" s="1" t="s">
        <v>193</v>
      </c>
      <c r="F120" s="1" t="s">
        <v>194</v>
      </c>
      <c r="G120" s="1" t="s">
        <v>195</v>
      </c>
      <c r="H120" s="1" t="s">
        <v>196</v>
      </c>
      <c r="I120" s="1" t="s">
        <v>197</v>
      </c>
    </row>
    <row r="121" spans="1:9" x14ac:dyDescent="0.15">
      <c r="D121" s="1">
        <v>10</v>
      </c>
      <c r="E121" s="1">
        <v>60</v>
      </c>
      <c r="F121" s="1">
        <v>30</v>
      </c>
      <c r="G121" s="1">
        <f>D121/SUM(D121:F121)</f>
        <v>0.1</v>
      </c>
      <c r="H121" s="1">
        <f>E121/SUM(D121:F121)</f>
        <v>0.6</v>
      </c>
      <c r="I121" s="1">
        <f>F121/SUM(D121:F121)</f>
        <v>0.3</v>
      </c>
    </row>
    <row r="123" spans="1:9" x14ac:dyDescent="0.15">
      <c r="C123" s="9" t="s">
        <v>198</v>
      </c>
      <c r="D123" s="1">
        <f>G121*$J$26</f>
        <v>0.72000000000000008</v>
      </c>
      <c r="E123" s="1">
        <f t="shared" ref="E123:F123" si="29">H121*$J$26</f>
        <v>4.32</v>
      </c>
      <c r="F123" s="1">
        <f t="shared" si="29"/>
        <v>2.16</v>
      </c>
    </row>
    <row r="124" spans="1:9" x14ac:dyDescent="0.15">
      <c r="E124" s="1">
        <f>E123/G26</f>
        <v>0.8640000000000001</v>
      </c>
    </row>
    <row r="125" spans="1:9" x14ac:dyDescent="0.15">
      <c r="D125" s="1">
        <f>D123*60</f>
        <v>43.2</v>
      </c>
      <c r="E125" s="1">
        <f t="shared" ref="E125:F126" si="30">E123*60</f>
        <v>259.20000000000005</v>
      </c>
      <c r="F125" s="1">
        <f t="shared" si="30"/>
        <v>129.60000000000002</v>
      </c>
    </row>
    <row r="126" spans="1:9" x14ac:dyDescent="0.15">
      <c r="E126" s="1">
        <f t="shared" si="30"/>
        <v>51.84</v>
      </c>
    </row>
    <row r="128" spans="1:9" x14ac:dyDescent="0.15">
      <c r="A128" s="9" t="s">
        <v>199</v>
      </c>
      <c r="B128" s="48"/>
      <c r="C128" s="9" t="s">
        <v>200</v>
      </c>
    </row>
    <row r="129" spans="1:16" s="28" customFormat="1" x14ac:dyDescent="0.15">
      <c r="A129" s="15"/>
      <c r="B129" s="15"/>
      <c r="D129" s="9" t="s">
        <v>201</v>
      </c>
      <c r="E129" s="1"/>
      <c r="F129" s="1"/>
      <c r="G129" s="1"/>
      <c r="H129" s="1"/>
      <c r="I129" s="1"/>
      <c r="J129" s="1"/>
      <c r="K129" s="1"/>
      <c r="L129" s="1"/>
      <c r="M129" s="1"/>
      <c r="N129" s="1"/>
      <c r="O129" s="1"/>
      <c r="P129" s="1"/>
    </row>
    <row r="130" spans="1:16" s="28" customFormat="1" x14ac:dyDescent="0.15">
      <c r="C130" s="15"/>
      <c r="D130" s="1"/>
      <c r="E130" s="9"/>
      <c r="F130" s="62" t="s">
        <v>202</v>
      </c>
      <c r="G130" s="62"/>
      <c r="H130" s="62" t="s">
        <v>203</v>
      </c>
      <c r="I130" s="62"/>
      <c r="J130" s="1"/>
      <c r="K130" s="25" t="s">
        <v>204</v>
      </c>
      <c r="L130" s="1"/>
      <c r="M130" s="1"/>
      <c r="N130" s="1"/>
      <c r="O130" s="1" t="s">
        <v>205</v>
      </c>
      <c r="P130" s="1"/>
    </row>
    <row r="131" spans="1:16" s="28" customFormat="1" x14ac:dyDescent="0.15">
      <c r="B131" s="15"/>
      <c r="C131" s="15"/>
      <c r="D131" s="9"/>
      <c r="E131" s="9" t="s">
        <v>206</v>
      </c>
      <c r="F131" s="63">
        <v>100</v>
      </c>
      <c r="G131" s="63"/>
      <c r="H131" s="63">
        <v>50</v>
      </c>
      <c r="I131" s="63"/>
      <c r="J131" s="1"/>
      <c r="K131" s="19" t="s">
        <v>207</v>
      </c>
      <c r="L131" s="19"/>
      <c r="M131" s="19"/>
      <c r="N131" s="1"/>
      <c r="O131" s="1" t="s">
        <v>208</v>
      </c>
      <c r="P131" s="1"/>
    </row>
    <row r="132" spans="1:16" s="28" customFormat="1" x14ac:dyDescent="0.15">
      <c r="C132" s="15"/>
      <c r="D132" s="1"/>
      <c r="E132" s="9"/>
      <c r="F132" s="1" t="s">
        <v>209</v>
      </c>
      <c r="G132" s="56" t="s">
        <v>210</v>
      </c>
      <c r="H132" s="1" t="s">
        <v>209</v>
      </c>
      <c r="I132" s="1" t="s">
        <v>210</v>
      </c>
      <c r="J132" s="1"/>
      <c r="K132" s="49" t="s">
        <v>211</v>
      </c>
      <c r="L132" s="1"/>
      <c r="M132" s="1"/>
      <c r="N132" s="1"/>
      <c r="O132" s="1"/>
      <c r="P132" s="1"/>
    </row>
    <row r="133" spans="1:16" s="28" customFormat="1" x14ac:dyDescent="0.15">
      <c r="C133" s="15"/>
      <c r="D133" s="1"/>
      <c r="E133" s="9" t="s">
        <v>212</v>
      </c>
      <c r="F133" s="50">
        <v>60</v>
      </c>
      <c r="G133" s="51">
        <v>40</v>
      </c>
      <c r="H133" s="50">
        <v>100</v>
      </c>
      <c r="I133" s="50">
        <v>0</v>
      </c>
      <c r="J133" s="1"/>
      <c r="K133" s="1"/>
      <c r="L133" s="1"/>
      <c r="M133" s="1"/>
      <c r="N133" s="1"/>
      <c r="O133" s="1"/>
      <c r="P133" s="1"/>
    </row>
    <row r="134" spans="1:16" s="28" customFormat="1" x14ac:dyDescent="0.15">
      <c r="C134" s="15"/>
      <c r="D134" s="1"/>
      <c r="E134" s="9" t="s">
        <v>213</v>
      </c>
      <c r="F134" s="52">
        <f>(F131/SUM($F$131:$I$131))*(F133/SUM($F$133:$G$133))</f>
        <v>0.39999999999999997</v>
      </c>
      <c r="G134" s="52">
        <f>(F131/SUM($F$131:$I$131))*(G133/SUM($F$133:$G$133))</f>
        <v>0.26666666666666666</v>
      </c>
      <c r="H134" s="52">
        <f>(H131/SUM($F$131:$I$131))*(H133/SUM($H$133:$I$133))</f>
        <v>0.33333333333333331</v>
      </c>
      <c r="I134" s="52">
        <f>(H131/SUM($F$131:$I$131))*(I133/SUM($H$133:$I$133))</f>
        <v>0</v>
      </c>
      <c r="J134" s="1"/>
      <c r="K134" s="25" t="s">
        <v>214</v>
      </c>
      <c r="L134" s="1"/>
      <c r="M134" s="1"/>
      <c r="N134" s="1"/>
      <c r="O134" s="1"/>
      <c r="P134" s="1"/>
    </row>
    <row r="135" spans="1:16" s="28" customFormat="1" x14ac:dyDescent="0.15">
      <c r="C135" s="15"/>
      <c r="D135" s="1"/>
      <c r="E135" s="9"/>
      <c r="F135" s="53"/>
      <c r="G135" s="53"/>
      <c r="H135" s="53"/>
      <c r="I135" s="53"/>
      <c r="J135" s="1"/>
      <c r="K135" s="25"/>
      <c r="L135" s="1"/>
      <c r="M135" s="1"/>
      <c r="N135" s="1"/>
      <c r="O135" s="1"/>
      <c r="P135" s="1"/>
    </row>
    <row r="136" spans="1:16" s="28" customFormat="1" x14ac:dyDescent="0.15">
      <c r="C136" s="15"/>
      <c r="D136" s="1"/>
      <c r="E136" s="9" t="s">
        <v>215</v>
      </c>
      <c r="F136" s="38">
        <f>(F134+H134)/SUM(F134:I134)</f>
        <v>0.73333333333333328</v>
      </c>
      <c r="G136" s="9" t="s">
        <v>216</v>
      </c>
      <c r="H136" s="38">
        <f>1-F136</f>
        <v>0.26666666666666672</v>
      </c>
      <c r="I136" s="1"/>
      <c r="J136" s="1"/>
      <c r="K136" s="25"/>
      <c r="L136" s="1"/>
      <c r="M136" s="1"/>
      <c r="N136" s="1"/>
      <c r="O136" s="1"/>
      <c r="P136" s="1"/>
    </row>
    <row r="137" spans="1:16" s="28" customFormat="1" x14ac:dyDescent="0.15">
      <c r="C137" s="15"/>
      <c r="D137" s="53"/>
      <c r="E137" s="15"/>
      <c r="F137" s="53"/>
      <c r="I137" s="49"/>
    </row>
    <row r="138" spans="1:16" s="28" customFormat="1" x14ac:dyDescent="0.15">
      <c r="B138" s="15"/>
      <c r="D138" s="9" t="s">
        <v>217</v>
      </c>
    </row>
    <row r="139" spans="1:16" s="28" customFormat="1" x14ac:dyDescent="0.15">
      <c r="B139" s="15"/>
    </row>
    <row r="140" spans="1:16" s="28" customFormat="1" x14ac:dyDescent="0.15">
      <c r="B140" s="15"/>
      <c r="C140" s="15"/>
      <c r="E140" s="9" t="s">
        <v>171</v>
      </c>
      <c r="F140" s="5"/>
      <c r="G140" s="5"/>
      <c r="H140" s="5"/>
      <c r="I140" s="5"/>
    </row>
    <row r="141" spans="1:16" s="28" customFormat="1" x14ac:dyDescent="0.15">
      <c r="B141" s="15"/>
      <c r="D141" s="54"/>
      <c r="E141" s="54"/>
      <c r="F141" s="61" t="s">
        <v>218</v>
      </c>
      <c r="G141" s="61"/>
      <c r="H141" s="61" t="s">
        <v>219</v>
      </c>
      <c r="I141" s="61"/>
      <c r="J141" s="61" t="s">
        <v>220</v>
      </c>
      <c r="K141" s="61"/>
      <c r="L141" s="61" t="s">
        <v>221</v>
      </c>
      <c r="M141" s="61"/>
      <c r="N141" s="61" t="s">
        <v>222</v>
      </c>
      <c r="O141" s="61"/>
    </row>
    <row r="142" spans="1:16" s="28" customFormat="1" x14ac:dyDescent="0.15">
      <c r="B142" s="15"/>
      <c r="C142" s="15"/>
      <c r="D142" s="5"/>
      <c r="E142" s="9" t="s">
        <v>206</v>
      </c>
      <c r="F142" s="60">
        <v>2</v>
      </c>
      <c r="G142" s="60"/>
      <c r="H142" s="60">
        <v>2</v>
      </c>
      <c r="I142" s="60"/>
      <c r="J142" s="60">
        <v>0</v>
      </c>
      <c r="K142" s="60"/>
      <c r="L142" s="60">
        <v>3</v>
      </c>
      <c r="M142" s="60"/>
      <c r="N142" s="60">
        <v>10</v>
      </c>
      <c r="O142" s="60"/>
    </row>
    <row r="143" spans="1:16" s="28" customFormat="1" x14ac:dyDescent="0.15">
      <c r="B143" s="15"/>
      <c r="C143" s="15"/>
      <c r="E143" s="9" t="s">
        <v>223</v>
      </c>
      <c r="F143" s="33" t="s">
        <v>209</v>
      </c>
      <c r="G143" s="56" t="s">
        <v>210</v>
      </c>
      <c r="H143" s="1" t="s">
        <v>209</v>
      </c>
      <c r="I143" s="56" t="s">
        <v>210</v>
      </c>
      <c r="J143" s="1" t="s">
        <v>209</v>
      </c>
      <c r="K143" s="56" t="s">
        <v>210</v>
      </c>
      <c r="L143" s="1" t="s">
        <v>209</v>
      </c>
      <c r="M143" s="56" t="s">
        <v>210</v>
      </c>
      <c r="N143" s="1" t="s">
        <v>209</v>
      </c>
      <c r="O143" s="56" t="s">
        <v>210</v>
      </c>
    </row>
    <row r="144" spans="1:16" s="28" customFormat="1" x14ac:dyDescent="0.15">
      <c r="B144" s="15"/>
      <c r="C144" s="15"/>
      <c r="E144" s="9" t="s">
        <v>224</v>
      </c>
      <c r="F144" s="50">
        <v>100</v>
      </c>
      <c r="G144" s="51">
        <v>0</v>
      </c>
      <c r="H144" s="26">
        <v>100</v>
      </c>
      <c r="I144" s="51">
        <v>0</v>
      </c>
      <c r="J144" s="26">
        <v>100</v>
      </c>
      <c r="K144" s="51">
        <v>0</v>
      </c>
      <c r="L144" s="26">
        <v>0</v>
      </c>
      <c r="M144" s="51">
        <v>100</v>
      </c>
      <c r="N144" s="26">
        <v>100</v>
      </c>
      <c r="O144" s="51">
        <v>0</v>
      </c>
    </row>
    <row r="145" spans="2:15" s="28" customFormat="1" x14ac:dyDescent="0.15">
      <c r="B145" s="15"/>
      <c r="C145" s="15"/>
      <c r="E145" s="9" t="s">
        <v>213</v>
      </c>
      <c r="F145" s="52">
        <f>F142/SUM($F$142:$O$142)*F144/SUM(F144:G144)</f>
        <v>0.1176470588235294</v>
      </c>
      <c r="G145" s="52">
        <f>G142/SUM($F$142:$O$142)*G144/SUM(F144:G144)</f>
        <v>0</v>
      </c>
      <c r="H145" s="52">
        <f>H142/SUM($F$142:$O$142)*H144/SUM(H144:I144)</f>
        <v>0.1176470588235294</v>
      </c>
      <c r="I145" s="52">
        <f>H142/SUM($F$142:$O$142)*I144/SUM(H144:I144)</f>
        <v>0</v>
      </c>
      <c r="J145" s="52">
        <f>J142/SUM($F$142:$O$142)*J144/SUM(J144:K144)</f>
        <v>0</v>
      </c>
      <c r="K145" s="52">
        <f>J142/SUM($F$142:$O$142)*K144/SUM(J144:K144)</f>
        <v>0</v>
      </c>
      <c r="L145" s="52">
        <f>L142/SUM($F$142:$O$142)*L144/SUM(L144:M144)</f>
        <v>0</v>
      </c>
      <c r="M145" s="52">
        <f>L142/SUM($F$142:$O$142)*M144/SUM(L144:M144)</f>
        <v>0.17647058823529413</v>
      </c>
      <c r="N145" s="52">
        <f>N142/SUM($F$142:$O$142)*N144/SUM(N144:O144)</f>
        <v>0.58823529411764708</v>
      </c>
      <c r="O145" s="52">
        <f>N142/SUM($F$142:$O$142)*O144/SUM(N144:O144)</f>
        <v>0</v>
      </c>
    </row>
    <row r="146" spans="2:15" s="28" customFormat="1" x14ac:dyDescent="0.15">
      <c r="B146" s="15"/>
      <c r="C146" s="15"/>
      <c r="D146" s="24"/>
      <c r="E146" s="9"/>
      <c r="F146" s="24"/>
      <c r="G146" s="24"/>
      <c r="H146" s="24"/>
      <c r="J146" s="24"/>
    </row>
    <row r="147" spans="2:15" s="28" customFormat="1" x14ac:dyDescent="0.15">
      <c r="B147" s="15"/>
      <c r="C147" s="15"/>
      <c r="D147" s="53"/>
      <c r="E147" s="9" t="s">
        <v>215</v>
      </c>
      <c r="F147" s="52">
        <f>(F145+H145+J145+L145+N145)/SUM(F145:O145)</f>
        <v>0.82352941176470584</v>
      </c>
      <c r="G147" s="9" t="s">
        <v>216</v>
      </c>
      <c r="H147" s="52">
        <f>(G145+I145+K145+M145+O145)/SUM(F145:O145)</f>
        <v>0.17647058823529413</v>
      </c>
      <c r="I147" s="53"/>
      <c r="J147" s="53"/>
      <c r="K147" s="53"/>
      <c r="M147" s="49"/>
    </row>
    <row r="148" spans="2:15" s="28" customFormat="1" x14ac:dyDescent="0.15">
      <c r="B148" s="15"/>
      <c r="C148" s="15"/>
      <c r="D148" s="53"/>
      <c r="E148" s="9"/>
      <c r="F148" s="53"/>
      <c r="G148" s="53"/>
      <c r="H148" s="53"/>
      <c r="I148" s="53"/>
      <c r="J148" s="53"/>
      <c r="K148" s="53"/>
      <c r="M148" s="49"/>
    </row>
    <row r="149" spans="2:15" s="28" customFormat="1" x14ac:dyDescent="0.15">
      <c r="B149" s="15"/>
      <c r="C149" s="15"/>
      <c r="D149" s="53"/>
      <c r="E149" s="9"/>
      <c r="F149" s="53"/>
      <c r="G149" s="53"/>
      <c r="H149" s="53"/>
      <c r="I149" s="53"/>
      <c r="J149" s="53"/>
      <c r="K149" s="53"/>
      <c r="M149" s="49"/>
    </row>
    <row r="150" spans="2:15" s="28" customFormat="1" x14ac:dyDescent="0.15">
      <c r="B150" s="15"/>
      <c r="C150" s="15"/>
      <c r="D150" s="53"/>
      <c r="E150" s="9" t="s">
        <v>172</v>
      </c>
      <c r="F150" s="53"/>
      <c r="G150" s="53"/>
      <c r="H150" s="53"/>
      <c r="I150" s="53"/>
      <c r="J150" s="53"/>
      <c r="K150" s="53"/>
    </row>
    <row r="151" spans="2:15" s="28" customFormat="1" x14ac:dyDescent="0.15">
      <c r="B151" s="15"/>
      <c r="C151" s="15"/>
      <c r="D151" s="53"/>
      <c r="E151" s="15"/>
      <c r="F151" s="59" t="s">
        <v>225</v>
      </c>
      <c r="G151" s="59"/>
      <c r="H151" s="59" t="s">
        <v>226</v>
      </c>
      <c r="I151" s="59"/>
      <c r="J151" s="59" t="s">
        <v>227</v>
      </c>
      <c r="K151" s="59"/>
    </row>
    <row r="152" spans="2:15" s="28" customFormat="1" x14ac:dyDescent="0.15">
      <c r="B152" s="15"/>
      <c r="C152" s="15"/>
      <c r="E152" s="9" t="s">
        <v>206</v>
      </c>
      <c r="F152" s="60">
        <v>5</v>
      </c>
      <c r="G152" s="60"/>
      <c r="H152" s="60">
        <v>2</v>
      </c>
      <c r="I152" s="60"/>
      <c r="J152" s="60">
        <v>2</v>
      </c>
      <c r="K152" s="60"/>
    </row>
    <row r="153" spans="2:15" s="28" customFormat="1" x14ac:dyDescent="0.15">
      <c r="B153" s="15"/>
      <c r="C153" s="15"/>
      <c r="E153" s="9" t="s">
        <v>223</v>
      </c>
      <c r="F153" s="33" t="s">
        <v>209</v>
      </c>
      <c r="G153" s="56" t="s">
        <v>210</v>
      </c>
      <c r="H153" s="1" t="s">
        <v>209</v>
      </c>
      <c r="I153" s="56" t="s">
        <v>210</v>
      </c>
      <c r="J153" s="1" t="s">
        <v>209</v>
      </c>
      <c r="K153" s="56" t="s">
        <v>210</v>
      </c>
    </row>
    <row r="154" spans="2:15" s="28" customFormat="1" x14ac:dyDescent="0.15">
      <c r="B154" s="15"/>
      <c r="C154" s="15"/>
      <c r="E154" s="9" t="s">
        <v>224</v>
      </c>
      <c r="F154" s="55">
        <v>0</v>
      </c>
      <c r="G154" s="55">
        <v>100</v>
      </c>
      <c r="H154" s="55">
        <v>100</v>
      </c>
      <c r="I154" s="55">
        <v>0</v>
      </c>
      <c r="J154" s="55">
        <v>100</v>
      </c>
      <c r="K154" s="55">
        <v>0</v>
      </c>
    </row>
    <row r="155" spans="2:15" x14ac:dyDescent="0.15">
      <c r="B155" s="9"/>
      <c r="C155" s="9"/>
      <c r="E155" s="9" t="s">
        <v>213</v>
      </c>
      <c r="F155" s="38">
        <f>F152/SUM($F$152:$K$152)*F154/SUM(F154:G154)</f>
        <v>0</v>
      </c>
      <c r="G155" s="38">
        <f>F152/SUM($F$152:$K$152)*G154/SUM(F154:G154)</f>
        <v>0.55555555555555558</v>
      </c>
      <c r="H155" s="38">
        <f>H152/SUM($F$152:$K$152)*H154/SUM(H154:I154)</f>
        <v>0.22222222222222221</v>
      </c>
      <c r="I155" s="38">
        <f>H152/SUM($F$152:$K$152)*I154/SUM(H154:I154)</f>
        <v>0</v>
      </c>
      <c r="J155" s="38">
        <f>J152/SUM($F$152:$K$152)*J154/SUM(J154:K154)</f>
        <v>0.22222222222222221</v>
      </c>
      <c r="K155" s="38">
        <f>J152/SUM($F$152:$K$152)*K154/SUM(J154:K154)</f>
        <v>0</v>
      </c>
    </row>
    <row r="156" spans="2:15" x14ac:dyDescent="0.15">
      <c r="B156" s="9"/>
      <c r="C156" s="9"/>
      <c r="E156" s="9"/>
    </row>
    <row r="157" spans="2:15" x14ac:dyDescent="0.15">
      <c r="B157" s="9"/>
      <c r="C157" s="9"/>
      <c r="E157" s="9" t="s">
        <v>215</v>
      </c>
      <c r="F157" s="38">
        <f>(F155+H155+J155)/SUM(F155:K155)</f>
        <v>0.44444444444444442</v>
      </c>
      <c r="G157" s="9" t="s">
        <v>216</v>
      </c>
      <c r="H157" s="52">
        <f>(G155+I155+K155+M155+O155)/SUM(F155:O155)</f>
        <v>0.55555555555555558</v>
      </c>
    </row>
    <row r="158" spans="2:15" x14ac:dyDescent="0.15">
      <c r="B158" s="9"/>
      <c r="C158" s="9"/>
      <c r="E158" s="9"/>
    </row>
    <row r="159" spans="2:15" x14ac:dyDescent="0.15">
      <c r="E159" s="9" t="s">
        <v>173</v>
      </c>
    </row>
    <row r="160" spans="2:15" x14ac:dyDescent="0.15">
      <c r="F160" s="58" t="s">
        <v>228</v>
      </c>
      <c r="G160" s="58"/>
      <c r="H160" s="58" t="s">
        <v>229</v>
      </c>
      <c r="I160" s="58"/>
    </row>
    <row r="161" spans="6:9" x14ac:dyDescent="0.15">
      <c r="F161" s="57">
        <v>1</v>
      </c>
      <c r="G161" s="57"/>
      <c r="H161" s="57"/>
      <c r="I161" s="57"/>
    </row>
  </sheetData>
  <mergeCells count="30">
    <mergeCell ref="E76:H76"/>
    <mergeCell ref="J76:L76"/>
    <mergeCell ref="E100:G100"/>
    <mergeCell ref="I100:L100"/>
    <mergeCell ref="E111:F111"/>
    <mergeCell ref="G111:H111"/>
    <mergeCell ref="F130:G130"/>
    <mergeCell ref="H130:I130"/>
    <mergeCell ref="F131:G131"/>
    <mergeCell ref="H131:I131"/>
    <mergeCell ref="F141:G141"/>
    <mergeCell ref="H141:I141"/>
    <mergeCell ref="L141:M141"/>
    <mergeCell ref="N141:O141"/>
    <mergeCell ref="F142:G142"/>
    <mergeCell ref="H142:I142"/>
    <mergeCell ref="J142:K142"/>
    <mergeCell ref="L142:M142"/>
    <mergeCell ref="N142:O142"/>
    <mergeCell ref="J151:K151"/>
    <mergeCell ref="F152:G152"/>
    <mergeCell ref="H152:I152"/>
    <mergeCell ref="J152:K152"/>
    <mergeCell ref="J141:K141"/>
    <mergeCell ref="F160:G160"/>
    <mergeCell ref="H160:I160"/>
    <mergeCell ref="F161:G161"/>
    <mergeCell ref="H161:I161"/>
    <mergeCell ref="F151:G151"/>
    <mergeCell ref="H151:I151"/>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数值规划</vt:lpstr>
      <vt:lpstr>自用</vt:lpstr>
      <vt:lpstr>自用2</vt:lpstr>
      <vt:lpstr>自用3</vt:lpstr>
      <vt:lpstr>自用4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2015-04-02T08:19:06Z</dcterms:created>
  <dcterms:modified xsi:type="dcterms:W3CDTF">2015-04-08T02:26:36Z</dcterms:modified>
</cp:coreProperties>
</file>