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16845" windowHeight="8370"/>
  </bookViews>
  <sheets>
    <sheet name="总体" sheetId="1" r:id="rId1"/>
    <sheet name="曼陀罗" sheetId="6" r:id="rId2"/>
    <sheet name="哈皮" sheetId="18" r:id="rId3"/>
    <sheet name="河童" sheetId="19" r:id="rId4"/>
    <sheet name="蛙鬼" sheetId="17" r:id="rId5"/>
    <sheet name="花魄" sheetId="8" r:id="rId6"/>
    <sheet name="阿穆特" sheetId="15" r:id="rId7"/>
    <sheet name="蜥蜴人" sheetId="2" r:id="rId8"/>
    <sheet name="潘神" sheetId="4" r:id="rId9"/>
    <sheet name="狼人" sheetId="11" r:id="rId10"/>
    <sheet name="络新妇" sheetId="5" r:id="rId11"/>
    <sheet name="安普莎" sheetId="16" r:id="rId12"/>
    <sheet name="凯瑞斯" sheetId="12" r:id="rId13"/>
    <sheet name="Momo" sheetId="13" r:id="rId14"/>
    <sheet name="龙宫童子" sheetId="14" r:id="rId15"/>
    <sheet name="Melody bulb" sheetId="20" r:id="rId16"/>
    <sheet name="技能系数" sheetId="3" r:id="rId17"/>
    <sheet name="AI" sheetId="7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0" l="1"/>
  <c r="I19" i="20"/>
  <c r="I20" i="20"/>
  <c r="I9" i="20"/>
  <c r="I10" i="20"/>
  <c r="I23" i="20" s="1"/>
  <c r="N14" i="20"/>
  <c r="J31" i="12"/>
  <c r="J30" i="12"/>
  <c r="J29" i="12"/>
  <c r="J28" i="12"/>
  <c r="J27" i="12"/>
  <c r="I12" i="14"/>
  <c r="I21" i="15"/>
  <c r="J20" i="18"/>
  <c r="J11" i="6"/>
  <c r="J11" i="18"/>
  <c r="J10" i="6"/>
  <c r="J22" i="6" s="1"/>
  <c r="J10" i="18"/>
  <c r="J22" i="18" s="1"/>
  <c r="J9" i="18"/>
  <c r="J9" i="6"/>
  <c r="K9" i="6" s="1"/>
  <c r="J18" i="6" s="1"/>
  <c r="J21" i="16"/>
  <c r="I41" i="1"/>
  <c r="O14" i="6"/>
  <c r="K9" i="18"/>
  <c r="N35" i="4"/>
  <c r="O14" i="18"/>
  <c r="J11" i="19"/>
  <c r="J22" i="19" s="1"/>
  <c r="J9" i="19"/>
  <c r="O14" i="19"/>
  <c r="J10" i="19"/>
  <c r="J25" i="19" s="1"/>
  <c r="J10" i="16"/>
  <c r="J21" i="12"/>
  <c r="J22" i="12" s="1"/>
  <c r="J11" i="16"/>
  <c r="J22" i="16" s="1"/>
  <c r="J9" i="16"/>
  <c r="O14" i="16"/>
  <c r="M17" i="17"/>
  <c r="O13" i="17"/>
  <c r="M13" i="17"/>
  <c r="L13" i="17"/>
  <c r="J9" i="17" s="1"/>
  <c r="I9" i="15"/>
  <c r="J9" i="15" s="1"/>
  <c r="J17" i="15" s="1"/>
  <c r="N13" i="15"/>
  <c r="I23" i="14"/>
  <c r="I24" i="14" s="1"/>
  <c r="L19" i="14"/>
  <c r="I11" i="14"/>
  <c r="I9" i="14"/>
  <c r="N15" i="14"/>
  <c r="I10" i="14"/>
  <c r="I26" i="14" s="1"/>
  <c r="I11" i="13"/>
  <c r="I10" i="13"/>
  <c r="I22" i="13" s="1"/>
  <c r="J11" i="12"/>
  <c r="J10" i="12"/>
  <c r="J25" i="12" s="1"/>
  <c r="J9" i="12"/>
  <c r="K9" i="12" s="1"/>
  <c r="N10" i="5"/>
  <c r="N11" i="5"/>
  <c r="I9" i="13"/>
  <c r="N14" i="13"/>
  <c r="J18" i="12"/>
  <c r="N18" i="12" s="1"/>
  <c r="O14" i="12"/>
  <c r="N9" i="5"/>
  <c r="O9" i="5" s="1"/>
  <c r="Q20" i="5"/>
  <c r="N18" i="5"/>
  <c r="Q18" i="5" s="1"/>
  <c r="S14" i="5"/>
  <c r="J17" i="11"/>
  <c r="M17" i="11" s="1"/>
  <c r="J9" i="11"/>
  <c r="K9" i="11" s="1"/>
  <c r="L9" i="11" s="1"/>
  <c r="J22" i="11" s="1"/>
  <c r="O13" i="11"/>
  <c r="J10" i="11"/>
  <c r="J29" i="11" s="1"/>
  <c r="N9" i="4"/>
  <c r="S13" i="4"/>
  <c r="N10" i="4"/>
  <c r="N21" i="4" s="1"/>
  <c r="J9" i="8"/>
  <c r="K13" i="8"/>
  <c r="L13" i="8"/>
  <c r="M13" i="8"/>
  <c r="J10" i="8" s="1"/>
  <c r="J21" i="8" s="1"/>
  <c r="J13" i="8"/>
  <c r="O13" i="8"/>
  <c r="S13" i="2"/>
  <c r="N23" i="2" s="1"/>
  <c r="O13" i="2"/>
  <c r="P13" i="2"/>
  <c r="Q13" i="2"/>
  <c r="N13" i="2"/>
  <c r="E13" i="5"/>
  <c r="C16" i="5" s="1"/>
  <c r="C9" i="5"/>
  <c r="C21" i="2"/>
  <c r="C15" i="2"/>
  <c r="C9" i="4"/>
  <c r="J40" i="2"/>
  <c r="D32" i="4"/>
  <c r="I40" i="2"/>
  <c r="N20" i="2"/>
  <c r="C10" i="2"/>
  <c r="C6" i="2"/>
  <c r="K9" i="20" l="1"/>
  <c r="I25" i="14"/>
  <c r="L9" i="6"/>
  <c r="J21" i="6" s="1"/>
  <c r="J23" i="11"/>
  <c r="P9" i="5"/>
  <c r="K9" i="19"/>
  <c r="K18" i="19" s="1"/>
  <c r="J25" i="16"/>
  <c r="K9" i="16"/>
  <c r="K20" i="16" s="1"/>
  <c r="J7" i="11"/>
  <c r="K9" i="17"/>
  <c r="K19" i="17" s="1"/>
  <c r="J10" i="17"/>
  <c r="J27" i="11"/>
  <c r="J28" i="11"/>
  <c r="I10" i="15"/>
  <c r="N10" i="2"/>
  <c r="N27" i="2" s="1"/>
  <c r="J9" i="14"/>
  <c r="K9" i="14" s="1"/>
  <c r="J9" i="13"/>
  <c r="J18" i="13" s="1"/>
  <c r="K20" i="12"/>
  <c r="O22" i="5"/>
  <c r="J21" i="11"/>
  <c r="K19" i="11"/>
  <c r="N9" i="2"/>
  <c r="O9" i="2" s="1"/>
  <c r="O17" i="2" s="1"/>
  <c r="O23" i="2"/>
  <c r="O9" i="4"/>
  <c r="O17" i="4" s="1"/>
  <c r="K9" i="8"/>
  <c r="K17" i="8" s="1"/>
  <c r="C28" i="5"/>
  <c r="C15" i="4"/>
  <c r="C27" i="4" s="1"/>
  <c r="C33" i="2"/>
  <c r="D10" i="2"/>
  <c r="I7" i="20" l="1"/>
  <c r="I22" i="20"/>
  <c r="I21" i="20"/>
  <c r="J7" i="6"/>
  <c r="J20" i="6"/>
  <c r="I28" i="15"/>
  <c r="L9" i="18"/>
  <c r="L9" i="19"/>
  <c r="L9" i="16"/>
  <c r="J22" i="17"/>
  <c r="L9" i="17"/>
  <c r="J7" i="17" s="1"/>
  <c r="K9" i="15"/>
  <c r="J21" i="14"/>
  <c r="I7" i="14"/>
  <c r="K9" i="13"/>
  <c r="L9" i="12"/>
  <c r="P9" i="4"/>
  <c r="L9" i="8"/>
  <c r="P9" i="2"/>
  <c r="N7" i="4" l="1"/>
  <c r="N33" i="4"/>
  <c r="N34" i="4"/>
  <c r="I7" i="15"/>
  <c r="I19" i="15"/>
  <c r="I20" i="15"/>
  <c r="J21" i="18"/>
  <c r="I21" i="13"/>
  <c r="I20" i="13"/>
  <c r="J7" i="18"/>
  <c r="J23" i="19"/>
  <c r="J24" i="19"/>
  <c r="J24" i="16"/>
  <c r="J23" i="16"/>
  <c r="J7" i="19"/>
  <c r="J7" i="16"/>
  <c r="J21" i="17"/>
  <c r="J20" i="17"/>
  <c r="N20" i="4"/>
  <c r="N19" i="4"/>
  <c r="I27" i="15"/>
  <c r="I26" i="15"/>
  <c r="N24" i="5"/>
  <c r="N25" i="5"/>
  <c r="J24" i="12"/>
  <c r="J23" i="12"/>
  <c r="I7" i="13"/>
  <c r="J7" i="12"/>
  <c r="J20" i="8"/>
  <c r="J19" i="8"/>
  <c r="N26" i="2"/>
  <c r="N25" i="2"/>
  <c r="J7" i="8"/>
  <c r="N7" i="2"/>
  <c r="N7" i="5"/>
  <c r="N26" i="5"/>
</calcChain>
</file>

<file path=xl/sharedStrings.xml><?xml version="1.0" encoding="utf-8"?>
<sst xmlns="http://schemas.openxmlformats.org/spreadsheetml/2006/main" count="1035" uniqueCount="239">
  <si>
    <t>3-1副本</t>
  </si>
  <si>
    <t>HP</t>
    <phoneticPr fontId="2" type="noConversion"/>
  </si>
  <si>
    <t>defender</t>
    <phoneticPr fontId="2" type="noConversion"/>
  </si>
  <si>
    <t>Phy Attack</t>
    <phoneticPr fontId="2" type="noConversion"/>
  </si>
  <si>
    <t>phy speed</t>
    <phoneticPr fontId="2" type="noConversion"/>
  </si>
  <si>
    <t>Magic Attack</t>
    <phoneticPr fontId="2" type="noConversion"/>
  </si>
  <si>
    <t>Magic speed</t>
    <phoneticPr fontId="2" type="noConversion"/>
  </si>
  <si>
    <t>蜥蜴人</t>
  </si>
  <si>
    <t>花魄</t>
  </si>
  <si>
    <t>潘神</t>
  </si>
  <si>
    <t>曼陀罗</t>
  </si>
  <si>
    <t>healer</t>
    <phoneticPr fontId="2" type="noConversion"/>
  </si>
  <si>
    <t>提升supporter</t>
    <phoneticPr fontId="2" type="noConversion"/>
  </si>
  <si>
    <t>阿穆特</t>
  </si>
  <si>
    <t>蛙鬼</t>
  </si>
  <si>
    <t>河童</t>
  </si>
  <si>
    <t>龙宫童子</t>
  </si>
  <si>
    <t>狼人</t>
  </si>
  <si>
    <t>狼人</t>
    <phoneticPr fontId="2" type="noConversion"/>
  </si>
  <si>
    <t>安普莎</t>
  </si>
  <si>
    <t>安普莎</t>
    <phoneticPr fontId="2" type="noConversion"/>
  </si>
  <si>
    <t>凯瑞斯</t>
  </si>
  <si>
    <t>络新妇</t>
  </si>
  <si>
    <t>Momo</t>
  </si>
  <si>
    <t>哈皮</t>
  </si>
  <si>
    <t>木</t>
  </si>
  <si>
    <t>木</t>
    <phoneticPr fontId="2" type="noConversion"/>
  </si>
  <si>
    <t>木</t>
    <phoneticPr fontId="2" type="noConversion"/>
  </si>
  <si>
    <t>水</t>
  </si>
  <si>
    <t>暗</t>
  </si>
  <si>
    <t>光</t>
  </si>
  <si>
    <t>第三章</t>
    <phoneticPr fontId="2" type="noConversion"/>
  </si>
  <si>
    <t>T</t>
  </si>
  <si>
    <t>月光森林 - 1</t>
  </si>
  <si>
    <t>Melody Bulb</t>
  </si>
  <si>
    <t>3-2副本</t>
  </si>
  <si>
    <t>月光森林 - 2</t>
  </si>
  <si>
    <t>3-4副本</t>
  </si>
  <si>
    <t>月光森林 - 4</t>
  </si>
  <si>
    <t>3-7副本</t>
  </si>
  <si>
    <t>月光森林 - 7</t>
  </si>
  <si>
    <t>3-8副本</t>
  </si>
  <si>
    <t>月光森林 - 8</t>
  </si>
  <si>
    <t>美杜莎</t>
  </si>
  <si>
    <t>空</t>
    <phoneticPr fontId="2" type="noConversion"/>
  </si>
  <si>
    <t>设计目的</t>
    <phoneticPr fontId="2" type="noConversion"/>
  </si>
  <si>
    <t>1.玩家宠物</t>
  </si>
  <si>
    <t>2.副本宠物等级，副本宠物的基础属性,副本宠物技能系数</t>
  </si>
  <si>
    <t>宠物倾向</t>
  </si>
  <si>
    <t>出现宠物</t>
  </si>
  <si>
    <t>不体现玩家宠物属性克制敌方宠物或者被地方宠物克制（光暗互相克制，不需考虑）</t>
  </si>
  <si>
    <t>玩家上场宠物</t>
  </si>
  <si>
    <t>定义玩家宠物等级</t>
    <phoneticPr fontId="2" type="noConversion"/>
  </si>
  <si>
    <t>敌方宠物等级</t>
    <phoneticPr fontId="2" type="noConversion"/>
  </si>
  <si>
    <t>H分配</t>
  </si>
  <si>
    <t>A分配</t>
  </si>
  <si>
    <t>战力</t>
  </si>
  <si>
    <t>D</t>
  </si>
  <si>
    <t>S</t>
  </si>
  <si>
    <t>定义倾向</t>
    <phoneticPr fontId="2" type="noConversion"/>
  </si>
  <si>
    <t>血量T</t>
  </si>
  <si>
    <t>防御T</t>
  </si>
  <si>
    <t>攻击D</t>
  </si>
  <si>
    <t>攻速D</t>
  </si>
  <si>
    <t>均衡S</t>
  </si>
  <si>
    <t>等级</t>
  </si>
  <si>
    <t>生命</t>
  </si>
  <si>
    <t>智力/力量</t>
  </si>
  <si>
    <t>防御力</t>
  </si>
  <si>
    <t>速度</t>
  </si>
  <si>
    <t>受伤比</t>
  </si>
  <si>
    <t>则定义了玩家宠物的基础属性</t>
    <phoneticPr fontId="2" type="noConversion"/>
  </si>
  <si>
    <t>妨害supporter</t>
    <phoneticPr fontId="2" type="noConversion"/>
  </si>
  <si>
    <t>提升supporter</t>
    <phoneticPr fontId="2" type="noConversion"/>
  </si>
  <si>
    <t>水</t>
    <phoneticPr fontId="2" type="noConversion"/>
  </si>
  <si>
    <t>（力量，速度）</t>
    <phoneticPr fontId="2" type="noConversion"/>
  </si>
  <si>
    <t>（智力，速度）</t>
    <phoneticPr fontId="2" type="noConversion"/>
  </si>
  <si>
    <t>（智）</t>
    <phoneticPr fontId="2" type="noConversion"/>
  </si>
  <si>
    <t>（智力，速度）</t>
    <phoneticPr fontId="2" type="noConversion"/>
  </si>
  <si>
    <t>智力</t>
  </si>
  <si>
    <t>防御力</t>
    <phoneticPr fontId="2" type="noConversion"/>
  </si>
  <si>
    <t>物理</t>
    <phoneticPr fontId="2" type="noConversion"/>
  </si>
  <si>
    <t>智力</t>
    <phoneticPr fontId="2" type="noConversion"/>
  </si>
  <si>
    <t>力量</t>
  </si>
  <si>
    <t>力量</t>
    <phoneticPr fontId="2" type="noConversion"/>
  </si>
  <si>
    <t>力量与智力的比例通过AI调控DPS</t>
    <phoneticPr fontId="2" type="noConversion"/>
  </si>
  <si>
    <t>Dr的公式</t>
    <phoneticPr fontId="2" type="noConversion"/>
  </si>
  <si>
    <t>需要继续拆分智力与力量</t>
    <phoneticPr fontId="2" type="noConversion"/>
  </si>
  <si>
    <t>嘲讽吸收伤害占比</t>
    <phoneticPr fontId="2" type="noConversion"/>
  </si>
  <si>
    <t>释放大招系数</t>
    <phoneticPr fontId="2" type="noConversion"/>
  </si>
  <si>
    <t>大招嘲讽概率</t>
    <phoneticPr fontId="2" type="noConversion"/>
  </si>
  <si>
    <t>大招嘲讽个数</t>
    <phoneticPr fontId="2" type="noConversion"/>
  </si>
  <si>
    <t>大招触发嘲讽效果</t>
    <phoneticPr fontId="2" type="noConversion"/>
  </si>
  <si>
    <t>通用</t>
    <phoneticPr fontId="2" type="noConversion"/>
  </si>
  <si>
    <t>物理</t>
    <phoneticPr fontId="2" type="noConversion"/>
  </si>
  <si>
    <t>单伤</t>
  </si>
  <si>
    <t>小</t>
  </si>
  <si>
    <t>中</t>
  </si>
  <si>
    <t>大</t>
  </si>
  <si>
    <t>三连击</t>
  </si>
  <si>
    <t>魔法</t>
  </si>
  <si>
    <t>buff</t>
  </si>
  <si>
    <t>防御力</t>
    <phoneticPr fontId="2" type="noConversion"/>
  </si>
  <si>
    <t>物理占比</t>
  </si>
  <si>
    <t>法术占比</t>
  </si>
  <si>
    <t>buff占比</t>
  </si>
  <si>
    <t xml:space="preserve">防御占比 </t>
  </si>
  <si>
    <t>AI</t>
  </si>
  <si>
    <t>AI</t>
    <phoneticPr fontId="2" type="noConversion"/>
  </si>
  <si>
    <t>大招释放间隔</t>
    <phoneticPr fontId="2" type="noConversion"/>
  </si>
  <si>
    <t>懒惰（表示10回合懒惰次数）</t>
    <phoneticPr fontId="2" type="noConversion"/>
  </si>
  <si>
    <t>技能升级提升系数</t>
    <phoneticPr fontId="2" type="noConversion"/>
  </si>
  <si>
    <t>技能等级</t>
    <phoneticPr fontId="2" type="noConversion"/>
  </si>
  <si>
    <t>防御技能价值</t>
    <phoneticPr fontId="2" type="noConversion"/>
  </si>
  <si>
    <t>单回合技能价值期望</t>
    <phoneticPr fontId="2" type="noConversion"/>
  </si>
  <si>
    <t>大招价值期望</t>
    <phoneticPr fontId="2" type="noConversion"/>
  </si>
  <si>
    <t>大招攻击次数</t>
    <phoneticPr fontId="2" type="noConversion"/>
  </si>
  <si>
    <t>大招攻击系数</t>
    <phoneticPr fontId="2" type="noConversion"/>
  </si>
  <si>
    <t>打断价值</t>
  </si>
  <si>
    <t>物理攻击次数</t>
  </si>
  <si>
    <t>打断概率</t>
  </si>
  <si>
    <t>价值</t>
  </si>
  <si>
    <t>总价值</t>
  </si>
  <si>
    <t>最终dps价值</t>
    <phoneticPr fontId="2" type="noConversion"/>
  </si>
  <si>
    <t>1/(1+x/50*lv(min)+50)</t>
    <phoneticPr fontId="2" type="noConversion"/>
  </si>
  <si>
    <t>被动价值单独控制</t>
    <phoneticPr fontId="2" type="noConversion"/>
  </si>
  <si>
    <t>被伤害时</t>
  </si>
  <si>
    <t>属性提升</t>
  </si>
  <si>
    <t>被攻击概率</t>
  </si>
  <si>
    <t>触发概率</t>
  </si>
  <si>
    <t>提升周期</t>
  </si>
  <si>
    <t>提升属性/降低属性</t>
    <phoneticPr fontId="2" type="noConversion"/>
  </si>
  <si>
    <t>潘神</t>
    <phoneticPr fontId="2" type="noConversion"/>
  </si>
  <si>
    <t>先置攻击</t>
    <phoneticPr fontId="2" type="noConversion"/>
  </si>
  <si>
    <t>整体覆盖率</t>
    <phoneticPr fontId="2" type="noConversion"/>
  </si>
  <si>
    <t>回合数</t>
    <phoneticPr fontId="2" type="noConversion"/>
  </si>
  <si>
    <t>dot</t>
    <phoneticPr fontId="2" type="noConversion"/>
  </si>
  <si>
    <t>络新妇</t>
    <phoneticPr fontId="2" type="noConversion"/>
  </si>
  <si>
    <t>治疗</t>
    <phoneticPr fontId="2" type="noConversion"/>
  </si>
  <si>
    <t>单伤（五种属性）</t>
    <phoneticPr fontId="2" type="noConversion"/>
  </si>
  <si>
    <t>智力/力量</t>
    <phoneticPr fontId="2" type="noConversion"/>
  </si>
  <si>
    <t>防御T</t>
    <phoneticPr fontId="2" type="noConversion"/>
  </si>
  <si>
    <t>眩晕概率</t>
    <phoneticPr fontId="2" type="noConversion"/>
  </si>
  <si>
    <t>眩晕价值</t>
    <phoneticPr fontId="2" type="noConversion"/>
  </si>
  <si>
    <t>dot浪费</t>
    <phoneticPr fontId="2" type="noConversion"/>
  </si>
  <si>
    <t>物攻一定几率附带暗属性强dot（同buff）</t>
  </si>
  <si>
    <t>设定偏物理与偏法术，力量与智力比例为</t>
    <phoneticPr fontId="2" type="noConversion"/>
  </si>
  <si>
    <t>：</t>
    <phoneticPr fontId="2" type="noConversion"/>
  </si>
  <si>
    <t>技能系数</t>
    <phoneticPr fontId="2" type="noConversion"/>
  </si>
  <si>
    <t>懒惰（表示10回合懒惰次数）</t>
    <phoneticPr fontId="2" type="noConversion"/>
  </si>
  <si>
    <t>设定大招价值占比</t>
    <phoneticPr fontId="2" type="noConversion"/>
  </si>
  <si>
    <t>普通技能系数</t>
    <phoneticPr fontId="2" type="noConversion"/>
  </si>
  <si>
    <t>伤害</t>
    <phoneticPr fontId="2" type="noConversion"/>
  </si>
  <si>
    <t>血量</t>
    <phoneticPr fontId="2" type="noConversion"/>
  </si>
  <si>
    <t>大招技能系数</t>
    <phoneticPr fontId="2" type="noConversion"/>
  </si>
  <si>
    <t>大招攻击</t>
    <phoneticPr fontId="2" type="noConversion"/>
  </si>
  <si>
    <t>攻击次数</t>
    <phoneticPr fontId="2" type="noConversion"/>
  </si>
  <si>
    <t>单次伤害</t>
    <phoneticPr fontId="2" type="noConversion"/>
  </si>
  <si>
    <t>总系数</t>
    <phoneticPr fontId="2" type="noConversion"/>
  </si>
  <si>
    <t>生命</t>
    <phoneticPr fontId="2" type="noConversion"/>
  </si>
  <si>
    <t>技能等级</t>
    <phoneticPr fontId="2" type="noConversion"/>
  </si>
  <si>
    <t>无偏向的法术与力量比例为</t>
    <phoneticPr fontId="2" type="noConversion"/>
  </si>
  <si>
    <t>蜥蜴人</t>
    <phoneticPr fontId="2" type="noConversion"/>
  </si>
  <si>
    <t>价值</t>
    <phoneticPr fontId="2" type="noConversion"/>
  </si>
  <si>
    <t>花魄</t>
    <phoneticPr fontId="2" type="noConversion"/>
  </si>
  <si>
    <t>法术大招价值占比</t>
    <phoneticPr fontId="2" type="noConversion"/>
  </si>
  <si>
    <t>设定物理大招价值占比</t>
    <phoneticPr fontId="2" type="noConversion"/>
  </si>
  <si>
    <t>潘神</t>
    <phoneticPr fontId="2" type="noConversion"/>
  </si>
  <si>
    <t>物理dot</t>
    <phoneticPr fontId="2" type="noConversion"/>
  </si>
  <si>
    <t>几率</t>
    <phoneticPr fontId="2" type="noConversion"/>
  </si>
  <si>
    <t>技能系数</t>
    <phoneticPr fontId="2" type="noConversion"/>
  </si>
  <si>
    <t>持续</t>
    <phoneticPr fontId="2" type="noConversion"/>
  </si>
  <si>
    <t>眩晕</t>
    <phoneticPr fontId="2" type="noConversion"/>
  </si>
  <si>
    <t>技能系数</t>
    <phoneticPr fontId="2" type="noConversion"/>
  </si>
  <si>
    <t>智力</t>
    <phoneticPr fontId="2" type="noConversion"/>
  </si>
  <si>
    <t>花魂</t>
    <phoneticPr fontId="2" type="noConversion"/>
  </si>
  <si>
    <t>momo</t>
    <phoneticPr fontId="2" type="noConversion"/>
  </si>
  <si>
    <t>降低智力</t>
    <phoneticPr fontId="2" type="noConversion"/>
  </si>
  <si>
    <t>攻击人数</t>
    <phoneticPr fontId="2" type="noConversion"/>
  </si>
  <si>
    <t>S</t>
    <phoneticPr fontId="2" type="noConversion"/>
  </si>
  <si>
    <t>T</t>
    <phoneticPr fontId="2" type="noConversion"/>
  </si>
  <si>
    <t>D</t>
    <phoneticPr fontId="2" type="noConversion"/>
  </si>
  <si>
    <t>Dot</t>
    <phoneticPr fontId="2" type="noConversion"/>
  </si>
  <si>
    <t>buff覆盖率</t>
    <phoneticPr fontId="2" type="noConversion"/>
  </si>
  <si>
    <t>团队攻击总价值</t>
    <phoneticPr fontId="2" type="noConversion"/>
  </si>
  <si>
    <t>回血</t>
    <phoneticPr fontId="2" type="noConversion"/>
  </si>
  <si>
    <t>治疗削弱（受伤比）</t>
    <phoneticPr fontId="2" type="noConversion"/>
  </si>
  <si>
    <t>法伤吸收</t>
    <phoneticPr fontId="2" type="noConversion"/>
  </si>
  <si>
    <t>持续</t>
    <phoneticPr fontId="2" type="noConversion"/>
  </si>
  <si>
    <t>价值</t>
    <phoneticPr fontId="2" type="noConversion"/>
  </si>
  <si>
    <t>buff覆盖率</t>
    <phoneticPr fontId="2" type="noConversion"/>
  </si>
  <si>
    <t>抵消攻击价值</t>
    <phoneticPr fontId="2" type="noConversion"/>
  </si>
  <si>
    <t>消耗攻击价值</t>
    <phoneticPr fontId="2" type="noConversion"/>
  </si>
  <si>
    <t>团队防御提升价值</t>
    <phoneticPr fontId="2" type="noConversion"/>
  </si>
  <si>
    <t>第七章</t>
    <phoneticPr fontId="2" type="noConversion"/>
  </si>
  <si>
    <t>7-2副本</t>
  </si>
  <si>
    <t>冥河 - 2</t>
  </si>
  <si>
    <t>7-3副本</t>
  </si>
  <si>
    <t>冥河 - 3</t>
  </si>
  <si>
    <t>7-4副本</t>
  </si>
  <si>
    <t>冥河 - 4</t>
  </si>
  <si>
    <t>7-7副本</t>
  </si>
  <si>
    <t>冥河 - 7</t>
  </si>
  <si>
    <t>7-8副本</t>
  </si>
  <si>
    <t>冥河 - 8</t>
  </si>
  <si>
    <t>卡戎</t>
  </si>
  <si>
    <t>阿穆特</t>
    <phoneticPr fontId="2" type="noConversion"/>
  </si>
  <si>
    <t>护盾</t>
    <phoneticPr fontId="2" type="noConversion"/>
  </si>
  <si>
    <t>持续</t>
    <phoneticPr fontId="2" type="noConversion"/>
  </si>
  <si>
    <t>人数</t>
    <phoneticPr fontId="2" type="noConversion"/>
  </si>
  <si>
    <t>15级</t>
    <phoneticPr fontId="2" type="noConversion"/>
  </si>
  <si>
    <t>40级</t>
    <phoneticPr fontId="2" type="noConversion"/>
  </si>
  <si>
    <t>15级</t>
    <phoneticPr fontId="2" type="noConversion"/>
  </si>
  <si>
    <t>安普莎</t>
    <phoneticPr fontId="2" type="noConversion"/>
  </si>
  <si>
    <t>蛙鬼</t>
    <phoneticPr fontId="2" type="noConversion"/>
  </si>
  <si>
    <t>哈皮</t>
    <phoneticPr fontId="2" type="noConversion"/>
  </si>
  <si>
    <t>河童</t>
    <phoneticPr fontId="2" type="noConversion"/>
  </si>
  <si>
    <t>眩晕</t>
    <phoneticPr fontId="2" type="noConversion"/>
  </si>
  <si>
    <t>个数</t>
    <phoneticPr fontId="2" type="noConversion"/>
  </si>
  <si>
    <t>buff覆盖率</t>
    <phoneticPr fontId="2" type="noConversion"/>
  </si>
  <si>
    <t>河童</t>
    <phoneticPr fontId="2" type="noConversion"/>
  </si>
  <si>
    <t>buff覆盖率</t>
    <phoneticPr fontId="2" type="noConversion"/>
  </si>
  <si>
    <t>团队攻击总价值</t>
    <phoneticPr fontId="2" type="noConversion"/>
  </si>
  <si>
    <t>全体</t>
    <phoneticPr fontId="2" type="noConversion"/>
  </si>
  <si>
    <t>哈皮</t>
    <phoneticPr fontId="2" type="noConversion"/>
  </si>
  <si>
    <t>hot</t>
    <phoneticPr fontId="2" type="noConversion"/>
  </si>
  <si>
    <t>驱散价值</t>
    <phoneticPr fontId="2" type="noConversion"/>
  </si>
  <si>
    <t>恢复系数</t>
    <phoneticPr fontId="2" type="noConversion"/>
  </si>
  <si>
    <t>回复人数</t>
    <phoneticPr fontId="2" type="noConversion"/>
  </si>
  <si>
    <t>曼陀罗</t>
    <phoneticPr fontId="2" type="noConversion"/>
  </si>
  <si>
    <t>buff</t>
    <phoneticPr fontId="2" type="noConversion"/>
  </si>
  <si>
    <t>治疗削减</t>
    <phoneticPr fontId="2" type="noConversion"/>
  </si>
  <si>
    <t>Momo</t>
    <phoneticPr fontId="2" type="noConversion"/>
  </si>
  <si>
    <t>Melody bulb</t>
    <phoneticPr fontId="2" type="noConversion"/>
  </si>
  <si>
    <t>buff覆盖</t>
    <phoneticPr fontId="2" type="noConversion"/>
  </si>
  <si>
    <t>buff提升</t>
    <phoneticPr fontId="2" type="noConversion"/>
  </si>
  <si>
    <t>buff效率</t>
    <phoneticPr fontId="2" type="noConversion"/>
  </si>
  <si>
    <t>群体提升力量，驱散妨害buff（价值待定，但是由于是单一boss价值很低）</t>
    <phoneticPr fontId="2" type="noConversion"/>
  </si>
  <si>
    <r>
      <rPr>
        <sz val="11"/>
        <color rgb="FFFF0000"/>
        <rFont val="微软雅黑"/>
        <family val="2"/>
        <charset val="134"/>
      </rPr>
      <t>####</t>
    </r>
    <r>
      <rPr>
        <sz val="11"/>
        <color theme="1"/>
        <rFont val="微软雅黑"/>
        <family val="2"/>
        <charset val="134"/>
      </rPr>
      <t>这些个需要根据属性拆分文档时时更新！！不要忘掉！千万别忘，属性变了，这些都要变化！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</si>
</sst>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9" formatCode="_ * #,##0.00_ ;_ * \-#,##0.00_ ;_ * &quot;-&quot;??_ ;_ @_ "/>
    <numFmt numFmtId="183" formatCode="0.00_);[Red]\(0.00\)"/>
    <numFmt numFmtId="184" formatCode="0_);[Red]\(0\)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rgb="FF9C0006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0"/>
      <name val="Arial"/>
      <family val="2"/>
    </font>
    <font>
      <sz val="10"/>
      <name val="Verdana"/>
      <family val="2"/>
    </font>
    <font>
      <sz val="11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9" fillId="5" borderId="0" applyNumberFormat="0" applyFont="0" applyBorder="0" applyAlignment="0" applyProtection="0"/>
    <xf numFmtId="0" fontId="10" fillId="0" borderId="0"/>
    <xf numFmtId="0" fontId="9" fillId="4" borderId="0" applyNumberFormat="0" applyFont="0" applyBorder="0" applyAlignment="0" applyProtection="0"/>
    <xf numFmtId="0" fontId="12" fillId="0" borderId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135">
    <xf numFmtId="0" fontId="0" fillId="0" borderId="0" xfId="0">
      <alignment vertical="center"/>
    </xf>
    <xf numFmtId="0" fontId="3" fillId="0" borderId="0" xfId="0" applyFont="1">
      <alignment vertical="center"/>
    </xf>
    <xf numFmtId="58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58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13" fillId="0" borderId="1" xfId="13" applyFont="1" applyFill="1" applyBorder="1">
      <alignment vertical="center"/>
    </xf>
    <xf numFmtId="0" fontId="11" fillId="0" borderId="1" xfId="13" applyFont="1" applyFill="1" applyBorder="1">
      <alignment vertical="center"/>
    </xf>
    <xf numFmtId="0" fontId="13" fillId="3" borderId="1" xfId="13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3" fillId="0" borderId="0" xfId="13" applyFont="1" applyFill="1" applyBorder="1">
      <alignment vertical="center"/>
    </xf>
    <xf numFmtId="0" fontId="11" fillId="0" borderId="0" xfId="13" applyFont="1" applyFill="1" applyBorder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Alignment="1">
      <alignment vertical="center"/>
    </xf>
    <xf numFmtId="183" fontId="3" fillId="0" borderId="0" xfId="0" applyNumberFormat="1" applyFont="1">
      <alignment vertical="center"/>
    </xf>
    <xf numFmtId="0" fontId="13" fillId="0" borderId="0" xfId="15" applyFont="1" applyFill="1">
      <alignment vertical="center"/>
    </xf>
    <xf numFmtId="0" fontId="11" fillId="0" borderId="0" xfId="0" applyFont="1">
      <alignment vertical="center"/>
    </xf>
    <xf numFmtId="0" fontId="8" fillId="0" borderId="0" xfId="15" applyFont="1" applyFill="1">
      <alignment vertical="center"/>
    </xf>
    <xf numFmtId="0" fontId="8" fillId="0" borderId="0" xfId="0" applyFont="1" applyFill="1">
      <alignment vertical="center"/>
    </xf>
    <xf numFmtId="183" fontId="8" fillId="0" borderId="0" xfId="0" applyNumberFormat="1" applyFont="1" applyFill="1">
      <alignment vertical="center"/>
    </xf>
    <xf numFmtId="183" fontId="8" fillId="0" borderId="0" xfId="15" applyNumberFormat="1" applyFont="1" applyFill="1">
      <alignment vertical="center"/>
    </xf>
    <xf numFmtId="184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13" fillId="0" borderId="0" xfId="15" applyFont="1" applyFill="1">
      <alignment vertical="center"/>
    </xf>
    <xf numFmtId="0" fontId="11" fillId="0" borderId="0" xfId="0" applyFont="1">
      <alignment vertical="center"/>
    </xf>
    <xf numFmtId="0" fontId="8" fillId="0" borderId="0" xfId="15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11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8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4" fillId="8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>
      <alignment vertical="center"/>
    </xf>
    <xf numFmtId="0" fontId="11" fillId="8" borderId="0" xfId="0" applyFont="1" applyFill="1">
      <alignment vertical="center"/>
    </xf>
    <xf numFmtId="0" fontId="13" fillId="8" borderId="0" xfId="15" applyFont="1" applyFill="1">
      <alignment vertical="center"/>
    </xf>
    <xf numFmtId="0" fontId="0" fillId="8" borderId="0" xfId="0" applyFill="1">
      <alignment vertical="center"/>
    </xf>
    <xf numFmtId="0" fontId="3" fillId="8" borderId="0" xfId="0" applyFont="1" applyFill="1" applyBorder="1">
      <alignment vertical="center"/>
    </xf>
    <xf numFmtId="0" fontId="3" fillId="9" borderId="0" xfId="0" applyFont="1" applyFill="1" applyBorder="1">
      <alignment vertical="center"/>
    </xf>
    <xf numFmtId="0" fontId="3" fillId="9" borderId="0" xfId="0" applyFont="1" applyFill="1">
      <alignment vertical="center"/>
    </xf>
    <xf numFmtId="0" fontId="4" fillId="9" borderId="0" xfId="0" applyFont="1" applyFill="1" applyAlignment="1">
      <alignment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>
      <alignment vertical="center"/>
    </xf>
    <xf numFmtId="0" fontId="11" fillId="9" borderId="0" xfId="0" applyFont="1" applyFill="1">
      <alignment vertical="center"/>
    </xf>
    <xf numFmtId="0" fontId="13" fillId="9" borderId="0" xfId="15" applyFont="1" applyFill="1">
      <alignment vertical="center"/>
    </xf>
    <xf numFmtId="0" fontId="0" fillId="9" borderId="0" xfId="0" applyFill="1">
      <alignment vertical="center"/>
    </xf>
    <xf numFmtId="0" fontId="3" fillId="7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15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11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8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3" fillId="10" borderId="0" xfId="0" applyFont="1" applyFill="1">
      <alignment vertical="center"/>
    </xf>
    <xf numFmtId="0" fontId="11" fillId="0" borderId="0" xfId="0" applyFont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11" fillId="0" borderId="0" xfId="0" applyFont="1" applyFill="1">
      <alignment vertical="center"/>
    </xf>
  </cellXfs>
  <cellStyles count="16">
    <cellStyle name="GreyOrWhite" xfId="12"/>
    <cellStyle name="Yellow" xfId="10"/>
    <cellStyle name="差 2" xfId="2"/>
    <cellStyle name="常规" xfId="0" builtinId="0"/>
    <cellStyle name="常规 2" xfId="1"/>
    <cellStyle name="常规 2 18" xfId="5"/>
    <cellStyle name="常规 2 2" xfId="11"/>
    <cellStyle name="常规 2 3" xfId="15"/>
    <cellStyle name="常规 2 4" xfId="8"/>
    <cellStyle name="常规 3" xfId="3"/>
    <cellStyle name="常规 3 2" xfId="9"/>
    <cellStyle name="常规 3 3" xfId="7"/>
    <cellStyle name="常规 3 4" xfId="13"/>
    <cellStyle name="常规 4" xfId="4"/>
    <cellStyle name="常规 8" xfId="6"/>
    <cellStyle name="千位分隔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tabSelected="1" topLeftCell="A31" workbookViewId="0">
      <selection activeCell="K55" sqref="K55"/>
    </sheetView>
  </sheetViews>
  <sheetFormatPr defaultRowHeight="16.5" x14ac:dyDescent="0.15"/>
  <cols>
    <col min="1" max="2" width="9" style="1"/>
    <col min="3" max="3" width="11.625" style="1" customWidth="1"/>
    <col min="4" max="16384" width="9" style="1"/>
  </cols>
  <sheetData>
    <row r="1" spans="1:18" x14ac:dyDescent="0.15">
      <c r="A1" s="2" t="s">
        <v>0</v>
      </c>
    </row>
    <row r="2" spans="1:18" x14ac:dyDescent="0.15">
      <c r="B2" s="1" t="s">
        <v>46</v>
      </c>
    </row>
    <row r="3" spans="1:18" x14ac:dyDescent="0.15">
      <c r="B3" s="1" t="s">
        <v>47</v>
      </c>
    </row>
    <row r="4" spans="1:18" x14ac:dyDescent="0.15">
      <c r="B4" s="1">
        <v>3</v>
      </c>
    </row>
    <row r="8" spans="1:18" x14ac:dyDescent="0.15">
      <c r="J8" s="1" t="s">
        <v>75</v>
      </c>
      <c r="L8" s="51" t="s">
        <v>76</v>
      </c>
      <c r="N8" s="1" t="s">
        <v>77</v>
      </c>
    </row>
    <row r="9" spans="1:18" x14ac:dyDescent="0.15">
      <c r="A9" s="1" t="s">
        <v>48</v>
      </c>
      <c r="B9" s="1" t="s">
        <v>1</v>
      </c>
      <c r="D9" s="1" t="s">
        <v>2</v>
      </c>
      <c r="F9" s="1" t="s">
        <v>3</v>
      </c>
      <c r="H9" s="1" t="s">
        <v>5</v>
      </c>
      <c r="J9" s="51" t="s">
        <v>72</v>
      </c>
      <c r="L9" s="51" t="s">
        <v>72</v>
      </c>
      <c r="N9" s="1" t="s">
        <v>11</v>
      </c>
      <c r="P9" s="1" t="s">
        <v>73</v>
      </c>
    </row>
    <row r="10" spans="1:18" x14ac:dyDescent="0.15">
      <c r="B10" s="7" t="s">
        <v>13</v>
      </c>
      <c r="C10" s="20" t="s">
        <v>28</v>
      </c>
      <c r="D10" s="3" t="s">
        <v>7</v>
      </c>
      <c r="E10" s="16" t="s">
        <v>26</v>
      </c>
      <c r="F10" s="4" t="s">
        <v>8</v>
      </c>
      <c r="G10" s="1" t="s">
        <v>27</v>
      </c>
      <c r="H10" s="8" t="s">
        <v>14</v>
      </c>
      <c r="I10" s="21" t="s">
        <v>28</v>
      </c>
      <c r="J10" s="13" t="s">
        <v>21</v>
      </c>
      <c r="K10" s="26" t="s">
        <v>29</v>
      </c>
      <c r="L10" s="12" t="s">
        <v>20</v>
      </c>
      <c r="M10" s="25" t="s">
        <v>29</v>
      </c>
      <c r="N10" s="6" t="s">
        <v>10</v>
      </c>
      <c r="O10" s="18" t="s">
        <v>27</v>
      </c>
      <c r="P10" s="9" t="s">
        <v>15</v>
      </c>
      <c r="Q10" s="22" t="s">
        <v>28</v>
      </c>
      <c r="R10" s="51" t="s">
        <v>78</v>
      </c>
    </row>
    <row r="11" spans="1:18" x14ac:dyDescent="0.15">
      <c r="F11" s="5" t="s">
        <v>9</v>
      </c>
      <c r="G11" s="19" t="s">
        <v>25</v>
      </c>
      <c r="H11" s="14" t="s">
        <v>22</v>
      </c>
      <c r="I11" s="27" t="s">
        <v>29</v>
      </c>
      <c r="N11" s="15" t="s">
        <v>23</v>
      </c>
      <c r="O11" s="28" t="s">
        <v>30</v>
      </c>
      <c r="P11" s="10" t="s">
        <v>16</v>
      </c>
      <c r="Q11" s="23" t="s">
        <v>74</v>
      </c>
      <c r="R11" s="56" t="s">
        <v>79</v>
      </c>
    </row>
    <row r="12" spans="1:18" x14ac:dyDescent="0.15">
      <c r="F12" s="11" t="s">
        <v>18</v>
      </c>
      <c r="G12" s="24" t="s">
        <v>29</v>
      </c>
      <c r="N12" s="17" t="s">
        <v>24</v>
      </c>
      <c r="O12" s="29" t="s">
        <v>30</v>
      </c>
    </row>
    <row r="15" spans="1:18" x14ac:dyDescent="0.15">
      <c r="A15" s="1" t="s">
        <v>31</v>
      </c>
    </row>
    <row r="16" spans="1:18" x14ac:dyDescent="0.15">
      <c r="B16" s="1" t="s">
        <v>49</v>
      </c>
    </row>
    <row r="18" spans="2:17" x14ac:dyDescent="0.15">
      <c r="B18" s="31" t="s">
        <v>0</v>
      </c>
      <c r="C18" s="30" t="s">
        <v>33</v>
      </c>
      <c r="D18" s="30">
        <v>2</v>
      </c>
      <c r="E18" s="30">
        <v>3</v>
      </c>
      <c r="F18" s="30" t="s">
        <v>8</v>
      </c>
      <c r="G18" s="30">
        <v>5</v>
      </c>
      <c r="H18" s="30" t="s">
        <v>13</v>
      </c>
      <c r="I18" s="30">
        <v>1</v>
      </c>
      <c r="J18" s="30" t="s">
        <v>34</v>
      </c>
    </row>
    <row r="19" spans="2:17" x14ac:dyDescent="0.15">
      <c r="B19" s="31" t="s">
        <v>35</v>
      </c>
      <c r="C19" s="30" t="s">
        <v>36</v>
      </c>
      <c r="D19" s="30">
        <v>2</v>
      </c>
      <c r="E19" s="30">
        <v>3</v>
      </c>
      <c r="F19" s="30" t="s">
        <v>8</v>
      </c>
      <c r="G19" s="30">
        <v>4</v>
      </c>
      <c r="H19" s="30" t="s">
        <v>17</v>
      </c>
      <c r="I19" s="30">
        <v>2</v>
      </c>
      <c r="J19" s="30" t="s">
        <v>10</v>
      </c>
    </row>
    <row r="20" spans="2:17" x14ac:dyDescent="0.15">
      <c r="B20" s="31" t="s">
        <v>37</v>
      </c>
      <c r="C20" s="30" t="s">
        <v>38</v>
      </c>
      <c r="D20" s="30">
        <v>2</v>
      </c>
      <c r="E20" s="30">
        <v>3</v>
      </c>
      <c r="F20" s="30" t="s">
        <v>7</v>
      </c>
      <c r="G20" s="30">
        <v>4</v>
      </c>
      <c r="H20" s="30" t="s">
        <v>9</v>
      </c>
      <c r="I20" s="30">
        <v>2</v>
      </c>
      <c r="J20" s="30" t="s">
        <v>22</v>
      </c>
    </row>
    <row r="21" spans="2:17" x14ac:dyDescent="0.15">
      <c r="B21" s="31" t="s">
        <v>39</v>
      </c>
      <c r="C21" s="30" t="s">
        <v>40</v>
      </c>
      <c r="D21" s="30">
        <v>2</v>
      </c>
      <c r="E21" s="30">
        <v>3</v>
      </c>
      <c r="F21" s="30" t="s">
        <v>23</v>
      </c>
      <c r="G21" s="30">
        <v>5</v>
      </c>
      <c r="H21" s="30" t="s">
        <v>21</v>
      </c>
      <c r="I21" s="30">
        <v>1</v>
      </c>
      <c r="J21" s="30" t="s">
        <v>7</v>
      </c>
    </row>
    <row r="22" spans="2:17" x14ac:dyDescent="0.15">
      <c r="B22" s="31" t="s">
        <v>41</v>
      </c>
      <c r="C22" s="30" t="s">
        <v>42</v>
      </c>
      <c r="D22" s="30">
        <v>2</v>
      </c>
      <c r="E22" s="30">
        <v>3</v>
      </c>
      <c r="F22" s="30" t="s">
        <v>16</v>
      </c>
      <c r="G22" s="30">
        <v>5</v>
      </c>
      <c r="H22" s="30" t="s">
        <v>22</v>
      </c>
      <c r="I22" s="30">
        <v>1</v>
      </c>
      <c r="J22" s="30" t="s">
        <v>43</v>
      </c>
    </row>
    <row r="24" spans="2:17" x14ac:dyDescent="0.15">
      <c r="B24" s="30" t="s">
        <v>1</v>
      </c>
      <c r="C24" s="30"/>
      <c r="D24" s="30" t="s">
        <v>2</v>
      </c>
      <c r="E24" s="30"/>
      <c r="F24" s="30" t="s">
        <v>3</v>
      </c>
      <c r="G24" s="30"/>
      <c r="H24" s="30" t="s">
        <v>5</v>
      </c>
      <c r="J24" s="30" t="s">
        <v>4</v>
      </c>
      <c r="K24" s="30"/>
      <c r="L24" s="30" t="s">
        <v>6</v>
      </c>
      <c r="N24" s="30" t="s">
        <v>11</v>
      </c>
      <c r="P24" s="30" t="s">
        <v>12</v>
      </c>
    </row>
    <row r="25" spans="2:17" x14ac:dyDescent="0.15">
      <c r="B25" s="32" t="s">
        <v>206</v>
      </c>
      <c r="C25" s="32" t="s">
        <v>28</v>
      </c>
      <c r="D25" s="32" t="s">
        <v>7</v>
      </c>
      <c r="E25" s="30" t="s">
        <v>26</v>
      </c>
      <c r="F25" s="32" t="s">
        <v>8</v>
      </c>
      <c r="G25" s="30" t="s">
        <v>27</v>
      </c>
      <c r="H25" s="32" t="s">
        <v>22</v>
      </c>
      <c r="I25" s="32" t="s">
        <v>29</v>
      </c>
      <c r="J25" s="32" t="s">
        <v>21</v>
      </c>
      <c r="K25" s="32" t="s">
        <v>29</v>
      </c>
      <c r="L25" s="1" t="s">
        <v>44</v>
      </c>
      <c r="N25" s="32" t="s">
        <v>23</v>
      </c>
      <c r="O25" s="32" t="s">
        <v>30</v>
      </c>
      <c r="P25" s="32" t="s">
        <v>16</v>
      </c>
      <c r="Q25" s="32" t="s">
        <v>28</v>
      </c>
    </row>
    <row r="26" spans="2:17" x14ac:dyDescent="0.15">
      <c r="F26" s="32" t="s">
        <v>167</v>
      </c>
      <c r="G26" s="32" t="s">
        <v>25</v>
      </c>
    </row>
    <row r="27" spans="2:17" x14ac:dyDescent="0.15">
      <c r="F27" s="32" t="s">
        <v>18</v>
      </c>
      <c r="G27" s="32" t="s">
        <v>29</v>
      </c>
    </row>
    <row r="30" spans="2:17" x14ac:dyDescent="0.15">
      <c r="B30" s="1" t="s">
        <v>45</v>
      </c>
    </row>
    <row r="31" spans="2:17" x14ac:dyDescent="0.15">
      <c r="C31" s="1" t="s">
        <v>50</v>
      </c>
    </row>
    <row r="33" spans="1:32" x14ac:dyDescent="0.15">
      <c r="B33" s="1" t="s">
        <v>51</v>
      </c>
    </row>
    <row r="34" spans="1:32" x14ac:dyDescent="0.15">
      <c r="C34" s="30" t="s">
        <v>2</v>
      </c>
      <c r="D34" s="30"/>
      <c r="E34" s="30" t="s">
        <v>3</v>
      </c>
      <c r="G34" s="30" t="s">
        <v>5</v>
      </c>
      <c r="H34" s="30"/>
      <c r="I34" s="30" t="s">
        <v>11</v>
      </c>
      <c r="J34" s="30"/>
    </row>
    <row r="35" spans="1:32" x14ac:dyDescent="0.15">
      <c r="C35" s="32" t="s">
        <v>7</v>
      </c>
      <c r="D35" s="30" t="s">
        <v>26</v>
      </c>
      <c r="E35" s="32" t="s">
        <v>175</v>
      </c>
      <c r="F35" s="32" t="s">
        <v>25</v>
      </c>
      <c r="G35" s="32" t="s">
        <v>22</v>
      </c>
      <c r="H35" s="32" t="s">
        <v>29</v>
      </c>
      <c r="I35" s="32" t="s">
        <v>176</v>
      </c>
      <c r="J35" s="30" t="s">
        <v>27</v>
      </c>
    </row>
    <row r="36" spans="1:32" x14ac:dyDescent="0.15">
      <c r="I36" s="32" t="s">
        <v>24</v>
      </c>
      <c r="J36" s="32" t="s">
        <v>30</v>
      </c>
    </row>
    <row r="37" spans="1:32" x14ac:dyDescent="0.15">
      <c r="B37" s="1" t="s">
        <v>52</v>
      </c>
      <c r="D37" s="1">
        <v>15</v>
      </c>
      <c r="E37" s="1" t="s">
        <v>53</v>
      </c>
      <c r="G37" s="1">
        <v>15</v>
      </c>
    </row>
    <row r="39" spans="1:32" x14ac:dyDescent="0.15">
      <c r="C39" s="1" t="s">
        <v>59</v>
      </c>
      <c r="H39" s="1" t="s">
        <v>135</v>
      </c>
      <c r="I39" s="1">
        <v>7.5</v>
      </c>
    </row>
    <row r="40" spans="1:32" x14ac:dyDescent="0.15">
      <c r="C40" s="33"/>
      <c r="D40" s="33" t="s">
        <v>54</v>
      </c>
      <c r="E40" s="33" t="s">
        <v>55</v>
      </c>
      <c r="F40" s="33" t="s">
        <v>56</v>
      </c>
      <c r="H40" s="1" t="s">
        <v>88</v>
      </c>
    </row>
    <row r="41" spans="1:32" x14ac:dyDescent="0.15">
      <c r="C41" s="33" t="s">
        <v>32</v>
      </c>
      <c r="D41" s="34">
        <v>24</v>
      </c>
      <c r="E41" s="34">
        <v>1.5</v>
      </c>
      <c r="F41" s="35">
        <v>36</v>
      </c>
      <c r="I41" s="58">
        <f>D41/(SUM(D41:D43)+SUM(D42:D43))</f>
        <v>0.32432432432432434</v>
      </c>
    </row>
    <row r="42" spans="1:32" x14ac:dyDescent="0.15">
      <c r="C42" s="33" t="s">
        <v>57</v>
      </c>
      <c r="D42" s="34">
        <v>10</v>
      </c>
      <c r="E42" s="34">
        <v>4</v>
      </c>
      <c r="F42" s="35">
        <v>40</v>
      </c>
    </row>
    <row r="43" spans="1:32" x14ac:dyDescent="0.15">
      <c r="C43" s="33" t="s">
        <v>58</v>
      </c>
      <c r="D43" s="34">
        <v>15</v>
      </c>
      <c r="E43" s="34">
        <v>2.4</v>
      </c>
      <c r="F43" s="35">
        <v>36</v>
      </c>
    </row>
    <row r="44" spans="1:32" s="41" customFormat="1" x14ac:dyDescent="0.15">
      <c r="C44" s="48"/>
      <c r="D44" s="49"/>
      <c r="E44" s="49"/>
      <c r="F44" s="48"/>
    </row>
    <row r="45" spans="1:32" x14ac:dyDescent="0.15">
      <c r="C45" s="127" t="s">
        <v>238</v>
      </c>
      <c r="D45" s="127"/>
      <c r="E45" s="127"/>
      <c r="F45" s="127"/>
      <c r="G45" s="127"/>
      <c r="H45" s="127"/>
      <c r="I45" s="127"/>
      <c r="J45" s="127"/>
      <c r="K45" s="127"/>
    </row>
    <row r="46" spans="1:32" s="39" customFormat="1" x14ac:dyDescent="0.15">
      <c r="B46" s="40"/>
      <c r="C46" s="36" t="s">
        <v>60</v>
      </c>
      <c r="D46" s="38"/>
      <c r="E46" s="38"/>
      <c r="F46" s="38"/>
      <c r="G46" s="37"/>
      <c r="H46" s="45" t="s">
        <v>61</v>
      </c>
      <c r="I46" s="46"/>
      <c r="J46" s="46"/>
      <c r="K46" s="46"/>
      <c r="L46" s="47"/>
      <c r="M46" s="36" t="s">
        <v>62</v>
      </c>
      <c r="N46" s="38"/>
      <c r="O46" s="38"/>
      <c r="P46" s="38"/>
      <c r="Q46" s="37"/>
      <c r="R46" s="45" t="s">
        <v>63</v>
      </c>
      <c r="S46" s="46"/>
      <c r="T46" s="46"/>
      <c r="U46" s="46"/>
      <c r="V46" s="47"/>
      <c r="W46" s="36" t="s">
        <v>64</v>
      </c>
      <c r="X46" s="38"/>
      <c r="Y46" s="38"/>
      <c r="Z46" s="38"/>
      <c r="AA46" s="37"/>
    </row>
    <row r="47" spans="1:32" s="39" customFormat="1" x14ac:dyDescent="0.15">
      <c r="B47" s="41" t="s">
        <v>65</v>
      </c>
      <c r="C47" s="42" t="s">
        <v>66</v>
      </c>
      <c r="D47" s="42" t="s">
        <v>67</v>
      </c>
      <c r="E47" s="42" t="s">
        <v>68</v>
      </c>
      <c r="F47" s="42" t="s">
        <v>69</v>
      </c>
      <c r="G47" s="42" t="s">
        <v>70</v>
      </c>
      <c r="H47" s="43" t="s">
        <v>66</v>
      </c>
      <c r="I47" s="43" t="s">
        <v>67</v>
      </c>
      <c r="J47" s="43" t="s">
        <v>68</v>
      </c>
      <c r="K47" s="43" t="s">
        <v>69</v>
      </c>
      <c r="L47" s="43" t="s">
        <v>70</v>
      </c>
      <c r="M47" s="42" t="s">
        <v>66</v>
      </c>
      <c r="N47" s="42" t="s">
        <v>67</v>
      </c>
      <c r="O47" s="42" t="s">
        <v>68</v>
      </c>
      <c r="P47" s="42" t="s">
        <v>69</v>
      </c>
      <c r="Q47" s="42" t="s">
        <v>70</v>
      </c>
      <c r="R47" s="43" t="s">
        <v>66</v>
      </c>
      <c r="S47" s="43" t="s">
        <v>67</v>
      </c>
      <c r="T47" s="43" t="s">
        <v>68</v>
      </c>
      <c r="U47" s="43" t="s">
        <v>69</v>
      </c>
      <c r="V47" s="43" t="s">
        <v>70</v>
      </c>
      <c r="W47" s="42" t="s">
        <v>66</v>
      </c>
      <c r="X47" s="42" t="s">
        <v>67</v>
      </c>
      <c r="Y47" s="42" t="s">
        <v>68</v>
      </c>
      <c r="Z47" s="42" t="s">
        <v>69</v>
      </c>
      <c r="AA47" s="42" t="s">
        <v>70</v>
      </c>
    </row>
    <row r="48" spans="1:32" x14ac:dyDescent="0.15">
      <c r="A48" s="50"/>
      <c r="B48" s="51">
        <v>15</v>
      </c>
      <c r="C48" s="52">
        <v>913</v>
      </c>
      <c r="D48" s="52">
        <v>71</v>
      </c>
      <c r="E48" s="52">
        <v>81</v>
      </c>
      <c r="F48" s="52">
        <v>71</v>
      </c>
      <c r="G48" s="52">
        <v>0.9129967776584319</v>
      </c>
      <c r="H48" s="53">
        <v>842</v>
      </c>
      <c r="I48" s="53">
        <v>71</v>
      </c>
      <c r="J48" s="53">
        <v>101</v>
      </c>
      <c r="K48" s="53">
        <v>71</v>
      </c>
      <c r="L48" s="53">
        <v>0.89379600420609884</v>
      </c>
      <c r="M48" s="52">
        <v>468</v>
      </c>
      <c r="N48" s="52">
        <v>165</v>
      </c>
      <c r="O48" s="52">
        <v>38</v>
      </c>
      <c r="P48" s="52">
        <v>82</v>
      </c>
      <c r="Q48" s="52">
        <v>0.9572072072072072</v>
      </c>
      <c r="R48" s="53">
        <v>468</v>
      </c>
      <c r="S48" s="53">
        <v>121</v>
      </c>
      <c r="T48" s="53">
        <v>38</v>
      </c>
      <c r="U48" s="53">
        <v>113</v>
      </c>
      <c r="V48" s="53">
        <v>0.9572072072072072</v>
      </c>
      <c r="W48" s="52">
        <v>614</v>
      </c>
      <c r="X48" s="52">
        <v>99</v>
      </c>
      <c r="Y48" s="52">
        <v>65</v>
      </c>
      <c r="Z48" s="52">
        <v>82</v>
      </c>
      <c r="AA48" s="52">
        <v>0.92896174863387981</v>
      </c>
      <c r="AB48" s="41"/>
      <c r="AC48" s="41"/>
      <c r="AD48" s="41"/>
      <c r="AE48" s="41"/>
      <c r="AF48" s="41"/>
    </row>
    <row r="50" spans="2:7" x14ac:dyDescent="0.15">
      <c r="B50" s="1" t="s">
        <v>71</v>
      </c>
    </row>
    <row r="51" spans="2:7" x14ac:dyDescent="0.15">
      <c r="C51" s="44" t="s">
        <v>7</v>
      </c>
      <c r="D51" s="41" t="s">
        <v>26</v>
      </c>
      <c r="E51" s="1" t="s">
        <v>80</v>
      </c>
    </row>
    <row r="52" spans="2:7" x14ac:dyDescent="0.15">
      <c r="C52" s="45" t="s">
        <v>61</v>
      </c>
      <c r="D52" s="46"/>
      <c r="E52" s="46"/>
      <c r="F52" s="46"/>
      <c r="G52" s="47"/>
    </row>
    <row r="53" spans="2:7" x14ac:dyDescent="0.15">
      <c r="C53" s="53" t="s">
        <v>66</v>
      </c>
      <c r="D53" s="53" t="s">
        <v>67</v>
      </c>
      <c r="E53" s="53" t="s">
        <v>68</v>
      </c>
      <c r="F53" s="53" t="s">
        <v>69</v>
      </c>
      <c r="G53" s="53" t="s">
        <v>70</v>
      </c>
    </row>
    <row r="54" spans="2:7" x14ac:dyDescent="0.15">
      <c r="C54" s="53">
        <v>842</v>
      </c>
      <c r="D54" s="53">
        <v>71</v>
      </c>
      <c r="E54" s="53">
        <v>101</v>
      </c>
      <c r="F54" s="53">
        <v>71</v>
      </c>
      <c r="G54" s="53">
        <v>0.89379600420609884</v>
      </c>
    </row>
    <row r="56" spans="2:7" x14ac:dyDescent="0.15">
      <c r="C56" s="44" t="s">
        <v>132</v>
      </c>
      <c r="D56" s="44" t="s">
        <v>25</v>
      </c>
      <c r="E56" s="1" t="s">
        <v>84</v>
      </c>
    </row>
    <row r="57" spans="2:7" x14ac:dyDescent="0.15">
      <c r="C57" s="36" t="s">
        <v>62</v>
      </c>
      <c r="D57" s="38"/>
      <c r="E57" s="38"/>
      <c r="F57" s="38"/>
      <c r="G57" s="37"/>
    </row>
    <row r="58" spans="2:7" x14ac:dyDescent="0.15">
      <c r="C58" s="52" t="s">
        <v>66</v>
      </c>
      <c r="D58" s="52" t="s">
        <v>67</v>
      </c>
      <c r="E58" s="52" t="s">
        <v>68</v>
      </c>
      <c r="F58" s="52" t="s">
        <v>69</v>
      </c>
      <c r="G58" s="52" t="s">
        <v>70</v>
      </c>
    </row>
    <row r="59" spans="2:7" x14ac:dyDescent="0.15">
      <c r="C59" s="52">
        <v>468</v>
      </c>
      <c r="D59" s="52">
        <v>165</v>
      </c>
      <c r="E59" s="52">
        <v>38</v>
      </c>
      <c r="F59" s="52">
        <v>82</v>
      </c>
      <c r="G59" s="52">
        <v>0.9572072072072072</v>
      </c>
    </row>
    <row r="61" spans="2:7" x14ac:dyDescent="0.15">
      <c r="C61" s="44" t="s">
        <v>137</v>
      </c>
      <c r="D61" s="44" t="s">
        <v>29</v>
      </c>
    </row>
    <row r="62" spans="2:7" x14ac:dyDescent="0.15">
      <c r="C62" s="36" t="s">
        <v>62</v>
      </c>
      <c r="D62" s="38"/>
      <c r="E62" s="38"/>
      <c r="F62" s="38"/>
      <c r="G62" s="37"/>
    </row>
    <row r="63" spans="2:7" x14ac:dyDescent="0.15">
      <c r="C63" s="52" t="s">
        <v>66</v>
      </c>
      <c r="D63" s="52" t="s">
        <v>67</v>
      </c>
      <c r="E63" s="52" t="s">
        <v>68</v>
      </c>
      <c r="F63" s="52" t="s">
        <v>69</v>
      </c>
      <c r="G63" s="52" t="s">
        <v>70</v>
      </c>
    </row>
    <row r="64" spans="2:7" x14ac:dyDescent="0.15">
      <c r="C64" s="52">
        <v>468</v>
      </c>
      <c r="D64" s="52">
        <v>165</v>
      </c>
      <c r="E64" s="52">
        <v>38</v>
      </c>
      <c r="F64" s="52">
        <v>82</v>
      </c>
      <c r="G64" s="52">
        <v>0.9572072072072072</v>
      </c>
    </row>
    <row r="66" spans="1:10" x14ac:dyDescent="0.15">
      <c r="C66" s="44" t="s">
        <v>10</v>
      </c>
      <c r="D66" s="41" t="s">
        <v>27</v>
      </c>
      <c r="E66" s="44" t="s">
        <v>24</v>
      </c>
      <c r="F66" s="44" t="s">
        <v>30</v>
      </c>
      <c r="G66" s="1" t="s">
        <v>82</v>
      </c>
    </row>
    <row r="67" spans="1:10" x14ac:dyDescent="0.15">
      <c r="C67" s="36" t="s">
        <v>64</v>
      </c>
      <c r="D67" s="38"/>
      <c r="E67" s="38"/>
      <c r="F67" s="38"/>
      <c r="G67" s="37"/>
    </row>
    <row r="68" spans="1:10" x14ac:dyDescent="0.15">
      <c r="C68" s="52" t="s">
        <v>66</v>
      </c>
      <c r="D68" s="52" t="s">
        <v>67</v>
      </c>
      <c r="E68" s="52" t="s">
        <v>68</v>
      </c>
      <c r="F68" s="52" t="s">
        <v>69</v>
      </c>
      <c r="G68" s="52" t="s">
        <v>70</v>
      </c>
    </row>
    <row r="69" spans="1:10" x14ac:dyDescent="0.15">
      <c r="C69" s="52">
        <v>614</v>
      </c>
      <c r="D69" s="52">
        <v>99</v>
      </c>
      <c r="E69" s="52">
        <v>65</v>
      </c>
      <c r="F69" s="52">
        <v>82</v>
      </c>
      <c r="G69" s="52">
        <v>0.92896174863387981</v>
      </c>
    </row>
    <row r="73" spans="1:10" x14ac:dyDescent="0.15">
      <c r="C73" s="1" t="s">
        <v>85</v>
      </c>
    </row>
    <row r="75" spans="1:10" x14ac:dyDescent="0.15">
      <c r="A75" s="113" t="s">
        <v>194</v>
      </c>
    </row>
    <row r="76" spans="1:10" x14ac:dyDescent="0.15">
      <c r="B76" s="113" t="s">
        <v>49</v>
      </c>
      <c r="C76" s="113"/>
      <c r="D76" s="113"/>
      <c r="E76" s="113"/>
      <c r="F76" s="113"/>
      <c r="G76" s="113"/>
      <c r="H76" s="113"/>
      <c r="I76" s="113"/>
      <c r="J76" s="113"/>
    </row>
    <row r="78" spans="1:10" x14ac:dyDescent="0.15">
      <c r="B78" s="125" t="s">
        <v>195</v>
      </c>
      <c r="C78" s="123" t="s">
        <v>196</v>
      </c>
      <c r="D78" s="123">
        <v>2</v>
      </c>
      <c r="E78" s="123">
        <v>3</v>
      </c>
      <c r="F78" s="123" t="s">
        <v>17</v>
      </c>
      <c r="G78" s="123">
        <v>4</v>
      </c>
      <c r="H78" s="123" t="s">
        <v>15</v>
      </c>
      <c r="I78" s="123">
        <v>2</v>
      </c>
      <c r="J78" s="123" t="s">
        <v>16</v>
      </c>
    </row>
    <row r="79" spans="1:10" x14ac:dyDescent="0.15">
      <c r="B79" s="125" t="s">
        <v>197</v>
      </c>
      <c r="C79" s="123" t="s">
        <v>198</v>
      </c>
      <c r="D79" s="123">
        <v>2</v>
      </c>
      <c r="E79" s="123">
        <v>3</v>
      </c>
      <c r="F79" s="123" t="s">
        <v>24</v>
      </c>
      <c r="G79" s="123">
        <v>5</v>
      </c>
      <c r="H79" s="123" t="s">
        <v>21</v>
      </c>
      <c r="I79" s="123">
        <v>1</v>
      </c>
      <c r="J79" s="123" t="s">
        <v>34</v>
      </c>
    </row>
    <row r="80" spans="1:10" x14ac:dyDescent="0.15">
      <c r="B80" s="125" t="s">
        <v>199</v>
      </c>
      <c r="C80" s="123" t="s">
        <v>200</v>
      </c>
      <c r="D80" s="123">
        <v>2</v>
      </c>
      <c r="E80" s="123">
        <v>3</v>
      </c>
      <c r="F80" s="123" t="s">
        <v>17</v>
      </c>
      <c r="G80" s="123">
        <v>5</v>
      </c>
      <c r="H80" s="123" t="s">
        <v>19</v>
      </c>
      <c r="I80" s="123">
        <v>1</v>
      </c>
      <c r="J80" s="123" t="s">
        <v>13</v>
      </c>
    </row>
    <row r="81" spans="1:23" x14ac:dyDescent="0.15">
      <c r="B81" s="125" t="s">
        <v>201</v>
      </c>
      <c r="C81" s="123" t="s">
        <v>202</v>
      </c>
      <c r="D81" s="123">
        <v>2</v>
      </c>
      <c r="E81" s="123">
        <v>3</v>
      </c>
      <c r="F81" s="123" t="s">
        <v>14</v>
      </c>
      <c r="G81" s="123">
        <v>4</v>
      </c>
      <c r="H81" s="123" t="s">
        <v>10</v>
      </c>
      <c r="I81" s="123">
        <v>2</v>
      </c>
      <c r="J81" s="123" t="s">
        <v>19</v>
      </c>
    </row>
    <row r="82" spans="1:23" x14ac:dyDescent="0.15">
      <c r="B82" s="125" t="s">
        <v>203</v>
      </c>
      <c r="C82" s="123" t="s">
        <v>204</v>
      </c>
      <c r="D82" s="123">
        <v>2</v>
      </c>
      <c r="E82" s="123">
        <v>3</v>
      </c>
      <c r="F82" s="123" t="s">
        <v>13</v>
      </c>
      <c r="G82" s="123">
        <v>4</v>
      </c>
      <c r="H82" s="123" t="s">
        <v>9</v>
      </c>
      <c r="I82" s="123">
        <v>2</v>
      </c>
      <c r="J82" s="123" t="s">
        <v>205</v>
      </c>
    </row>
    <row r="84" spans="1:23" x14ac:dyDescent="0.15">
      <c r="A84" s="123"/>
      <c r="B84" s="123"/>
      <c r="C84" s="123"/>
      <c r="D84" s="123"/>
      <c r="E84" s="123"/>
      <c r="F84" s="123"/>
      <c r="G84" s="123"/>
      <c r="H84" s="123"/>
      <c r="I84" s="123"/>
      <c r="J84" s="123" t="s">
        <v>75</v>
      </c>
      <c r="K84" s="123"/>
      <c r="L84" s="123" t="s">
        <v>76</v>
      </c>
      <c r="M84" s="123"/>
      <c r="N84" s="123" t="s">
        <v>77</v>
      </c>
      <c r="O84" s="123"/>
      <c r="P84" s="123"/>
      <c r="Q84" s="123"/>
      <c r="R84" s="123"/>
      <c r="S84" s="123"/>
      <c r="T84" s="123"/>
    </row>
    <row r="85" spans="1:23" x14ac:dyDescent="0.15">
      <c r="A85" s="123" t="s">
        <v>48</v>
      </c>
      <c r="B85" s="123" t="s">
        <v>1</v>
      </c>
      <c r="C85" s="123"/>
      <c r="D85" s="123" t="s">
        <v>2</v>
      </c>
      <c r="E85" s="123"/>
      <c r="F85" s="123" t="s">
        <v>3</v>
      </c>
      <c r="G85" s="123"/>
      <c r="H85" s="123" t="s">
        <v>5</v>
      </c>
      <c r="I85" s="123"/>
      <c r="J85" s="123" t="s">
        <v>72</v>
      </c>
      <c r="K85" s="123"/>
      <c r="L85" s="123" t="s">
        <v>72</v>
      </c>
      <c r="M85" s="123"/>
      <c r="N85" s="123" t="s">
        <v>11</v>
      </c>
      <c r="O85" s="123"/>
      <c r="P85" s="123" t="s">
        <v>73</v>
      </c>
      <c r="Q85" s="123"/>
      <c r="R85" s="123"/>
      <c r="S85" s="123"/>
      <c r="T85" s="123"/>
    </row>
    <row r="86" spans="1:23" x14ac:dyDescent="0.15">
      <c r="A86" s="123"/>
      <c r="B86" s="126" t="s">
        <v>13</v>
      </c>
      <c r="C86" s="126" t="s">
        <v>28</v>
      </c>
      <c r="D86" s="126"/>
      <c r="E86" s="123"/>
      <c r="F86" s="126" t="s">
        <v>9</v>
      </c>
      <c r="G86" s="126" t="s">
        <v>25</v>
      </c>
      <c r="H86" s="126" t="s">
        <v>214</v>
      </c>
      <c r="I86" s="126" t="s">
        <v>28</v>
      </c>
      <c r="J86" s="126" t="s">
        <v>21</v>
      </c>
      <c r="K86" s="126" t="s">
        <v>29</v>
      </c>
      <c r="L86" s="126" t="s">
        <v>213</v>
      </c>
      <c r="M86" s="126" t="s">
        <v>29</v>
      </c>
      <c r="N86" s="126" t="s">
        <v>10</v>
      </c>
      <c r="O86" s="123" t="s">
        <v>27</v>
      </c>
      <c r="P86" s="126" t="s">
        <v>216</v>
      </c>
      <c r="Q86" s="126" t="s">
        <v>28</v>
      </c>
      <c r="R86" s="123" t="s">
        <v>78</v>
      </c>
      <c r="S86" s="123"/>
      <c r="T86" s="123"/>
    </row>
    <row r="87" spans="1:23" x14ac:dyDescent="0.15">
      <c r="A87" s="123"/>
      <c r="B87" s="123"/>
      <c r="C87" s="123"/>
      <c r="D87" s="123"/>
      <c r="E87" s="123"/>
      <c r="F87" s="126" t="s">
        <v>18</v>
      </c>
      <c r="G87" s="126" t="s">
        <v>29</v>
      </c>
      <c r="H87" s="126"/>
      <c r="I87" s="126"/>
      <c r="J87" s="123"/>
      <c r="K87" s="123"/>
      <c r="L87" s="123"/>
      <c r="M87" s="123"/>
      <c r="N87" s="126" t="s">
        <v>215</v>
      </c>
      <c r="O87" s="126" t="s">
        <v>30</v>
      </c>
      <c r="P87" s="126"/>
      <c r="Q87" s="126"/>
      <c r="R87" s="126"/>
      <c r="S87" s="123"/>
      <c r="T87" s="123"/>
    </row>
    <row r="88" spans="1:23" s="122" customFormat="1" x14ac:dyDescent="0.15">
      <c r="F88" s="133"/>
      <c r="G88" s="133"/>
      <c r="H88" s="133"/>
      <c r="I88" s="133"/>
      <c r="N88" s="133"/>
      <c r="O88" s="133"/>
      <c r="P88" s="133"/>
      <c r="Q88" s="133"/>
      <c r="R88" s="133"/>
    </row>
    <row r="89" spans="1:23" s="122" customFormat="1" x14ac:dyDescent="0.15">
      <c r="F89" s="133"/>
      <c r="G89" s="133"/>
      <c r="H89" s="133"/>
      <c r="I89" s="133"/>
      <c r="N89" s="133"/>
      <c r="O89" s="133"/>
      <c r="P89" s="133"/>
      <c r="Q89" s="133"/>
      <c r="R89" s="133"/>
    </row>
    <row r="90" spans="1:23" x14ac:dyDescent="0.15">
      <c r="A90" s="123"/>
      <c r="B90" s="123"/>
      <c r="C90" s="123"/>
      <c r="D90" s="36" t="s">
        <v>60</v>
      </c>
      <c r="E90" s="38"/>
      <c r="F90" s="38"/>
      <c r="G90" s="38"/>
      <c r="H90" s="37"/>
      <c r="I90" s="36" t="s">
        <v>62</v>
      </c>
      <c r="J90" s="38"/>
      <c r="K90" s="38"/>
      <c r="L90" s="38"/>
      <c r="M90" s="37"/>
      <c r="N90" s="45" t="s">
        <v>63</v>
      </c>
      <c r="O90" s="46"/>
      <c r="P90" s="46"/>
      <c r="Q90" s="46"/>
      <c r="R90" s="47"/>
      <c r="S90" s="36" t="s">
        <v>64</v>
      </c>
      <c r="T90" s="38"/>
      <c r="U90" s="38"/>
      <c r="V90" s="38"/>
      <c r="W90" s="37"/>
    </row>
    <row r="91" spans="1:23" x14ac:dyDescent="0.15">
      <c r="A91" s="123"/>
      <c r="B91" s="123"/>
      <c r="C91" s="122" t="s">
        <v>65</v>
      </c>
      <c r="D91" s="131" t="s">
        <v>66</v>
      </c>
      <c r="E91" s="131" t="s">
        <v>67</v>
      </c>
      <c r="F91" s="131" t="s">
        <v>68</v>
      </c>
      <c r="G91" s="131" t="s">
        <v>69</v>
      </c>
      <c r="H91" s="131" t="s">
        <v>70</v>
      </c>
      <c r="I91" s="131" t="s">
        <v>66</v>
      </c>
      <c r="J91" s="131" t="s">
        <v>67</v>
      </c>
      <c r="K91" s="131" t="s">
        <v>68</v>
      </c>
      <c r="L91" s="131" t="s">
        <v>69</v>
      </c>
      <c r="M91" s="131" t="s">
        <v>70</v>
      </c>
      <c r="N91" s="132" t="s">
        <v>66</v>
      </c>
      <c r="O91" s="132" t="s">
        <v>67</v>
      </c>
      <c r="P91" s="132" t="s">
        <v>68</v>
      </c>
      <c r="Q91" s="132" t="s">
        <v>69</v>
      </c>
      <c r="R91" s="132" t="s">
        <v>70</v>
      </c>
      <c r="S91" s="131" t="s">
        <v>66</v>
      </c>
      <c r="T91" s="131" t="s">
        <v>67</v>
      </c>
      <c r="U91" s="131" t="s">
        <v>68</v>
      </c>
      <c r="V91" s="131" t="s">
        <v>69</v>
      </c>
      <c r="W91" s="131" t="s">
        <v>70</v>
      </c>
    </row>
    <row r="92" spans="1:23" x14ac:dyDescent="0.15">
      <c r="C92" s="122">
        <v>40</v>
      </c>
      <c r="D92" s="131">
        <v>6933</v>
      </c>
      <c r="E92" s="131">
        <v>544</v>
      </c>
      <c r="F92" s="131">
        <v>622</v>
      </c>
      <c r="G92" s="131">
        <v>544</v>
      </c>
      <c r="H92" s="131">
        <v>0.77149155033063932</v>
      </c>
      <c r="I92" s="131">
        <v>3555</v>
      </c>
      <c r="J92" s="131">
        <v>1256</v>
      </c>
      <c r="K92" s="131">
        <v>288</v>
      </c>
      <c r="L92" s="131">
        <v>628</v>
      </c>
      <c r="M92" s="131">
        <v>0.87939698492462304</v>
      </c>
      <c r="N92" s="132">
        <v>3555</v>
      </c>
      <c r="O92" s="132">
        <v>920</v>
      </c>
      <c r="P92" s="132">
        <v>288</v>
      </c>
      <c r="Q92" s="132">
        <v>858</v>
      </c>
      <c r="R92" s="132">
        <v>0.87939698492462304</v>
      </c>
      <c r="S92" s="131">
        <v>4666</v>
      </c>
      <c r="T92" s="131">
        <v>754</v>
      </c>
      <c r="U92" s="131">
        <v>495</v>
      </c>
      <c r="V92" s="131">
        <v>628</v>
      </c>
      <c r="W92" s="131">
        <v>0.80924855491329473</v>
      </c>
    </row>
  </sheetData>
  <mergeCells count="13">
    <mergeCell ref="I90:M90"/>
    <mergeCell ref="N90:R90"/>
    <mergeCell ref="S90:W90"/>
    <mergeCell ref="C52:G52"/>
    <mergeCell ref="C57:G57"/>
    <mergeCell ref="C62:G62"/>
    <mergeCell ref="C67:G67"/>
    <mergeCell ref="D90:H90"/>
    <mergeCell ref="C46:G46"/>
    <mergeCell ref="H46:L46"/>
    <mergeCell ref="M46:Q46"/>
    <mergeCell ref="R46:V46"/>
    <mergeCell ref="W46:AA4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workbookViewId="0">
      <selection activeCell="G19" sqref="G19"/>
    </sheetView>
  </sheetViews>
  <sheetFormatPr defaultRowHeight="13.5" x14ac:dyDescent="0.15"/>
  <sheetData>
    <row r="1" spans="2:16" ht="16.5" x14ac:dyDescent="0.15">
      <c r="B1" s="36" t="s">
        <v>64</v>
      </c>
      <c r="C1" s="38"/>
      <c r="D1" s="38"/>
      <c r="E1" s="38"/>
      <c r="F1" s="37"/>
      <c r="H1" s="88" t="s">
        <v>86</v>
      </c>
      <c r="I1" s="122" t="s">
        <v>229</v>
      </c>
      <c r="J1" s="122"/>
      <c r="K1" s="122"/>
      <c r="L1" s="122"/>
      <c r="M1" s="122"/>
      <c r="N1" s="122"/>
      <c r="O1" s="122"/>
      <c r="P1" s="111"/>
    </row>
    <row r="2" spans="2:16" ht="16.5" x14ac:dyDescent="0.15">
      <c r="B2" s="131" t="s">
        <v>66</v>
      </c>
      <c r="C2" s="131" t="s">
        <v>67</v>
      </c>
      <c r="D2" s="131" t="s">
        <v>68</v>
      </c>
      <c r="E2" s="131" t="s">
        <v>69</v>
      </c>
      <c r="F2" s="131" t="s">
        <v>70</v>
      </c>
      <c r="H2" s="88" t="s">
        <v>124</v>
      </c>
      <c r="I2" s="122"/>
      <c r="J2" s="122"/>
      <c r="K2" s="122"/>
      <c r="L2" s="122"/>
      <c r="M2" s="122" t="s">
        <v>81</v>
      </c>
      <c r="N2" s="122"/>
      <c r="O2" s="122" t="s">
        <v>82</v>
      </c>
      <c r="P2" s="111"/>
    </row>
    <row r="3" spans="2:16" ht="16.5" x14ac:dyDescent="0.15">
      <c r="B3" s="131">
        <v>4666</v>
      </c>
      <c r="C3" s="131">
        <v>754</v>
      </c>
      <c r="D3" s="131">
        <v>495</v>
      </c>
      <c r="E3" s="131">
        <v>628</v>
      </c>
      <c r="F3" s="131">
        <v>0.80924855491329473</v>
      </c>
      <c r="I3" s="133" t="s">
        <v>146</v>
      </c>
      <c r="J3" s="133"/>
      <c r="K3" s="133"/>
      <c r="L3" s="133"/>
      <c r="M3" s="134">
        <v>1</v>
      </c>
      <c r="N3" s="133" t="s">
        <v>147</v>
      </c>
      <c r="O3" s="134">
        <v>1.5</v>
      </c>
      <c r="P3" s="111"/>
    </row>
    <row r="4" spans="2:16" ht="16.5" x14ac:dyDescent="0.15">
      <c r="I4" s="133" t="s">
        <v>161</v>
      </c>
      <c r="J4" s="133"/>
      <c r="K4" s="133"/>
      <c r="L4" s="133"/>
      <c r="M4" s="134">
        <v>1</v>
      </c>
      <c r="N4" s="133" t="s">
        <v>147</v>
      </c>
      <c r="O4" s="134">
        <v>1</v>
      </c>
      <c r="P4" s="111"/>
    </row>
    <row r="5" spans="2:16" ht="16.5" x14ac:dyDescent="0.15">
      <c r="I5" s="133" t="s">
        <v>166</v>
      </c>
      <c r="J5" s="133"/>
      <c r="K5" s="134">
        <v>0.2</v>
      </c>
      <c r="L5" s="133"/>
      <c r="M5" s="133" t="s">
        <v>165</v>
      </c>
      <c r="N5" s="133"/>
      <c r="O5" s="134">
        <v>0.25</v>
      </c>
      <c r="P5" s="111"/>
    </row>
    <row r="6" spans="2:16" ht="16.5" x14ac:dyDescent="0.15">
      <c r="I6" s="133" t="s">
        <v>160</v>
      </c>
      <c r="J6" s="134">
        <v>40</v>
      </c>
      <c r="K6" s="133"/>
      <c r="L6" s="133"/>
      <c r="M6" s="133"/>
      <c r="N6" s="133"/>
      <c r="O6" s="133"/>
      <c r="P6" s="111"/>
    </row>
    <row r="7" spans="2:16" ht="16.5" x14ac:dyDescent="0.15">
      <c r="I7" s="133" t="s">
        <v>148</v>
      </c>
      <c r="J7" s="130">
        <f>J10*L9</f>
        <v>2.4588400623052964</v>
      </c>
      <c r="K7" s="133"/>
      <c r="L7" s="133"/>
      <c r="M7" s="133"/>
      <c r="N7" s="133"/>
      <c r="O7" s="133"/>
      <c r="P7" s="111"/>
    </row>
    <row r="8" spans="2:16" ht="16.5" x14ac:dyDescent="0.15">
      <c r="I8" s="122"/>
      <c r="J8" s="133" t="s">
        <v>151</v>
      </c>
      <c r="K8" s="122" t="s">
        <v>154</v>
      </c>
      <c r="L8" s="122" t="s">
        <v>158</v>
      </c>
      <c r="M8" s="122"/>
      <c r="N8" s="122"/>
      <c r="O8" s="122"/>
      <c r="P8" s="111"/>
    </row>
    <row r="9" spans="2:16" ht="16.5" x14ac:dyDescent="0.15">
      <c r="I9" s="122" t="s">
        <v>152</v>
      </c>
      <c r="J9" s="130">
        <f>M3*((技能系数!E4+(J6-1)*技能系数!$D$1)*(J14/(SUM(J14:M14))))+O3*((技能系数!E14+(J6-1)*技能系数!$D$1)*(K14/(SUM(J14:M14))))</f>
        <v>1.7284953271028038</v>
      </c>
      <c r="K9" s="130">
        <f>J9*O14*O5/(1-O5)</f>
        <v>3.168908099688474</v>
      </c>
      <c r="L9" s="130">
        <f>((J9+J11)*O14+K9)/O14</f>
        <v>2.3196604361370721</v>
      </c>
      <c r="M9" s="122"/>
      <c r="N9" s="122"/>
      <c r="O9" s="122"/>
      <c r="P9" s="111"/>
    </row>
    <row r="10" spans="2:16" ht="16.5" x14ac:dyDescent="0.15">
      <c r="I10" s="122" t="s">
        <v>153</v>
      </c>
      <c r="J10" s="130">
        <f>技能系数!$C$38*(M14/(SUM(J14:M14)))+1</f>
        <v>1.06</v>
      </c>
      <c r="K10" s="122"/>
      <c r="L10" s="122"/>
      <c r="M10" s="122"/>
      <c r="N10" s="122"/>
      <c r="O10" s="122"/>
      <c r="P10" s="111"/>
    </row>
    <row r="11" spans="2:16" ht="16.5" x14ac:dyDescent="0.15">
      <c r="I11" s="122" t="s">
        <v>230</v>
      </c>
      <c r="J11" s="130">
        <f>L14*技能系数!D26*技能系数!E26</f>
        <v>1.5000000000000003E-2</v>
      </c>
      <c r="K11" s="122"/>
      <c r="L11" s="122"/>
      <c r="M11" s="122"/>
      <c r="N11" s="122"/>
      <c r="O11" s="122"/>
      <c r="P11" s="111"/>
    </row>
    <row r="12" spans="2:16" ht="16.5" x14ac:dyDescent="0.15">
      <c r="I12" s="122"/>
      <c r="J12" s="57" t="s">
        <v>108</v>
      </c>
      <c r="K12" s="57"/>
      <c r="L12" s="57"/>
      <c r="M12" s="57"/>
      <c r="N12" s="60"/>
      <c r="O12" s="122"/>
      <c r="P12" s="111"/>
    </row>
    <row r="13" spans="2:16" ht="16.5" x14ac:dyDescent="0.15">
      <c r="I13" s="122"/>
      <c r="J13" s="129" t="s">
        <v>103</v>
      </c>
      <c r="K13" s="129" t="s">
        <v>104</v>
      </c>
      <c r="L13" s="129" t="s">
        <v>105</v>
      </c>
      <c r="M13" s="129" t="s">
        <v>106</v>
      </c>
      <c r="N13" s="129" t="s">
        <v>149</v>
      </c>
      <c r="O13" s="129" t="s">
        <v>109</v>
      </c>
      <c r="P13" s="111"/>
    </row>
    <row r="14" spans="2:16" ht="16.5" x14ac:dyDescent="0.15">
      <c r="I14" s="122"/>
      <c r="J14" s="128">
        <v>0.1</v>
      </c>
      <c r="K14" s="128">
        <v>0.8</v>
      </c>
      <c r="L14" s="128">
        <v>0.05</v>
      </c>
      <c r="M14" s="128">
        <v>0.05</v>
      </c>
      <c r="N14" s="128">
        <v>1</v>
      </c>
      <c r="O14" s="120">
        <f>(10+N14)/2</f>
        <v>5.5</v>
      </c>
      <c r="P14" s="111"/>
    </row>
    <row r="15" spans="2:16" ht="16.5" x14ac:dyDescent="0.15">
      <c r="I15" s="122"/>
      <c r="J15" s="122"/>
      <c r="K15" s="122"/>
      <c r="L15" s="122"/>
      <c r="M15" s="122"/>
      <c r="N15" s="122"/>
      <c r="O15" s="122"/>
      <c r="P15" s="111"/>
    </row>
    <row r="16" spans="2:16" ht="16.5" x14ac:dyDescent="0.15">
      <c r="I16" s="122" t="s">
        <v>155</v>
      </c>
      <c r="J16" s="122"/>
      <c r="K16" s="122"/>
      <c r="L16" s="122"/>
      <c r="M16" s="122"/>
      <c r="N16" s="122"/>
      <c r="O16" s="122"/>
      <c r="P16" s="111"/>
    </row>
    <row r="17" spans="9:16" ht="16.5" x14ac:dyDescent="0.15">
      <c r="I17" s="122"/>
      <c r="J17" s="122" t="s">
        <v>227</v>
      </c>
      <c r="K17" s="122" t="s">
        <v>228</v>
      </c>
      <c r="L17" s="122" t="s">
        <v>231</v>
      </c>
      <c r="M17" s="122"/>
      <c r="N17" s="122"/>
      <c r="O17" s="122"/>
      <c r="P17" s="111"/>
    </row>
    <row r="18" spans="9:16" ht="16.5" x14ac:dyDescent="0.15">
      <c r="I18" s="122"/>
      <c r="J18" s="122">
        <f>K9/K18*L18</f>
        <v>0.79222702492211849</v>
      </c>
      <c r="K18" s="133">
        <v>3</v>
      </c>
      <c r="L18" s="128">
        <v>0.75</v>
      </c>
      <c r="M18" s="122"/>
      <c r="N18" s="122"/>
      <c r="O18" s="122"/>
      <c r="P18" s="111"/>
    </row>
    <row r="19" spans="9:16" ht="16.5" x14ac:dyDescent="0.15">
      <c r="I19" s="122"/>
      <c r="J19" s="122"/>
      <c r="K19" s="122"/>
      <c r="L19" s="122"/>
      <c r="M19" s="122"/>
      <c r="N19" s="122"/>
      <c r="O19" s="122"/>
      <c r="P19" s="111"/>
    </row>
    <row r="20" spans="9:16" ht="16.5" x14ac:dyDescent="0.15">
      <c r="I20" s="122" t="s">
        <v>84</v>
      </c>
      <c r="J20" s="130">
        <f>C3/L9*M3</f>
        <v>325.04757517683726</v>
      </c>
      <c r="K20" s="122"/>
      <c r="L20" s="122"/>
      <c r="M20" s="122"/>
      <c r="N20" s="122"/>
      <c r="O20" s="122"/>
      <c r="P20" s="111"/>
    </row>
    <row r="21" spans="9:16" ht="16.5" x14ac:dyDescent="0.15">
      <c r="I21" s="133" t="s">
        <v>82</v>
      </c>
      <c r="J21" s="130">
        <f>C3*(1-J11)/L9*O3</f>
        <v>480.25779232377698</v>
      </c>
      <c r="K21" s="122"/>
      <c r="L21" s="122"/>
      <c r="M21" s="122"/>
      <c r="N21" s="122"/>
      <c r="O21" s="122"/>
      <c r="P21" s="111"/>
    </row>
    <row r="22" spans="9:16" ht="16.5" x14ac:dyDescent="0.15">
      <c r="I22" s="122" t="s">
        <v>159</v>
      </c>
      <c r="J22" s="130">
        <f>B3/J10</f>
        <v>4401.8867924528304</v>
      </c>
      <c r="K22" s="122"/>
      <c r="L22" s="122"/>
      <c r="M22" s="122"/>
      <c r="N22" s="122"/>
      <c r="O22" s="122"/>
      <c r="P22" s="111"/>
    </row>
  </sheetData>
  <mergeCells count="2">
    <mergeCell ref="B1:F1"/>
    <mergeCell ref="J12:M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workbookViewId="0">
      <selection activeCell="J11" sqref="J11"/>
    </sheetView>
  </sheetViews>
  <sheetFormatPr defaultRowHeight="13.5" x14ac:dyDescent="0.15"/>
  <sheetData>
    <row r="1" spans="2:15" ht="16.5" x14ac:dyDescent="0.15">
      <c r="B1" s="36" t="s">
        <v>64</v>
      </c>
      <c r="C1" s="38"/>
      <c r="D1" s="38"/>
      <c r="E1" s="38"/>
      <c r="F1" s="37"/>
      <c r="I1" s="122" t="s">
        <v>224</v>
      </c>
      <c r="J1" s="122"/>
      <c r="K1" s="122"/>
      <c r="L1" s="122"/>
      <c r="M1" s="122"/>
      <c r="N1" s="122"/>
      <c r="O1" s="122"/>
    </row>
    <row r="2" spans="2:15" ht="16.5" x14ac:dyDescent="0.15">
      <c r="B2" s="131" t="s">
        <v>66</v>
      </c>
      <c r="C2" s="131" t="s">
        <v>67</v>
      </c>
      <c r="D2" s="131" t="s">
        <v>68</v>
      </c>
      <c r="E2" s="131" t="s">
        <v>69</v>
      </c>
      <c r="F2" s="131" t="s">
        <v>70</v>
      </c>
      <c r="I2" s="122"/>
      <c r="J2" s="122"/>
      <c r="K2" s="122"/>
      <c r="L2" s="122"/>
      <c r="M2" s="122" t="s">
        <v>81</v>
      </c>
      <c r="N2" s="122"/>
      <c r="O2" s="122" t="s">
        <v>82</v>
      </c>
    </row>
    <row r="3" spans="2:15" ht="16.5" x14ac:dyDescent="0.15">
      <c r="B3" s="131">
        <v>4666</v>
      </c>
      <c r="C3" s="131">
        <v>754</v>
      </c>
      <c r="D3" s="131">
        <v>495</v>
      </c>
      <c r="E3" s="131">
        <v>628</v>
      </c>
      <c r="F3" s="131">
        <v>0.80924855491329473</v>
      </c>
      <c r="I3" s="133" t="s">
        <v>146</v>
      </c>
      <c r="J3" s="133"/>
      <c r="K3" s="133"/>
      <c r="L3" s="133"/>
      <c r="M3" s="134">
        <v>1</v>
      </c>
      <c r="N3" s="133" t="s">
        <v>147</v>
      </c>
      <c r="O3" s="134">
        <v>1.5</v>
      </c>
    </row>
    <row r="4" spans="2:15" ht="16.5" x14ac:dyDescent="0.15">
      <c r="I4" s="133" t="s">
        <v>161</v>
      </c>
      <c r="J4" s="133"/>
      <c r="K4" s="133"/>
      <c r="L4" s="133"/>
      <c r="M4" s="134">
        <v>1</v>
      </c>
      <c r="N4" s="133" t="s">
        <v>147</v>
      </c>
      <c r="O4" s="134">
        <v>1</v>
      </c>
    </row>
    <row r="5" spans="2:15" ht="16.5" x14ac:dyDescent="0.15">
      <c r="I5" s="133" t="s">
        <v>166</v>
      </c>
      <c r="J5" s="133"/>
      <c r="K5" s="134">
        <v>0.2</v>
      </c>
      <c r="L5" s="133"/>
      <c r="M5" s="133" t="s">
        <v>165</v>
      </c>
      <c r="N5" s="133"/>
      <c r="O5" s="134">
        <v>0.25</v>
      </c>
    </row>
    <row r="6" spans="2:15" ht="16.5" x14ac:dyDescent="0.15">
      <c r="I6" s="133" t="s">
        <v>160</v>
      </c>
      <c r="J6" s="134">
        <v>40</v>
      </c>
      <c r="K6" s="133"/>
      <c r="L6" s="133"/>
      <c r="M6" s="133"/>
      <c r="N6" s="133"/>
      <c r="O6" s="133"/>
    </row>
    <row r="7" spans="2:15" ht="16.5" x14ac:dyDescent="0.15">
      <c r="I7" s="133" t="s">
        <v>148</v>
      </c>
      <c r="J7" s="130">
        <f>J10*L9</f>
        <v>2.5566308411214957</v>
      </c>
      <c r="K7" s="133"/>
      <c r="L7" s="133"/>
      <c r="M7" s="133"/>
      <c r="N7" s="133"/>
      <c r="O7" s="133"/>
    </row>
    <row r="8" spans="2:15" ht="16.5" x14ac:dyDescent="0.15">
      <c r="I8" s="122"/>
      <c r="J8" s="133" t="s">
        <v>151</v>
      </c>
      <c r="K8" s="122" t="s">
        <v>154</v>
      </c>
      <c r="L8" s="122" t="s">
        <v>158</v>
      </c>
      <c r="M8" s="122"/>
      <c r="N8" s="122"/>
      <c r="O8" s="122"/>
    </row>
    <row r="9" spans="2:15" ht="16.5" x14ac:dyDescent="0.15">
      <c r="I9" s="122" t="s">
        <v>152</v>
      </c>
      <c r="J9" s="130">
        <f>M3*((技能系数!E5+(J6-1)*技能系数!$D$1)*(J14/(SUM(J14:M14))))+O3*((技能系数!E14+(J6-1)*技能系数!$D$1)*(K14/(SUM(J14:M14))))</f>
        <v>0.35768691588785051</v>
      </c>
      <c r="K9" s="130">
        <f>(J9+J11)*O14*O5/(1-O5)</f>
        <v>3.3163843457943929</v>
      </c>
      <c r="L9" s="130">
        <f>((J9+J11)*O14+K9)/O14</f>
        <v>2.4119158878504674</v>
      </c>
      <c r="M9" s="122"/>
      <c r="N9" s="122"/>
      <c r="O9" s="122"/>
    </row>
    <row r="10" spans="2:15" ht="16.5" x14ac:dyDescent="0.15">
      <c r="I10" s="122" t="s">
        <v>153</v>
      </c>
      <c r="J10" s="130">
        <f>技能系数!$C$38*(M14/(SUM(J14:M14)))+1</f>
        <v>1.06</v>
      </c>
      <c r="K10" s="122"/>
      <c r="L10" s="122"/>
      <c r="M10" s="122"/>
      <c r="N10" s="122"/>
      <c r="O10" s="122"/>
    </row>
    <row r="11" spans="2:15" ht="16.5" x14ac:dyDescent="0.15">
      <c r="I11" s="122" t="s">
        <v>185</v>
      </c>
      <c r="J11" s="130">
        <f>O3*技能系数!D36*((技能系数!C36+(J6-1)*技能系数!$D$1/3)*(L14/(SUM(J14:M14))))</f>
        <v>1.4512499999999999</v>
      </c>
      <c r="K11" s="122"/>
      <c r="L11" s="122"/>
      <c r="M11" s="122"/>
      <c r="N11" s="122"/>
      <c r="O11" s="122"/>
    </row>
    <row r="12" spans="2:15" ht="16.5" x14ac:dyDescent="0.15">
      <c r="I12" s="122"/>
      <c r="J12" s="57" t="s">
        <v>108</v>
      </c>
      <c r="K12" s="57"/>
      <c r="L12" s="57"/>
      <c r="M12" s="57"/>
      <c r="N12" s="60"/>
      <c r="O12" s="122"/>
    </row>
    <row r="13" spans="2:15" ht="16.5" x14ac:dyDescent="0.15">
      <c r="I13" s="122"/>
      <c r="J13" s="129" t="s">
        <v>103</v>
      </c>
      <c r="K13" s="129" t="s">
        <v>104</v>
      </c>
      <c r="L13" s="129" t="s">
        <v>105</v>
      </c>
      <c r="M13" s="129" t="s">
        <v>106</v>
      </c>
      <c r="N13" s="129" t="s">
        <v>149</v>
      </c>
      <c r="O13" s="129" t="s">
        <v>109</v>
      </c>
    </row>
    <row r="14" spans="2:15" ht="16.5" x14ac:dyDescent="0.15">
      <c r="I14" s="122"/>
      <c r="J14" s="128">
        <v>0.1</v>
      </c>
      <c r="K14" s="128">
        <v>0.1</v>
      </c>
      <c r="L14" s="128">
        <v>0.75</v>
      </c>
      <c r="M14" s="128">
        <v>0.05</v>
      </c>
      <c r="N14" s="128">
        <v>1</v>
      </c>
      <c r="O14" s="120">
        <f>(10+N14)/2</f>
        <v>5.5</v>
      </c>
    </row>
    <row r="15" spans="2:15" ht="16.5" x14ac:dyDescent="0.15">
      <c r="I15" s="122"/>
      <c r="J15" s="122"/>
      <c r="K15" s="122"/>
      <c r="L15" s="122"/>
      <c r="M15" s="122"/>
      <c r="N15" s="122"/>
      <c r="O15" s="122"/>
    </row>
    <row r="16" spans="2:15" ht="16.5" x14ac:dyDescent="0.15">
      <c r="I16" s="122" t="s">
        <v>155</v>
      </c>
      <c r="J16" s="122"/>
      <c r="K16" s="122"/>
      <c r="L16" s="122"/>
      <c r="M16" s="122"/>
      <c r="N16" s="122"/>
      <c r="O16" s="122"/>
    </row>
    <row r="17" spans="9:15" ht="16.5" x14ac:dyDescent="0.15">
      <c r="I17" s="122"/>
      <c r="J17" s="122" t="s">
        <v>226</v>
      </c>
      <c r="K17" s="122"/>
      <c r="L17" s="122"/>
      <c r="M17" s="122"/>
      <c r="N17" s="122"/>
      <c r="O17" s="122"/>
    </row>
    <row r="18" spans="9:15" ht="16.5" x14ac:dyDescent="0.15">
      <c r="I18" s="122"/>
      <c r="J18" s="122"/>
      <c r="K18" s="133"/>
      <c r="L18" s="128"/>
      <c r="M18" s="122"/>
      <c r="N18" s="122"/>
      <c r="O18" s="122"/>
    </row>
    <row r="19" spans="9:15" ht="16.5" x14ac:dyDescent="0.15">
      <c r="I19" s="122"/>
      <c r="J19" s="122"/>
      <c r="K19" s="122"/>
      <c r="L19" s="122"/>
      <c r="M19" s="122"/>
      <c r="N19" s="122"/>
      <c r="O19" s="122"/>
    </row>
    <row r="20" spans="9:15" ht="16.5" x14ac:dyDescent="0.15">
      <c r="I20" s="122" t="s">
        <v>84</v>
      </c>
      <c r="J20" s="130">
        <f>C3/L9*M3</f>
        <v>312.61455003390483</v>
      </c>
      <c r="K20" s="122"/>
      <c r="L20" s="122"/>
      <c r="M20" s="122"/>
      <c r="N20" s="122"/>
      <c r="O20" s="122"/>
    </row>
    <row r="21" spans="9:15" ht="16.5" x14ac:dyDescent="0.15">
      <c r="I21" s="133" t="s">
        <v>82</v>
      </c>
      <c r="J21" s="130">
        <f>C3/L9*O3</f>
        <v>468.92182505085725</v>
      </c>
      <c r="K21" s="122"/>
      <c r="L21" s="122"/>
      <c r="M21" s="122"/>
      <c r="N21" s="122"/>
      <c r="O21" s="122"/>
    </row>
    <row r="22" spans="9:15" ht="16.5" x14ac:dyDescent="0.15">
      <c r="I22" s="122" t="s">
        <v>159</v>
      </c>
      <c r="J22" s="130">
        <f>B3/J10</f>
        <v>4401.8867924528304</v>
      </c>
      <c r="K22" s="122"/>
      <c r="L22" s="122"/>
      <c r="M22" s="122"/>
      <c r="N22" s="122"/>
      <c r="O22" s="122"/>
    </row>
  </sheetData>
  <mergeCells count="2">
    <mergeCell ref="B1:F1"/>
    <mergeCell ref="J12:M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workbookViewId="0">
      <selection activeCell="M20" sqref="M20"/>
    </sheetView>
  </sheetViews>
  <sheetFormatPr defaultRowHeight="13.5" x14ac:dyDescent="0.15"/>
  <sheetData>
    <row r="1" spans="2:16" ht="16.5" x14ac:dyDescent="0.15">
      <c r="B1" s="36" t="s">
        <v>64</v>
      </c>
      <c r="C1" s="38"/>
      <c r="D1" s="38"/>
      <c r="E1" s="38"/>
      <c r="F1" s="37"/>
      <c r="I1" s="122" t="s">
        <v>220</v>
      </c>
      <c r="J1" s="122"/>
      <c r="K1" s="122"/>
      <c r="L1" s="122"/>
      <c r="M1" s="122"/>
      <c r="N1" s="122"/>
      <c r="O1" s="122"/>
      <c r="P1" s="111"/>
    </row>
    <row r="2" spans="2:16" ht="16.5" x14ac:dyDescent="0.15">
      <c r="B2" s="131" t="s">
        <v>66</v>
      </c>
      <c r="C2" s="131" t="s">
        <v>67</v>
      </c>
      <c r="D2" s="131" t="s">
        <v>68</v>
      </c>
      <c r="E2" s="131" t="s">
        <v>69</v>
      </c>
      <c r="F2" s="131" t="s">
        <v>70</v>
      </c>
      <c r="I2" s="122"/>
      <c r="J2" s="122"/>
      <c r="K2" s="122"/>
      <c r="L2" s="122"/>
      <c r="M2" s="122" t="s">
        <v>81</v>
      </c>
      <c r="N2" s="122"/>
      <c r="O2" s="122" t="s">
        <v>174</v>
      </c>
      <c r="P2" s="111"/>
    </row>
    <row r="3" spans="2:16" ht="16.5" x14ac:dyDescent="0.15">
      <c r="B3" s="131">
        <v>4666</v>
      </c>
      <c r="C3" s="131">
        <v>754</v>
      </c>
      <c r="D3" s="131">
        <v>495</v>
      </c>
      <c r="E3" s="131">
        <v>628</v>
      </c>
      <c r="F3" s="131">
        <v>0.80924855491329473</v>
      </c>
      <c r="I3" s="133" t="s">
        <v>146</v>
      </c>
      <c r="J3" s="133"/>
      <c r="K3" s="133"/>
      <c r="L3" s="133"/>
      <c r="M3" s="134">
        <v>1</v>
      </c>
      <c r="N3" s="133" t="s">
        <v>147</v>
      </c>
      <c r="O3" s="134">
        <v>1.5</v>
      </c>
      <c r="P3" s="111"/>
    </row>
    <row r="4" spans="2:16" ht="16.5" x14ac:dyDescent="0.15">
      <c r="I4" s="133" t="s">
        <v>161</v>
      </c>
      <c r="J4" s="133"/>
      <c r="K4" s="133"/>
      <c r="L4" s="133"/>
      <c r="M4" s="134">
        <v>1</v>
      </c>
      <c r="N4" s="133" t="s">
        <v>147</v>
      </c>
      <c r="O4" s="134">
        <v>1</v>
      </c>
      <c r="P4" s="111"/>
    </row>
    <row r="5" spans="2:16" ht="16.5" x14ac:dyDescent="0.15">
      <c r="I5" s="133" t="s">
        <v>150</v>
      </c>
      <c r="J5" s="133"/>
      <c r="K5" s="134">
        <v>0.2</v>
      </c>
      <c r="L5" s="133"/>
      <c r="M5" s="133"/>
      <c r="N5" s="133"/>
      <c r="O5" s="133"/>
      <c r="P5" s="111"/>
    </row>
    <row r="6" spans="2:16" ht="16.5" x14ac:dyDescent="0.15">
      <c r="I6" s="133" t="s">
        <v>160</v>
      </c>
      <c r="J6" s="134">
        <v>40</v>
      </c>
      <c r="K6" s="133"/>
      <c r="L6" s="133"/>
      <c r="M6" s="133"/>
      <c r="N6" s="133"/>
      <c r="O6" s="133"/>
      <c r="P6" s="111"/>
    </row>
    <row r="7" spans="2:16" ht="16.5" x14ac:dyDescent="0.15">
      <c r="I7" s="133" t="s">
        <v>148</v>
      </c>
      <c r="J7" s="130">
        <f>J10*L9</f>
        <v>1.606574599465955</v>
      </c>
      <c r="K7" s="133"/>
      <c r="L7" s="133"/>
      <c r="M7" s="133"/>
      <c r="N7" s="133"/>
      <c r="O7" s="133"/>
      <c r="P7" s="111"/>
    </row>
    <row r="8" spans="2:16" ht="16.5" x14ac:dyDescent="0.15">
      <c r="I8" s="122"/>
      <c r="J8" s="133" t="s">
        <v>151</v>
      </c>
      <c r="K8" s="122" t="s">
        <v>154</v>
      </c>
      <c r="L8" s="122" t="s">
        <v>158</v>
      </c>
      <c r="M8" s="122"/>
      <c r="N8" s="122"/>
      <c r="O8" s="122"/>
      <c r="P8" s="111"/>
    </row>
    <row r="9" spans="2:16" ht="16.5" x14ac:dyDescent="0.15">
      <c r="I9" s="122" t="s">
        <v>152</v>
      </c>
      <c r="J9" s="130">
        <f>M3*((技能系数!E4+(J6-1)*技能系数!$D$1)*(J14/(SUM(J14:M14))))+((K14/(SUM(J14:M14)))*(技能系数!E15+(J6-1)*技能系数!$D$1))*O3</f>
        <v>1.097172897196262</v>
      </c>
      <c r="K9" s="130">
        <f>J9*O14*K5/(1-K5)</f>
        <v>1.5086127336448603</v>
      </c>
      <c r="L9" s="130">
        <f>(J9*O14+K9)/O14</f>
        <v>1.3714661214953274</v>
      </c>
      <c r="M9" s="122"/>
      <c r="N9" s="122"/>
      <c r="O9" s="122"/>
      <c r="P9" s="111"/>
    </row>
    <row r="10" spans="2:16" ht="16.5" x14ac:dyDescent="0.15">
      <c r="I10" s="122" t="s">
        <v>153</v>
      </c>
      <c r="J10" s="130">
        <f>(技能系数!$C$38*(M14/(SUM(J14:M14)-L14)))+1</f>
        <v>1.1714285714285715</v>
      </c>
      <c r="K10" s="122"/>
      <c r="L10" s="122"/>
      <c r="M10" s="122"/>
      <c r="N10" s="122"/>
      <c r="O10" s="122"/>
      <c r="P10" s="111"/>
    </row>
    <row r="11" spans="2:16" s="111" customFormat="1" ht="16.5" x14ac:dyDescent="0.15">
      <c r="I11" s="122" t="s">
        <v>221</v>
      </c>
      <c r="J11" s="130">
        <f>L14*技能系数!E28*技能系数!D27</f>
        <v>9.0000000000000011E-2</v>
      </c>
      <c r="K11" s="122"/>
      <c r="L11" s="122"/>
      <c r="M11" s="122"/>
      <c r="N11" s="122"/>
      <c r="O11" s="122"/>
    </row>
    <row r="12" spans="2:16" ht="16.5" x14ac:dyDescent="0.15">
      <c r="J12" s="57" t="s">
        <v>108</v>
      </c>
      <c r="K12" s="57"/>
      <c r="L12" s="57"/>
      <c r="M12" s="57"/>
      <c r="N12" s="60"/>
      <c r="O12" s="122"/>
      <c r="P12" s="111"/>
    </row>
    <row r="13" spans="2:16" ht="16.5" x14ac:dyDescent="0.15">
      <c r="I13" s="122"/>
      <c r="J13" s="129" t="s">
        <v>103</v>
      </c>
      <c r="K13" s="129" t="s">
        <v>104</v>
      </c>
      <c r="L13" s="129" t="s">
        <v>105</v>
      </c>
      <c r="M13" s="129" t="s">
        <v>106</v>
      </c>
      <c r="N13" s="129" t="s">
        <v>149</v>
      </c>
      <c r="O13" s="129" t="s">
        <v>109</v>
      </c>
      <c r="P13" s="111"/>
    </row>
    <row r="14" spans="2:16" ht="16.5" x14ac:dyDescent="0.15">
      <c r="I14" s="122"/>
      <c r="J14" s="120">
        <v>0.3</v>
      </c>
      <c r="K14" s="120">
        <v>0.3</v>
      </c>
      <c r="L14" s="120">
        <v>0.3</v>
      </c>
      <c r="M14" s="120">
        <v>0.1</v>
      </c>
      <c r="N14" s="128">
        <v>1</v>
      </c>
      <c r="O14" s="120">
        <f>(10+N14)/2</f>
        <v>5.5</v>
      </c>
      <c r="P14" s="111"/>
    </row>
    <row r="15" spans="2:16" ht="16.5" x14ac:dyDescent="0.15">
      <c r="I15" s="122"/>
      <c r="J15" s="122"/>
      <c r="K15" s="122"/>
      <c r="L15" s="122"/>
      <c r="M15" s="122"/>
      <c r="N15" s="122"/>
      <c r="O15" s="122"/>
      <c r="P15" s="111"/>
    </row>
    <row r="16" spans="2:16" ht="16.5" x14ac:dyDescent="0.15">
      <c r="I16" s="122" t="s">
        <v>155</v>
      </c>
      <c r="J16" s="122"/>
      <c r="K16" s="122"/>
      <c r="L16" s="122"/>
      <c r="M16" s="122"/>
      <c r="N16" s="122"/>
      <c r="O16" s="122"/>
      <c r="P16" s="111"/>
    </row>
    <row r="17" spans="9:16" ht="16.5" x14ac:dyDescent="0.15">
      <c r="I17" s="122"/>
      <c r="J17" s="122" t="s">
        <v>156</v>
      </c>
      <c r="K17" s="122" t="s">
        <v>157</v>
      </c>
      <c r="L17" s="122"/>
      <c r="M17" s="122"/>
      <c r="N17" s="122"/>
      <c r="O17" s="122"/>
      <c r="P17" s="111"/>
    </row>
    <row r="18" spans="9:16" ht="16.5" x14ac:dyDescent="0.15">
      <c r="I18" s="122"/>
      <c r="J18" s="122">
        <v>3</v>
      </c>
      <c r="K18" s="130">
        <f>(K9-M18)/J18</f>
        <v>0.50287091121495342</v>
      </c>
      <c r="L18" s="122"/>
      <c r="M18" s="122"/>
      <c r="N18" s="122"/>
      <c r="O18" s="122"/>
      <c r="P18" s="111"/>
    </row>
    <row r="19" spans="9:16" ht="16.5" x14ac:dyDescent="0.15">
      <c r="I19" s="122"/>
      <c r="L19" s="122"/>
      <c r="M19" s="122"/>
      <c r="N19" s="122"/>
      <c r="O19" s="122"/>
      <c r="P19" s="111"/>
    </row>
    <row r="20" spans="9:16" ht="16.5" x14ac:dyDescent="0.15">
      <c r="I20" s="122"/>
      <c r="L20" s="122"/>
      <c r="M20" s="122"/>
      <c r="N20" s="122"/>
      <c r="O20" s="122"/>
      <c r="P20" s="111"/>
    </row>
    <row r="21" spans="9:16" s="111" customFormat="1" ht="16.5" x14ac:dyDescent="0.15">
      <c r="I21" s="122" t="s">
        <v>223</v>
      </c>
      <c r="J21" s="122">
        <v>3</v>
      </c>
      <c r="K21" s="133"/>
      <c r="L21" s="122"/>
      <c r="M21" s="122"/>
      <c r="N21" s="122"/>
      <c r="O21" s="122"/>
    </row>
    <row r="22" spans="9:16" ht="16.5" x14ac:dyDescent="0.15">
      <c r="I22" s="122" t="s">
        <v>223</v>
      </c>
      <c r="J22" s="122">
        <f>J11*J21</f>
        <v>0.27</v>
      </c>
      <c r="K22" s="122"/>
      <c r="L22" s="122"/>
      <c r="M22" s="122"/>
      <c r="N22" s="122"/>
      <c r="O22" s="122"/>
      <c r="P22" s="111"/>
    </row>
    <row r="23" spans="9:16" ht="16.5" x14ac:dyDescent="0.15">
      <c r="I23" s="122" t="s">
        <v>84</v>
      </c>
      <c r="J23" s="130">
        <f>C3*(1-J22)/L9*M3</f>
        <v>401.33692795843172</v>
      </c>
      <c r="K23" s="122"/>
      <c r="L23" s="122"/>
      <c r="M23" s="122"/>
      <c r="N23" s="122"/>
      <c r="O23" s="122"/>
      <c r="P23" s="111"/>
    </row>
    <row r="24" spans="9:16" ht="16.5" x14ac:dyDescent="0.15">
      <c r="I24" s="122" t="s">
        <v>82</v>
      </c>
      <c r="J24" s="130">
        <f>C3*(1-J22)/L9*O3</f>
        <v>602.00539193764757</v>
      </c>
      <c r="K24" s="122"/>
      <c r="L24" s="122"/>
      <c r="M24" s="122"/>
      <c r="N24" s="122"/>
      <c r="O24" s="122"/>
      <c r="P24" s="111"/>
    </row>
    <row r="25" spans="9:16" ht="16.5" x14ac:dyDescent="0.15">
      <c r="I25" s="122" t="s">
        <v>159</v>
      </c>
      <c r="J25" s="130">
        <f>B3/J10</f>
        <v>3983.1707317073169</v>
      </c>
      <c r="K25" s="122"/>
      <c r="L25" s="122"/>
      <c r="M25" s="122"/>
      <c r="N25" s="122"/>
      <c r="O25" s="122"/>
      <c r="P25" s="111"/>
    </row>
    <row r="26" spans="9:16" x14ac:dyDescent="0.15">
      <c r="I26" s="111"/>
      <c r="J26" s="111"/>
      <c r="K26" s="111"/>
      <c r="L26" s="111"/>
      <c r="M26" s="111"/>
      <c r="N26" s="111"/>
      <c r="O26" s="111"/>
      <c r="P26" s="111"/>
    </row>
  </sheetData>
  <mergeCells count="2">
    <mergeCell ref="B1:F1"/>
    <mergeCell ref="J12:M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workbookViewId="0">
      <selection activeCell="K21" sqref="K21"/>
    </sheetView>
  </sheetViews>
  <sheetFormatPr defaultRowHeight="13.5" x14ac:dyDescent="0.15"/>
  <sheetData>
    <row r="1" spans="2:15" ht="16.5" x14ac:dyDescent="0.15">
      <c r="B1" s="36" t="s">
        <v>62</v>
      </c>
      <c r="C1" s="38"/>
      <c r="D1" s="38"/>
      <c r="E1" s="38"/>
      <c r="F1" s="37"/>
      <c r="G1" s="111"/>
      <c r="H1" s="111"/>
      <c r="I1" s="122" t="s">
        <v>214</v>
      </c>
      <c r="J1" s="122"/>
      <c r="K1" s="122"/>
      <c r="L1" s="122"/>
      <c r="M1" s="122"/>
      <c r="N1" s="122"/>
      <c r="O1" s="122"/>
    </row>
    <row r="2" spans="2:15" ht="16.5" x14ac:dyDescent="0.15">
      <c r="B2" s="131" t="s">
        <v>66</v>
      </c>
      <c r="C2" s="131" t="s">
        <v>67</v>
      </c>
      <c r="D2" s="131" t="s">
        <v>68</v>
      </c>
      <c r="E2" s="131" t="s">
        <v>69</v>
      </c>
      <c r="F2" s="131" t="s">
        <v>70</v>
      </c>
      <c r="G2" s="111"/>
      <c r="H2" s="111"/>
      <c r="I2" s="122"/>
      <c r="J2" s="122"/>
      <c r="K2" s="122"/>
      <c r="L2" s="122"/>
      <c r="M2" s="122" t="s">
        <v>81</v>
      </c>
      <c r="N2" s="122"/>
      <c r="O2" s="122" t="s">
        <v>174</v>
      </c>
    </row>
    <row r="3" spans="2:15" ht="16.5" x14ac:dyDescent="0.15">
      <c r="B3" s="131">
        <v>3555</v>
      </c>
      <c r="C3" s="131">
        <v>1256</v>
      </c>
      <c r="D3" s="131">
        <v>288</v>
      </c>
      <c r="E3" s="131">
        <v>628</v>
      </c>
      <c r="F3" s="131">
        <v>0.87939698492462304</v>
      </c>
      <c r="G3" s="111"/>
      <c r="H3" s="111"/>
      <c r="I3" s="133" t="s">
        <v>146</v>
      </c>
      <c r="J3" s="133"/>
      <c r="K3" s="133"/>
      <c r="L3" s="133"/>
      <c r="M3" s="134">
        <v>1</v>
      </c>
      <c r="N3" s="133" t="s">
        <v>147</v>
      </c>
      <c r="O3" s="134">
        <v>2</v>
      </c>
    </row>
    <row r="4" spans="2:15" ht="16.5" x14ac:dyDescent="0.15">
      <c r="B4" s="111"/>
      <c r="C4" s="111"/>
      <c r="D4" s="111"/>
      <c r="E4" s="111"/>
      <c r="F4" s="111"/>
      <c r="G4" s="111"/>
      <c r="H4" s="111"/>
      <c r="I4" s="133" t="s">
        <v>161</v>
      </c>
      <c r="J4" s="133"/>
      <c r="K4" s="133"/>
      <c r="L4" s="133"/>
      <c r="M4" s="134">
        <v>1</v>
      </c>
      <c r="N4" s="133" t="s">
        <v>147</v>
      </c>
      <c r="O4" s="134">
        <v>1</v>
      </c>
    </row>
    <row r="5" spans="2:15" ht="16.5" x14ac:dyDescent="0.15">
      <c r="B5" s="111"/>
      <c r="C5" s="111"/>
      <c r="D5" s="111"/>
      <c r="E5" s="111"/>
      <c r="F5" s="111"/>
      <c r="G5" s="111"/>
      <c r="H5" s="111"/>
      <c r="I5" s="133" t="s">
        <v>150</v>
      </c>
      <c r="J5" s="133"/>
      <c r="K5" s="134">
        <v>0.2</v>
      </c>
      <c r="L5" s="133"/>
      <c r="M5" s="133"/>
      <c r="N5" s="133"/>
      <c r="O5" s="133"/>
    </row>
    <row r="6" spans="2:15" ht="16.5" x14ac:dyDescent="0.15">
      <c r="B6" s="111"/>
      <c r="C6" s="111"/>
      <c r="D6" s="111"/>
      <c r="E6" s="111"/>
      <c r="F6" s="111"/>
      <c r="G6" s="111"/>
      <c r="H6" s="111"/>
      <c r="I6" s="133" t="s">
        <v>160</v>
      </c>
      <c r="J6" s="134">
        <v>40</v>
      </c>
      <c r="K6" s="133"/>
      <c r="L6" s="133"/>
      <c r="M6" s="133"/>
      <c r="N6" s="133"/>
      <c r="O6" s="133"/>
    </row>
    <row r="7" spans="2:15" ht="16.5" x14ac:dyDescent="0.15">
      <c r="B7" s="111"/>
      <c r="C7" s="111"/>
      <c r="D7" s="111"/>
      <c r="E7" s="111"/>
      <c r="F7" s="111"/>
      <c r="G7" s="111"/>
      <c r="H7" s="111"/>
      <c r="I7" s="133" t="s">
        <v>148</v>
      </c>
      <c r="J7" s="130">
        <f>J10*L9</f>
        <v>3.9958760711419474</v>
      </c>
      <c r="K7" s="133"/>
      <c r="L7" s="133"/>
      <c r="M7" s="133"/>
      <c r="N7" s="133"/>
      <c r="O7" s="133"/>
    </row>
    <row r="8" spans="2:15" ht="16.5" x14ac:dyDescent="0.15">
      <c r="B8" s="111"/>
      <c r="C8" s="111"/>
      <c r="D8" s="111"/>
      <c r="E8" s="111"/>
      <c r="F8" s="111"/>
      <c r="G8" s="111"/>
      <c r="H8" s="111"/>
      <c r="I8" s="122"/>
      <c r="J8" s="133" t="s">
        <v>151</v>
      </c>
      <c r="K8" s="122" t="s">
        <v>154</v>
      </c>
      <c r="L8" s="122" t="s">
        <v>158</v>
      </c>
      <c r="M8" s="122"/>
      <c r="N8" s="122"/>
      <c r="O8" s="122"/>
    </row>
    <row r="9" spans="2:15" ht="16.5" x14ac:dyDescent="0.15">
      <c r="B9" s="111"/>
      <c r="C9" s="111"/>
      <c r="D9" s="111"/>
      <c r="E9" s="111"/>
      <c r="F9" s="111"/>
      <c r="G9" s="111"/>
      <c r="H9" s="111"/>
      <c r="I9" s="122" t="s">
        <v>152</v>
      </c>
      <c r="J9" s="130">
        <f>M3*((技能系数!E4+(J6-1)*技能系数!$D$1)*(J13/(SUM(J13:M13)-L13)))+((K13/(SUM(J13:M13)-L13))*(技能系数!E16+(J6-1)*技能系数!$D$1))*O3</f>
        <v>3.0067978357107727</v>
      </c>
      <c r="K9" s="130">
        <f>J9*O13*K5/(1-K5)</f>
        <v>4.1343470241023121</v>
      </c>
      <c r="L9" s="130">
        <f>(J9*O13+K9)/O13</f>
        <v>3.7584972946384654</v>
      </c>
      <c r="M9" s="122"/>
      <c r="N9" s="122"/>
      <c r="O9" s="122"/>
    </row>
    <row r="10" spans="2:15" ht="16.5" x14ac:dyDescent="0.15">
      <c r="B10" s="111"/>
      <c r="C10" s="111"/>
      <c r="D10" s="111"/>
      <c r="E10" s="111"/>
      <c r="F10" s="111"/>
      <c r="G10" s="111"/>
      <c r="H10" s="111"/>
      <c r="I10" s="122" t="s">
        <v>153</v>
      </c>
      <c r="J10" s="130">
        <f>(技能系数!$C$38*(M13/(SUM(J13:M13)-L13)))+1</f>
        <v>1.0631578947368421</v>
      </c>
      <c r="K10" s="122"/>
      <c r="L10" s="122"/>
      <c r="M10" s="122"/>
      <c r="N10" s="122"/>
      <c r="O10" s="122"/>
    </row>
    <row r="11" spans="2:15" ht="16.5" x14ac:dyDescent="0.15">
      <c r="B11" s="111"/>
      <c r="C11" s="111"/>
      <c r="D11" s="111"/>
      <c r="E11" s="111"/>
      <c r="F11" s="111"/>
      <c r="G11" s="111"/>
      <c r="H11" s="111"/>
      <c r="I11" s="122"/>
      <c r="J11" s="57" t="s">
        <v>108</v>
      </c>
      <c r="K11" s="57"/>
      <c r="L11" s="57"/>
      <c r="M11" s="57"/>
      <c r="N11" s="60"/>
      <c r="O11" s="122"/>
    </row>
    <row r="12" spans="2:15" ht="16.5" x14ac:dyDescent="0.15">
      <c r="B12" s="111"/>
      <c r="C12" s="111"/>
      <c r="D12" s="111"/>
      <c r="E12" s="111"/>
      <c r="F12" s="111"/>
      <c r="G12" s="111"/>
      <c r="H12" s="111"/>
      <c r="I12" s="122"/>
      <c r="J12" s="129" t="s">
        <v>103</v>
      </c>
      <c r="K12" s="129" t="s">
        <v>104</v>
      </c>
      <c r="L12" s="129" t="s">
        <v>105</v>
      </c>
      <c r="M12" s="129" t="s">
        <v>106</v>
      </c>
      <c r="N12" s="129" t="s">
        <v>149</v>
      </c>
      <c r="O12" s="129" t="s">
        <v>109</v>
      </c>
    </row>
    <row r="13" spans="2:15" ht="16.5" x14ac:dyDescent="0.15">
      <c r="B13" s="111"/>
      <c r="C13" s="111"/>
      <c r="D13" s="111"/>
      <c r="E13" s="111"/>
      <c r="F13" s="111"/>
      <c r="G13" s="111"/>
      <c r="H13" s="111"/>
      <c r="I13" s="122"/>
      <c r="J13" s="120">
        <v>0.1</v>
      </c>
      <c r="K13" s="120">
        <v>0.8</v>
      </c>
      <c r="L13" s="93">
        <f>AI!D2</f>
        <v>0.05</v>
      </c>
      <c r="M13" s="120">
        <f>AI!E2</f>
        <v>0.05</v>
      </c>
      <c r="N13" s="128">
        <v>1</v>
      </c>
      <c r="O13" s="120">
        <f>(10+N13)/2</f>
        <v>5.5</v>
      </c>
    </row>
    <row r="14" spans="2:15" ht="16.5" x14ac:dyDescent="0.15">
      <c r="B14" s="111"/>
      <c r="C14" s="111"/>
      <c r="D14" s="111"/>
      <c r="E14" s="111"/>
      <c r="F14" s="111"/>
      <c r="G14" s="111"/>
      <c r="H14" s="111"/>
      <c r="I14" s="122"/>
      <c r="J14" s="122"/>
      <c r="K14" s="122"/>
      <c r="L14" s="122"/>
      <c r="M14" s="122"/>
      <c r="N14" s="122"/>
      <c r="O14" s="122"/>
    </row>
    <row r="15" spans="2:15" ht="16.5" x14ac:dyDescent="0.15">
      <c r="B15" s="111"/>
      <c r="C15" s="111"/>
      <c r="D15" s="111"/>
      <c r="E15" s="111"/>
      <c r="F15" s="111"/>
      <c r="G15" s="111"/>
      <c r="H15" s="111"/>
      <c r="I15" s="122" t="s">
        <v>155</v>
      </c>
      <c r="J15" s="122"/>
      <c r="K15" s="122"/>
      <c r="L15" s="122"/>
      <c r="M15" s="122"/>
      <c r="N15" s="122"/>
      <c r="O15" s="122"/>
    </row>
    <row r="16" spans="2:15" s="111" customFormat="1" ht="16.5" x14ac:dyDescent="0.15">
      <c r="I16" s="122"/>
      <c r="J16" s="122" t="s">
        <v>217</v>
      </c>
      <c r="K16" s="122" t="s">
        <v>218</v>
      </c>
      <c r="L16" s="122" t="s">
        <v>169</v>
      </c>
      <c r="M16" s="122" t="s">
        <v>189</v>
      </c>
      <c r="N16" s="122"/>
      <c r="O16" s="122"/>
    </row>
    <row r="17" spans="2:15" s="111" customFormat="1" ht="16.5" x14ac:dyDescent="0.15">
      <c r="I17" s="122"/>
      <c r="J17" s="122">
        <v>1</v>
      </c>
      <c r="K17" s="122">
        <v>1</v>
      </c>
      <c r="L17" s="122">
        <v>0.8</v>
      </c>
      <c r="M17" s="122">
        <f>J17*K17*L17</f>
        <v>0.8</v>
      </c>
      <c r="N17" s="122"/>
      <c r="O17" s="122"/>
    </row>
    <row r="18" spans="2:15" ht="16.5" x14ac:dyDescent="0.15">
      <c r="B18" s="111"/>
      <c r="C18" s="111"/>
      <c r="D18" s="111"/>
      <c r="E18" s="111"/>
      <c r="F18" s="111"/>
      <c r="G18" s="111"/>
      <c r="H18" s="111"/>
      <c r="I18" s="122"/>
      <c r="J18" s="122" t="s">
        <v>156</v>
      </c>
      <c r="K18" s="122" t="s">
        <v>157</v>
      </c>
      <c r="L18" s="122"/>
      <c r="M18" s="122"/>
      <c r="N18" s="122"/>
      <c r="O18" s="122"/>
    </row>
    <row r="19" spans="2:15" ht="16.5" x14ac:dyDescent="0.15">
      <c r="B19" s="111"/>
      <c r="C19" s="111"/>
      <c r="D19" s="111"/>
      <c r="E19" s="111"/>
      <c r="F19" s="111"/>
      <c r="G19" s="111"/>
      <c r="H19" s="111"/>
      <c r="I19" s="122"/>
      <c r="J19" s="122">
        <v>1</v>
      </c>
      <c r="K19" s="130">
        <f>(K9-M17)/J19</f>
        <v>3.3343470241023123</v>
      </c>
      <c r="L19" s="122"/>
      <c r="M19" s="122"/>
      <c r="N19" s="122"/>
      <c r="O19" s="122"/>
    </row>
    <row r="20" spans="2:15" ht="16.5" x14ac:dyDescent="0.15">
      <c r="B20" s="111"/>
      <c r="C20" s="111"/>
      <c r="D20" s="111"/>
      <c r="E20" s="111"/>
      <c r="F20" s="111"/>
      <c r="G20" s="111"/>
      <c r="H20" s="111"/>
      <c r="I20" s="122" t="s">
        <v>84</v>
      </c>
      <c r="J20" s="130">
        <f>C3/L9*M3</f>
        <v>334.1761085718212</v>
      </c>
      <c r="K20" s="122"/>
      <c r="L20" s="122"/>
      <c r="M20" s="122"/>
      <c r="N20" s="122"/>
      <c r="O20" s="122"/>
    </row>
    <row r="21" spans="2:15" ht="16.5" x14ac:dyDescent="0.15">
      <c r="B21" s="111"/>
      <c r="C21" s="111"/>
      <c r="D21" s="111"/>
      <c r="E21" s="111"/>
      <c r="F21" s="111"/>
      <c r="G21" s="111"/>
      <c r="H21" s="111"/>
      <c r="I21" s="122" t="s">
        <v>82</v>
      </c>
      <c r="J21" s="130">
        <f>C3/L9*O3</f>
        <v>668.35221714364241</v>
      </c>
      <c r="K21" s="122"/>
      <c r="L21" s="122"/>
      <c r="M21" s="122"/>
      <c r="N21" s="122"/>
      <c r="O21" s="122"/>
    </row>
    <row r="22" spans="2:15" ht="16.5" x14ac:dyDescent="0.15">
      <c r="B22" s="111"/>
      <c r="C22" s="111"/>
      <c r="D22" s="111"/>
      <c r="E22" s="111"/>
      <c r="F22" s="111"/>
      <c r="G22" s="111"/>
      <c r="H22" s="111"/>
      <c r="I22" s="122" t="s">
        <v>159</v>
      </c>
      <c r="J22" s="130">
        <f>B3/J10</f>
        <v>3343.8118811881191</v>
      </c>
      <c r="K22" s="122"/>
      <c r="L22" s="122"/>
      <c r="M22" s="122"/>
      <c r="N22" s="122"/>
      <c r="O22" s="122"/>
    </row>
  </sheetData>
  <mergeCells count="2">
    <mergeCell ref="B1:F1"/>
    <mergeCell ref="J11:M1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workbookViewId="0">
      <selection activeCell="J9" sqref="J9"/>
    </sheetView>
  </sheetViews>
  <sheetFormatPr defaultRowHeight="13.5" x14ac:dyDescent="0.15"/>
  <sheetData>
    <row r="1" spans="2:16" ht="16.5" x14ac:dyDescent="0.15">
      <c r="B1" s="36" t="s">
        <v>62</v>
      </c>
      <c r="C1" s="38"/>
      <c r="D1" s="38"/>
      <c r="E1" s="38"/>
      <c r="F1" s="37"/>
      <c r="I1" s="87" t="s">
        <v>164</v>
      </c>
      <c r="J1" s="87"/>
      <c r="K1" s="87"/>
      <c r="L1" s="87"/>
      <c r="M1" s="87"/>
      <c r="N1" s="87"/>
      <c r="O1" s="87"/>
      <c r="P1" s="87"/>
    </row>
    <row r="2" spans="2:16" ht="16.5" x14ac:dyDescent="0.15">
      <c r="B2" s="52" t="s">
        <v>66</v>
      </c>
      <c r="C2" s="52" t="s">
        <v>67</v>
      </c>
      <c r="D2" s="52" t="s">
        <v>68</v>
      </c>
      <c r="E2" s="52" t="s">
        <v>69</v>
      </c>
      <c r="F2" s="52" t="s">
        <v>70</v>
      </c>
      <c r="I2" s="87"/>
      <c r="J2" s="87"/>
      <c r="K2" s="87"/>
      <c r="L2" s="87"/>
      <c r="M2" s="87" t="s">
        <v>81</v>
      </c>
      <c r="N2" s="87"/>
      <c r="O2" s="87" t="s">
        <v>174</v>
      </c>
      <c r="P2" s="87"/>
    </row>
    <row r="3" spans="2:16" ht="16.5" x14ac:dyDescent="0.15">
      <c r="B3" s="52">
        <v>468</v>
      </c>
      <c r="C3" s="52">
        <v>165</v>
      </c>
      <c r="D3" s="52">
        <v>38</v>
      </c>
      <c r="E3" s="52">
        <v>82</v>
      </c>
      <c r="F3" s="52">
        <v>0.9572072072072072</v>
      </c>
      <c r="I3" s="92" t="s">
        <v>146</v>
      </c>
      <c r="J3" s="92"/>
      <c r="K3" s="92"/>
      <c r="L3" s="92"/>
      <c r="M3" s="79">
        <v>2</v>
      </c>
      <c r="N3" s="92" t="s">
        <v>147</v>
      </c>
      <c r="O3" s="79">
        <v>1</v>
      </c>
      <c r="P3" s="87"/>
    </row>
    <row r="4" spans="2:16" ht="16.5" x14ac:dyDescent="0.15">
      <c r="I4" s="92" t="s">
        <v>161</v>
      </c>
      <c r="J4" s="92"/>
      <c r="K4" s="92"/>
      <c r="L4" s="92"/>
      <c r="M4" s="79">
        <v>1</v>
      </c>
      <c r="N4" s="92" t="s">
        <v>147</v>
      </c>
      <c r="O4" s="79">
        <v>1</v>
      </c>
      <c r="P4" s="92"/>
    </row>
    <row r="5" spans="2:16" ht="16.5" x14ac:dyDescent="0.15">
      <c r="I5" s="92" t="s">
        <v>150</v>
      </c>
      <c r="J5" s="92"/>
      <c r="K5" s="79">
        <v>0.2</v>
      </c>
      <c r="L5" s="92"/>
      <c r="M5" s="92"/>
      <c r="N5" s="92"/>
      <c r="O5" s="92"/>
      <c r="P5" s="92"/>
    </row>
    <row r="6" spans="2:16" ht="16.5" x14ac:dyDescent="0.15">
      <c r="I6" s="92" t="s">
        <v>160</v>
      </c>
      <c r="J6" s="79">
        <v>15</v>
      </c>
      <c r="K6" s="92"/>
      <c r="L6" s="92"/>
      <c r="M6" s="92"/>
      <c r="N6" s="92"/>
      <c r="O6" s="92"/>
      <c r="P6" s="92"/>
    </row>
    <row r="7" spans="2:16" ht="16.5" x14ac:dyDescent="0.15">
      <c r="I7" s="92" t="s">
        <v>148</v>
      </c>
      <c r="J7" s="91">
        <f>J10*L9</f>
        <v>3.1495464312527512</v>
      </c>
      <c r="K7" s="92"/>
      <c r="L7" s="92"/>
      <c r="M7" s="92"/>
      <c r="N7" s="92"/>
      <c r="O7" s="92"/>
      <c r="P7" s="92"/>
    </row>
    <row r="8" spans="2:16" ht="16.5" x14ac:dyDescent="0.15">
      <c r="I8" s="87"/>
      <c r="J8" s="92" t="s">
        <v>151</v>
      </c>
      <c r="K8" s="87" t="s">
        <v>154</v>
      </c>
      <c r="L8" s="87" t="s">
        <v>158</v>
      </c>
      <c r="M8" s="87"/>
      <c r="N8" s="87"/>
      <c r="O8" s="87"/>
      <c r="P8" s="87"/>
    </row>
    <row r="9" spans="2:16" ht="16.5" x14ac:dyDescent="0.15">
      <c r="I9" s="87" t="s">
        <v>152</v>
      </c>
      <c r="J9" s="91">
        <f>M3*((技能系数!E5+(J6-1)*技能系数!$D$1)*(J13/(SUM(J13:M13)-L13)))+((K13/(SUM(J13:M13)-L13))*(技能系数!E14+(J6-1)*技能系数!$D$1))*O3</f>
        <v>2.3699557304476144</v>
      </c>
      <c r="K9" s="91">
        <f>J9*O13*K5/(1-K5)</f>
        <v>3.2586891293654698</v>
      </c>
      <c r="L9" s="91">
        <f>(J9*O13+K9)/O13</f>
        <v>2.9624446630595185</v>
      </c>
      <c r="M9" s="87"/>
      <c r="N9" s="87"/>
      <c r="O9" s="87"/>
      <c r="P9" s="87"/>
    </row>
    <row r="10" spans="2:16" ht="16.5" x14ac:dyDescent="0.15">
      <c r="I10" s="87" t="s">
        <v>153</v>
      </c>
      <c r="J10" s="91">
        <f>(技能系数!$C$38*(M13/(SUM(J13:M13)-L13)))+1</f>
        <v>1.0631578947368421</v>
      </c>
      <c r="K10" s="87"/>
      <c r="L10" s="87"/>
      <c r="M10" s="87"/>
      <c r="N10" s="87"/>
      <c r="O10" s="87"/>
      <c r="P10" s="87"/>
    </row>
    <row r="11" spans="2:16" ht="16.5" x14ac:dyDescent="0.15">
      <c r="I11" s="87"/>
      <c r="J11" s="57" t="s">
        <v>108</v>
      </c>
      <c r="K11" s="57"/>
      <c r="L11" s="57"/>
      <c r="M11" s="57"/>
      <c r="N11" s="60"/>
      <c r="O11" s="87"/>
      <c r="P11" s="87"/>
    </row>
    <row r="12" spans="2:16" ht="16.5" x14ac:dyDescent="0.15">
      <c r="I12" s="87"/>
      <c r="J12" s="86" t="s">
        <v>103</v>
      </c>
      <c r="K12" s="86" t="s">
        <v>104</v>
      </c>
      <c r="L12" s="86" t="s">
        <v>105</v>
      </c>
      <c r="M12" s="86" t="s">
        <v>106</v>
      </c>
      <c r="N12" s="86" t="s">
        <v>149</v>
      </c>
      <c r="O12" s="86" t="s">
        <v>109</v>
      </c>
      <c r="P12" s="87"/>
    </row>
    <row r="13" spans="2:16" ht="16.5" x14ac:dyDescent="0.15">
      <c r="I13" s="87"/>
      <c r="J13" s="84">
        <f>AI!B2</f>
        <v>0.8</v>
      </c>
      <c r="K13" s="84">
        <f>AI!C2</f>
        <v>0.1</v>
      </c>
      <c r="L13" s="93">
        <f>AI!D2</f>
        <v>0.05</v>
      </c>
      <c r="M13" s="84">
        <f>AI!E2</f>
        <v>0.05</v>
      </c>
      <c r="N13" s="75">
        <v>1</v>
      </c>
      <c r="O13" s="84">
        <f>(10+N13)/2</f>
        <v>5.5</v>
      </c>
      <c r="P13" s="87"/>
    </row>
    <row r="14" spans="2:16" ht="16.5" x14ac:dyDescent="0.15">
      <c r="I14" s="87"/>
      <c r="J14" s="87"/>
      <c r="K14" s="87"/>
      <c r="L14" s="87"/>
      <c r="M14" s="87"/>
      <c r="N14" s="87"/>
      <c r="O14" s="87"/>
      <c r="P14" s="87"/>
    </row>
    <row r="15" spans="2:16" ht="16.5" x14ac:dyDescent="0.15">
      <c r="I15" s="87" t="s">
        <v>155</v>
      </c>
      <c r="J15" s="87"/>
      <c r="K15" s="87"/>
      <c r="L15" s="87"/>
      <c r="M15" s="87"/>
      <c r="N15" s="87"/>
      <c r="O15" s="87"/>
      <c r="P15" s="87"/>
    </row>
    <row r="16" spans="2:16" ht="16.5" x14ac:dyDescent="0.15">
      <c r="I16" s="87"/>
      <c r="J16" s="87" t="s">
        <v>156</v>
      </c>
      <c r="K16" s="87" t="s">
        <v>157</v>
      </c>
      <c r="L16" s="87" t="s">
        <v>163</v>
      </c>
      <c r="M16" s="87"/>
      <c r="N16" s="87"/>
      <c r="O16" s="87"/>
      <c r="P16" s="87"/>
    </row>
    <row r="17" spans="9:16" ht="16.5" x14ac:dyDescent="0.15">
      <c r="I17" s="87"/>
      <c r="J17" s="87">
        <v>10</v>
      </c>
      <c r="K17" s="91">
        <f>K9/J17</f>
        <v>0.32586891293654696</v>
      </c>
      <c r="L17" s="87"/>
      <c r="M17" s="87"/>
      <c r="N17" s="87"/>
      <c r="O17" s="87"/>
      <c r="P17" s="87"/>
    </row>
    <row r="18" spans="9:16" ht="16.5" x14ac:dyDescent="0.15">
      <c r="I18" s="87"/>
      <c r="J18" s="87"/>
      <c r="K18" s="87"/>
      <c r="L18" s="87"/>
      <c r="M18" s="87"/>
      <c r="N18" s="87"/>
      <c r="O18" s="87"/>
      <c r="P18" s="87"/>
    </row>
    <row r="19" spans="9:16" ht="16.5" x14ac:dyDescent="0.15">
      <c r="I19" s="87" t="s">
        <v>84</v>
      </c>
      <c r="J19" s="91">
        <f>C3/L9*M3</f>
        <v>111.39448581604441</v>
      </c>
      <c r="K19" s="87"/>
      <c r="L19" s="87"/>
      <c r="M19" s="87"/>
      <c r="N19" s="87"/>
      <c r="O19" s="87"/>
      <c r="P19" s="87"/>
    </row>
    <row r="20" spans="9:16" ht="16.5" x14ac:dyDescent="0.15">
      <c r="I20" s="87" t="s">
        <v>82</v>
      </c>
      <c r="J20" s="91">
        <f>C3/L9*O3</f>
        <v>55.697242908022204</v>
      </c>
      <c r="K20" s="87"/>
      <c r="L20" s="87"/>
      <c r="M20" s="87"/>
      <c r="N20" s="87"/>
      <c r="O20" s="87"/>
      <c r="P20" s="87"/>
    </row>
    <row r="21" spans="9:16" ht="16.5" x14ac:dyDescent="0.15">
      <c r="I21" s="87" t="s">
        <v>159</v>
      </c>
      <c r="J21" s="91">
        <f>B3/J10</f>
        <v>440.19801980198019</v>
      </c>
      <c r="K21" s="87"/>
      <c r="L21" s="87"/>
      <c r="M21" s="87"/>
      <c r="N21" s="87"/>
      <c r="O21" s="87"/>
      <c r="P21" s="87"/>
    </row>
  </sheetData>
  <mergeCells count="2">
    <mergeCell ref="B1:F1"/>
    <mergeCell ref="J11:M1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I7" sqref="I7"/>
    </sheetView>
  </sheetViews>
  <sheetFormatPr defaultRowHeight="13.5" x14ac:dyDescent="0.15"/>
  <sheetData>
    <row r="1" spans="1:14" ht="16.5" x14ac:dyDescent="0.15">
      <c r="A1" t="s">
        <v>210</v>
      </c>
      <c r="B1" s="36" t="s">
        <v>60</v>
      </c>
      <c r="C1" s="38"/>
      <c r="D1" s="38"/>
      <c r="E1" s="38"/>
      <c r="F1" s="37"/>
      <c r="H1" s="123" t="s">
        <v>206</v>
      </c>
      <c r="I1" s="123"/>
      <c r="J1" s="123"/>
      <c r="K1" s="123"/>
      <c r="L1" s="123"/>
      <c r="M1" s="123"/>
      <c r="N1" s="123"/>
    </row>
    <row r="2" spans="1:14" ht="16.5" x14ac:dyDescent="0.15">
      <c r="B2" s="52" t="s">
        <v>66</v>
      </c>
      <c r="C2" s="52" t="s">
        <v>67</v>
      </c>
      <c r="D2" s="52" t="s">
        <v>68</v>
      </c>
      <c r="E2" s="52" t="s">
        <v>69</v>
      </c>
      <c r="F2" s="52" t="s">
        <v>70</v>
      </c>
      <c r="H2" s="123"/>
      <c r="I2" s="123"/>
      <c r="J2" s="123"/>
      <c r="K2" s="123"/>
      <c r="L2" s="123" t="s">
        <v>81</v>
      </c>
      <c r="M2" s="123"/>
      <c r="N2" s="123" t="s">
        <v>174</v>
      </c>
    </row>
    <row r="3" spans="1:14" ht="16.5" x14ac:dyDescent="0.15">
      <c r="B3" s="52">
        <v>913</v>
      </c>
      <c r="C3" s="52">
        <v>71</v>
      </c>
      <c r="D3" s="52">
        <v>81</v>
      </c>
      <c r="E3" s="52">
        <v>71</v>
      </c>
      <c r="F3" s="52">
        <v>0.9129967776584319</v>
      </c>
      <c r="H3" s="126" t="s">
        <v>146</v>
      </c>
      <c r="I3" s="126"/>
      <c r="J3" s="126"/>
      <c r="K3" s="126"/>
      <c r="L3" s="119">
        <v>2</v>
      </c>
      <c r="M3" s="126" t="s">
        <v>147</v>
      </c>
      <c r="N3" s="119">
        <v>1</v>
      </c>
    </row>
    <row r="4" spans="1:14" ht="16.5" x14ac:dyDescent="0.15">
      <c r="H4" s="126" t="s">
        <v>161</v>
      </c>
      <c r="I4" s="126"/>
      <c r="J4" s="126"/>
      <c r="K4" s="126"/>
      <c r="L4" s="119">
        <v>1.2</v>
      </c>
      <c r="M4" s="126" t="s">
        <v>147</v>
      </c>
      <c r="N4" s="119">
        <v>1</v>
      </c>
    </row>
    <row r="5" spans="1:14" ht="16.5" x14ac:dyDescent="0.15">
      <c r="H5" s="126" t="s">
        <v>150</v>
      </c>
      <c r="I5" s="126"/>
      <c r="J5" s="119">
        <v>0.2</v>
      </c>
      <c r="K5" s="126"/>
      <c r="L5" s="126"/>
      <c r="M5" s="126"/>
      <c r="N5" s="126"/>
    </row>
    <row r="6" spans="1:14" ht="16.5" x14ac:dyDescent="0.15">
      <c r="H6" s="126" t="s">
        <v>160</v>
      </c>
      <c r="I6" s="119">
        <v>40</v>
      </c>
      <c r="J6" s="126"/>
      <c r="K6" s="126"/>
      <c r="L6" s="126"/>
      <c r="M6" s="126"/>
      <c r="N6" s="126"/>
    </row>
    <row r="7" spans="1:14" ht="16.5" x14ac:dyDescent="0.15">
      <c r="H7" s="126" t="s">
        <v>148</v>
      </c>
      <c r="I7" s="118">
        <f>I10*K9</f>
        <v>1.745671339563863</v>
      </c>
      <c r="J7" s="126"/>
      <c r="K7" s="126"/>
      <c r="L7" s="126"/>
      <c r="M7" s="126"/>
      <c r="N7" s="126"/>
    </row>
    <row r="8" spans="1:14" ht="16.5" x14ac:dyDescent="0.15">
      <c r="H8" s="123"/>
      <c r="I8" s="126" t="s">
        <v>151</v>
      </c>
      <c r="J8" s="123" t="s">
        <v>154</v>
      </c>
      <c r="K8" s="123" t="s">
        <v>158</v>
      </c>
      <c r="L8" s="123"/>
      <c r="M8" s="123"/>
      <c r="N8" s="123"/>
    </row>
    <row r="9" spans="1:14" ht="16.5" x14ac:dyDescent="0.15">
      <c r="H9" s="123" t="s">
        <v>152</v>
      </c>
      <c r="I9" s="118">
        <f>L4*((技能系数!E4+(I6-1)*技能系数!$D$1)*(I13/(SUM(I13:L13)-K13)))+((J13/(SUM(I13:L13)-K13))*(技能系数!E14+(I6-1)*技能系数!$D$1))*N4</f>
        <v>0.9975264797507789</v>
      </c>
      <c r="J9" s="118">
        <f>I9*N13*J5/(1-J5)</f>
        <v>1.3715989096573207</v>
      </c>
      <c r="K9" s="118">
        <f>(I9*N13+J9)/N13</f>
        <v>1.2469080996884736</v>
      </c>
      <c r="L9" s="123"/>
      <c r="M9" s="123"/>
      <c r="N9" s="123"/>
    </row>
    <row r="10" spans="1:14" ht="16.5" x14ac:dyDescent="0.15">
      <c r="H10" s="123" t="s">
        <v>153</v>
      </c>
      <c r="I10" s="118">
        <f>(技能系数!$C$38*(L13/(SUM(I13:L13)-K13)))+1</f>
        <v>1.4</v>
      </c>
      <c r="J10" s="123"/>
      <c r="K10" s="123"/>
      <c r="L10" s="123"/>
      <c r="M10" s="123"/>
      <c r="N10" s="123"/>
    </row>
    <row r="11" spans="1:14" ht="16.5" x14ac:dyDescent="0.15">
      <c r="H11" s="123"/>
      <c r="I11" s="57" t="s">
        <v>108</v>
      </c>
      <c r="J11" s="57"/>
      <c r="K11" s="57"/>
      <c r="L11" s="57"/>
      <c r="M11" s="60"/>
      <c r="N11" s="123"/>
    </row>
    <row r="12" spans="1:14" ht="16.5" x14ac:dyDescent="0.15">
      <c r="H12" s="123"/>
      <c r="I12" s="124" t="s">
        <v>103</v>
      </c>
      <c r="J12" s="124" t="s">
        <v>104</v>
      </c>
      <c r="K12" s="124" t="s">
        <v>105</v>
      </c>
      <c r="L12" s="124" t="s">
        <v>106</v>
      </c>
      <c r="M12" s="124" t="s">
        <v>149</v>
      </c>
      <c r="N12" s="124" t="s">
        <v>109</v>
      </c>
    </row>
    <row r="13" spans="1:14" ht="16.5" x14ac:dyDescent="0.15">
      <c r="H13" s="123"/>
      <c r="I13" s="114">
        <v>0.3</v>
      </c>
      <c r="J13" s="114">
        <v>0.3</v>
      </c>
      <c r="K13" s="114">
        <v>0.1</v>
      </c>
      <c r="L13" s="114">
        <v>0.3</v>
      </c>
      <c r="M13" s="114">
        <v>1</v>
      </c>
      <c r="N13" s="120">
        <f>(10+M13)/2</f>
        <v>5.5</v>
      </c>
    </row>
    <row r="14" spans="1:14" ht="16.5" x14ac:dyDescent="0.15">
      <c r="H14" s="123"/>
      <c r="I14" s="123"/>
      <c r="J14" s="123"/>
      <c r="K14" s="123"/>
      <c r="L14" s="123"/>
      <c r="M14" s="123"/>
      <c r="N14" s="123"/>
    </row>
    <row r="15" spans="1:14" ht="16.5" x14ac:dyDescent="0.15">
      <c r="H15" s="123" t="s">
        <v>155</v>
      </c>
      <c r="I15" s="123"/>
      <c r="J15" s="123"/>
      <c r="K15" s="123"/>
      <c r="L15" s="123"/>
      <c r="M15" s="123"/>
      <c r="N15" s="123"/>
    </row>
    <row r="16" spans="1:14" ht="16.5" x14ac:dyDescent="0.15">
      <c r="H16" s="123"/>
      <c r="I16" s="123" t="s">
        <v>207</v>
      </c>
      <c r="J16" s="123" t="s">
        <v>208</v>
      </c>
      <c r="K16" s="123" t="s">
        <v>209</v>
      </c>
      <c r="L16" s="123"/>
      <c r="M16" s="123"/>
      <c r="N16" s="123"/>
    </row>
    <row r="17" spans="1:15" ht="16.5" x14ac:dyDescent="0.15">
      <c r="H17" s="123"/>
      <c r="I17" s="114">
        <v>0.2</v>
      </c>
      <c r="J17" s="118">
        <f>J9/I17/K17</f>
        <v>2.2859981827622011</v>
      </c>
      <c r="K17" s="123">
        <v>3</v>
      </c>
      <c r="L17" s="123"/>
      <c r="M17" s="123"/>
      <c r="N17" s="123"/>
    </row>
    <row r="18" spans="1:15" ht="16.5" x14ac:dyDescent="0.15">
      <c r="H18" s="123"/>
      <c r="I18" s="123"/>
      <c r="J18" s="123"/>
      <c r="K18" s="123"/>
      <c r="L18" s="123"/>
      <c r="M18" s="123"/>
      <c r="N18" s="123"/>
    </row>
    <row r="19" spans="1:15" ht="16.5" x14ac:dyDescent="0.15">
      <c r="H19" s="123" t="s">
        <v>84</v>
      </c>
      <c r="I19" s="118">
        <f>ROUNDDOWN(C3/K9*L4,0)</f>
        <v>68</v>
      </c>
      <c r="J19" s="123"/>
      <c r="K19" s="123"/>
      <c r="L19" s="123"/>
      <c r="M19" s="123"/>
      <c r="N19" s="123"/>
    </row>
    <row r="20" spans="1:15" ht="16.5" x14ac:dyDescent="0.15">
      <c r="H20" s="123" t="s">
        <v>82</v>
      </c>
      <c r="I20" s="118">
        <f>ROUNDDOWN(C3/K9*N4,0)</f>
        <v>56</v>
      </c>
      <c r="J20" s="123"/>
      <c r="K20" s="123"/>
      <c r="L20" s="123"/>
      <c r="M20" s="123"/>
      <c r="N20" s="123"/>
    </row>
    <row r="21" spans="1:15" ht="16.5" x14ac:dyDescent="0.15">
      <c r="H21" s="123" t="s">
        <v>159</v>
      </c>
      <c r="I21" s="118">
        <f>ROUNDDOWN(B3/I10,0)</f>
        <v>652</v>
      </c>
      <c r="J21" s="123"/>
      <c r="K21" s="123"/>
      <c r="L21" s="123"/>
      <c r="M21" s="123"/>
      <c r="N21" s="123"/>
    </row>
    <row r="22" spans="1:15" ht="16.5" x14ac:dyDescent="0.15">
      <c r="H22" s="126"/>
      <c r="I22" s="126"/>
      <c r="J22" s="126"/>
      <c r="K22" s="126"/>
      <c r="L22" s="126"/>
      <c r="M22" s="126"/>
      <c r="N22" s="126"/>
      <c r="O22" s="82"/>
    </row>
    <row r="23" spans="1:15" ht="16.5" x14ac:dyDescent="0.15">
      <c r="A23" t="s">
        <v>211</v>
      </c>
      <c r="B23" s="36" t="s">
        <v>60</v>
      </c>
      <c r="C23" s="38"/>
      <c r="D23" s="38"/>
      <c r="E23" s="38"/>
      <c r="F23" s="37"/>
      <c r="H23" s="126"/>
      <c r="I23" s="121"/>
      <c r="J23" s="126"/>
      <c r="K23" s="121"/>
      <c r="L23" s="126"/>
      <c r="M23" s="126"/>
      <c r="N23" s="126"/>
      <c r="O23" s="82"/>
    </row>
    <row r="24" spans="1:15" ht="16.5" x14ac:dyDescent="0.15">
      <c r="B24" s="131" t="s">
        <v>66</v>
      </c>
      <c r="C24" s="131" t="s">
        <v>67</v>
      </c>
      <c r="D24" s="131" t="s">
        <v>68</v>
      </c>
      <c r="E24" s="131" t="s">
        <v>69</v>
      </c>
      <c r="F24" s="131" t="s">
        <v>70</v>
      </c>
      <c r="H24" s="126"/>
      <c r="I24" s="126"/>
      <c r="J24" s="126"/>
      <c r="K24" s="126"/>
      <c r="L24" s="126"/>
      <c r="M24" s="126"/>
      <c r="N24" s="126"/>
      <c r="O24" s="82"/>
    </row>
    <row r="25" spans="1:15" ht="16.5" x14ac:dyDescent="0.15">
      <c r="B25" s="131">
        <v>6933</v>
      </c>
      <c r="C25" s="131">
        <v>544</v>
      </c>
      <c r="D25" s="131">
        <v>622</v>
      </c>
      <c r="E25" s="131">
        <v>544</v>
      </c>
      <c r="F25" s="131">
        <v>0.77149155033063932</v>
      </c>
      <c r="H25" s="126"/>
      <c r="I25" s="126"/>
      <c r="J25" s="126"/>
      <c r="K25" s="126"/>
      <c r="L25" s="126"/>
      <c r="M25" s="126"/>
      <c r="N25" s="126"/>
      <c r="O25" s="82"/>
    </row>
    <row r="26" spans="1:15" ht="16.5" x14ac:dyDescent="0.15">
      <c r="H26" s="122" t="s">
        <v>84</v>
      </c>
      <c r="I26" s="130">
        <f>C25/K9*L4</f>
        <v>523.53497436025555</v>
      </c>
      <c r="J26" s="126"/>
      <c r="K26" s="126"/>
      <c r="L26" s="126"/>
      <c r="M26" s="126"/>
      <c r="N26" s="126"/>
      <c r="O26" s="82"/>
    </row>
    <row r="27" spans="1:15" ht="16.5" x14ac:dyDescent="0.15">
      <c r="H27" s="122" t="s">
        <v>82</v>
      </c>
      <c r="I27" s="130">
        <f>C25/K9*N4</f>
        <v>436.27914530021297</v>
      </c>
      <c r="J27" s="126"/>
      <c r="K27" s="126"/>
      <c r="L27" s="126"/>
      <c r="M27" s="126"/>
      <c r="N27" s="126"/>
      <c r="O27" s="82"/>
    </row>
    <row r="28" spans="1:15" ht="16.5" x14ac:dyDescent="0.15">
      <c r="H28" s="122" t="s">
        <v>159</v>
      </c>
      <c r="I28" s="130">
        <f>B25/I10</f>
        <v>4952.1428571428578</v>
      </c>
      <c r="J28" s="82"/>
      <c r="K28" s="82"/>
      <c r="L28" s="82"/>
      <c r="M28" s="82"/>
      <c r="N28" s="82"/>
      <c r="O28" s="82"/>
    </row>
  </sheetData>
  <mergeCells count="3">
    <mergeCell ref="B1:F1"/>
    <mergeCell ref="I11:L11"/>
    <mergeCell ref="B23:F2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topLeftCell="A4" workbookViewId="0">
      <selection activeCell="N9" sqref="N9"/>
    </sheetView>
  </sheetViews>
  <sheetFormatPr defaultRowHeight="16.5" x14ac:dyDescent="0.15"/>
  <cols>
    <col min="1" max="16384" width="9" style="55"/>
  </cols>
  <sheetData>
    <row r="1" spans="2:19" x14ac:dyDescent="0.15">
      <c r="B1" s="45" t="s">
        <v>141</v>
      </c>
      <c r="C1" s="46"/>
      <c r="D1" s="46"/>
      <c r="E1" s="46"/>
      <c r="F1" s="47"/>
      <c r="H1" s="55" t="s">
        <v>86</v>
      </c>
      <c r="M1" s="87" t="s">
        <v>162</v>
      </c>
      <c r="N1" s="87"/>
      <c r="O1" s="87"/>
      <c r="P1" s="87"/>
      <c r="Q1" s="87"/>
      <c r="R1" s="87"/>
    </row>
    <row r="2" spans="2:19" x14ac:dyDescent="0.15">
      <c r="B2" s="53" t="s">
        <v>66</v>
      </c>
      <c r="C2" s="53" t="s">
        <v>140</v>
      </c>
      <c r="D2" s="53" t="s">
        <v>68</v>
      </c>
      <c r="E2" s="53" t="s">
        <v>69</v>
      </c>
      <c r="F2" s="53" t="s">
        <v>70</v>
      </c>
      <c r="H2" s="55" t="s">
        <v>124</v>
      </c>
      <c r="M2" s="87"/>
      <c r="N2" s="87"/>
      <c r="O2" s="87"/>
      <c r="P2" s="87"/>
      <c r="Q2" s="87" t="s">
        <v>81</v>
      </c>
      <c r="R2" s="87"/>
      <c r="S2" s="55" t="s">
        <v>174</v>
      </c>
    </row>
    <row r="3" spans="2:19" x14ac:dyDescent="0.15">
      <c r="B3" s="53">
        <v>842</v>
      </c>
      <c r="C3" s="53">
        <v>71</v>
      </c>
      <c r="D3" s="53">
        <v>101</v>
      </c>
      <c r="E3" s="53">
        <v>71</v>
      </c>
      <c r="F3" s="53">
        <v>0.89379600420609884</v>
      </c>
      <c r="M3" s="92" t="s">
        <v>146</v>
      </c>
      <c r="N3" s="92"/>
      <c r="O3" s="92"/>
      <c r="P3" s="92"/>
      <c r="Q3" s="79">
        <v>2</v>
      </c>
      <c r="R3" s="92" t="s">
        <v>147</v>
      </c>
      <c r="S3" s="79">
        <v>1</v>
      </c>
    </row>
    <row r="4" spans="2:19" s="59" customFormat="1" x14ac:dyDescent="0.15">
      <c r="B4" s="54"/>
      <c r="C4" s="54"/>
      <c r="D4" s="54"/>
      <c r="E4" s="54"/>
      <c r="F4" s="54"/>
      <c r="M4" s="92" t="s">
        <v>161</v>
      </c>
      <c r="N4" s="92"/>
      <c r="O4" s="92"/>
      <c r="P4" s="92"/>
      <c r="Q4" s="79">
        <v>1.3</v>
      </c>
      <c r="R4" s="92" t="s">
        <v>147</v>
      </c>
      <c r="S4" s="79">
        <v>1</v>
      </c>
    </row>
    <row r="5" spans="2:19" s="59" customFormat="1" x14ac:dyDescent="0.15">
      <c r="B5" s="94" t="s">
        <v>88</v>
      </c>
      <c r="C5" s="94"/>
      <c r="D5" s="101"/>
      <c r="E5" s="101"/>
      <c r="F5" s="101"/>
      <c r="G5" s="94"/>
      <c r="H5" s="94"/>
      <c r="I5" s="94"/>
      <c r="J5" s="94"/>
      <c r="K5" s="94"/>
      <c r="L5" s="94"/>
      <c r="M5" s="92" t="s">
        <v>166</v>
      </c>
      <c r="N5" s="92"/>
      <c r="O5" s="79">
        <v>0.2</v>
      </c>
      <c r="P5" s="92"/>
      <c r="Q5" s="92" t="s">
        <v>165</v>
      </c>
      <c r="R5" s="92"/>
      <c r="S5" s="79">
        <v>0.25</v>
      </c>
    </row>
    <row r="6" spans="2:19" s="59" customFormat="1" x14ac:dyDescent="0.15">
      <c r="B6" s="94"/>
      <c r="C6" s="94">
        <f>总体!I41</f>
        <v>0.32432432432432434</v>
      </c>
      <c r="D6" s="101"/>
      <c r="E6" s="101"/>
      <c r="F6" s="101"/>
      <c r="G6" s="94"/>
      <c r="H6" s="94"/>
      <c r="I6" s="94"/>
      <c r="J6" s="94"/>
      <c r="K6" s="94"/>
      <c r="L6" s="94"/>
      <c r="M6" s="92" t="s">
        <v>160</v>
      </c>
      <c r="N6" s="79">
        <v>15</v>
      </c>
      <c r="O6" s="92"/>
      <c r="P6" s="92"/>
      <c r="Q6" s="92"/>
      <c r="R6" s="92"/>
    </row>
    <row r="7" spans="2:19" s="92" customFormat="1" x14ac:dyDescent="0.15">
      <c r="B7" s="94"/>
      <c r="C7" s="94"/>
      <c r="D7" s="101"/>
      <c r="E7" s="101"/>
      <c r="F7" s="101"/>
      <c r="G7" s="94"/>
      <c r="H7" s="94"/>
      <c r="I7" s="94"/>
      <c r="J7" s="94"/>
      <c r="K7" s="94"/>
      <c r="L7" s="94"/>
      <c r="M7" s="92" t="s">
        <v>148</v>
      </c>
      <c r="N7" s="91">
        <f>N10*P9</f>
        <v>1.6430046728971961</v>
      </c>
    </row>
    <row r="8" spans="2:19" x14ac:dyDescent="0.15">
      <c r="B8" s="94" t="s">
        <v>92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87"/>
      <c r="N8" s="92" t="s">
        <v>151</v>
      </c>
      <c r="O8" s="87" t="s">
        <v>154</v>
      </c>
      <c r="P8" s="87" t="s">
        <v>158</v>
      </c>
      <c r="Q8" s="87"/>
      <c r="R8" s="87"/>
      <c r="S8" s="88"/>
    </row>
    <row r="9" spans="2:19" x14ac:dyDescent="0.15">
      <c r="B9" s="94"/>
      <c r="C9" s="94" t="s">
        <v>89</v>
      </c>
      <c r="D9" s="94" t="s">
        <v>90</v>
      </c>
      <c r="E9" s="94" t="s">
        <v>91</v>
      </c>
      <c r="F9" s="94"/>
      <c r="G9" s="94"/>
      <c r="H9" s="94"/>
      <c r="I9" s="94"/>
      <c r="J9" s="94"/>
      <c r="K9" s="94"/>
      <c r="L9" s="94"/>
      <c r="M9" s="87" t="s">
        <v>152</v>
      </c>
      <c r="N9" s="91">
        <f>Q4*((技能系数!E5+(N6-1)*技能系数!D1)*(蜥蜴人!N13/(SUM(蜥蜴人!N13:Q13)-蜥蜴人!P13)))+((蜥蜴人!O13/(SUM(蜥蜴人!N13:Q13)-蜥蜴人!P13))*(技能系数!E14+(N6-1)*技能系数!D1))*S4</f>
        <v>0.93885981308411215</v>
      </c>
      <c r="O9" s="91">
        <f>N9*S13*O5/(1-O5)</f>
        <v>1.290932242990654</v>
      </c>
      <c r="P9" s="91">
        <f>(N9*S13+O9)/S13</f>
        <v>1.1735747663551401</v>
      </c>
      <c r="Q9" s="87"/>
      <c r="R9" s="87"/>
    </row>
    <row r="10" spans="2:19" x14ac:dyDescent="0.15">
      <c r="B10" s="94"/>
      <c r="C10" s="98">
        <f>1/5</f>
        <v>0.2</v>
      </c>
      <c r="D10" s="94">
        <f>C6/(C10*E10)</f>
        <v>0.54054054054054046</v>
      </c>
      <c r="E10" s="98">
        <v>3</v>
      </c>
      <c r="F10" s="94"/>
      <c r="G10" s="94"/>
      <c r="H10" s="94"/>
      <c r="I10" s="94"/>
      <c r="J10" s="94"/>
      <c r="K10" s="94"/>
      <c r="L10" s="94"/>
      <c r="M10" s="87" t="s">
        <v>153</v>
      </c>
      <c r="N10" s="91">
        <f>(技能系数!C38*(蜥蜴人!Q13/(SUM(蜥蜴人!N13:Q13)-蜥蜴人!P13)))+1</f>
        <v>1.4</v>
      </c>
      <c r="O10" s="87"/>
      <c r="P10" s="87"/>
      <c r="Q10" s="87"/>
      <c r="R10" s="87"/>
    </row>
    <row r="11" spans="2:19" x14ac:dyDescent="0.15">
      <c r="B11" s="94" t="s">
        <v>87</v>
      </c>
      <c r="C11" s="94"/>
      <c r="D11" s="95"/>
      <c r="E11" s="95"/>
      <c r="F11" s="96" t="s">
        <v>108</v>
      </c>
      <c r="G11" s="96"/>
      <c r="H11" s="96"/>
      <c r="I11" s="96"/>
      <c r="J11" s="95"/>
      <c r="K11" s="94"/>
      <c r="L11" s="94"/>
      <c r="M11" s="87"/>
      <c r="N11" s="83" t="s">
        <v>108</v>
      </c>
      <c r="O11" s="83"/>
      <c r="P11" s="83"/>
      <c r="Q11" s="83"/>
      <c r="R11" s="60"/>
      <c r="S11" s="88"/>
    </row>
    <row r="12" spans="2:19" x14ac:dyDescent="0.15">
      <c r="B12" s="95" t="s">
        <v>84</v>
      </c>
      <c r="C12" s="95" t="s">
        <v>82</v>
      </c>
      <c r="D12" s="97" t="s">
        <v>112</v>
      </c>
      <c r="E12" s="94"/>
      <c r="F12" s="97" t="s">
        <v>103</v>
      </c>
      <c r="G12" s="97" t="s">
        <v>104</v>
      </c>
      <c r="H12" s="97" t="s">
        <v>105</v>
      </c>
      <c r="I12" s="97" t="s">
        <v>106</v>
      </c>
      <c r="J12" s="97" t="s">
        <v>110</v>
      </c>
      <c r="K12" s="97" t="s">
        <v>109</v>
      </c>
      <c r="L12" s="94"/>
      <c r="M12" s="87"/>
      <c r="N12" s="86" t="s">
        <v>103</v>
      </c>
      <c r="O12" s="86" t="s">
        <v>104</v>
      </c>
      <c r="P12" s="86" t="s">
        <v>105</v>
      </c>
      <c r="Q12" s="86" t="s">
        <v>106</v>
      </c>
      <c r="R12" s="86" t="s">
        <v>149</v>
      </c>
      <c r="S12" s="89" t="s">
        <v>109</v>
      </c>
    </row>
    <row r="13" spans="2:19" x14ac:dyDescent="0.15">
      <c r="B13" s="98">
        <v>65</v>
      </c>
      <c r="C13" s="98">
        <v>30</v>
      </c>
      <c r="D13" s="98">
        <v>15</v>
      </c>
      <c r="E13" s="94"/>
      <c r="F13" s="98">
        <v>0.3</v>
      </c>
      <c r="G13" s="98">
        <v>0.3</v>
      </c>
      <c r="H13" s="98">
        <v>0.2</v>
      </c>
      <c r="I13" s="98">
        <v>0.2</v>
      </c>
      <c r="J13" s="94">
        <v>1</v>
      </c>
      <c r="K13" s="94">
        <v>5</v>
      </c>
      <c r="L13" s="94"/>
      <c r="M13" s="87"/>
      <c r="N13" s="84">
        <f>AI!B5</f>
        <v>0.3</v>
      </c>
      <c r="O13" s="84">
        <f>AI!C5</f>
        <v>0.3</v>
      </c>
      <c r="P13" s="93">
        <f>AI!D5</f>
        <v>0.1</v>
      </c>
      <c r="Q13" s="84">
        <f>AI!E5</f>
        <v>0.3</v>
      </c>
      <c r="R13" s="75">
        <v>1</v>
      </c>
      <c r="S13" s="84">
        <f>(10+R13)/2</f>
        <v>5.5</v>
      </c>
    </row>
    <row r="14" spans="2:19" x14ac:dyDescent="0.15">
      <c r="B14" s="94" t="s">
        <v>114</v>
      </c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87"/>
      <c r="N14" s="87"/>
      <c r="O14" s="87"/>
      <c r="P14" s="87"/>
      <c r="Q14" s="87"/>
      <c r="R14" s="87"/>
    </row>
    <row r="15" spans="2:19" x14ac:dyDescent="0.15">
      <c r="B15" s="94"/>
      <c r="C15" s="94">
        <f>$B$13*$F$13/SUM($F$13,$G$13,$I$13)*(技能系数!E5+$D$13*技能系数!$D$1)+$C$13*$G$13/SUM($F$13,$G$13,$I$13)*(技能系数!E14+$D$13*技能系数!$D$1)+技能系数!$C$38*$I$13/SUM($F$13,$G$13,$I$13)</f>
        <v>45.407768691588785</v>
      </c>
      <c r="D15" s="94"/>
      <c r="E15" s="94"/>
      <c r="F15" s="94"/>
      <c r="G15" s="94"/>
      <c r="H15" s="94"/>
      <c r="I15" s="94"/>
      <c r="J15" s="94"/>
      <c r="K15" s="94"/>
      <c r="L15" s="94"/>
      <c r="M15" s="87" t="s">
        <v>155</v>
      </c>
      <c r="N15" s="87"/>
      <c r="O15" s="87"/>
      <c r="P15" s="87"/>
      <c r="Q15" s="87"/>
      <c r="R15" s="87"/>
    </row>
    <row r="16" spans="2:19" s="69" customFormat="1" x14ac:dyDescent="0.15"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87"/>
      <c r="N16" s="87" t="s">
        <v>156</v>
      </c>
      <c r="O16" s="87" t="s">
        <v>157</v>
      </c>
      <c r="P16" s="87" t="s">
        <v>163</v>
      </c>
      <c r="Q16" s="87"/>
      <c r="R16" s="87"/>
    </row>
    <row r="17" spans="2:18" s="69" customFormat="1" x14ac:dyDescent="0.15">
      <c r="B17" s="94" t="s">
        <v>116</v>
      </c>
      <c r="C17" s="94" t="s">
        <v>117</v>
      </c>
      <c r="D17" s="94"/>
      <c r="E17" s="94"/>
      <c r="F17" s="94"/>
      <c r="G17" s="94"/>
      <c r="H17" s="94"/>
      <c r="I17" s="94"/>
      <c r="J17" s="94"/>
      <c r="K17" s="94"/>
      <c r="L17" s="94"/>
      <c r="M17" s="87"/>
      <c r="N17" s="87">
        <v>5</v>
      </c>
      <c r="O17" s="91">
        <f>O9/N17</f>
        <v>0.25818644859813078</v>
      </c>
      <c r="P17" s="87"/>
      <c r="Q17" s="87"/>
      <c r="R17" s="87"/>
    </row>
    <row r="18" spans="2:18" s="69" customFormat="1" x14ac:dyDescent="0.15">
      <c r="B18" s="98">
        <v>5</v>
      </c>
      <c r="C18" s="98">
        <v>0.6</v>
      </c>
      <c r="D18" s="94"/>
      <c r="E18" s="94"/>
      <c r="F18" s="94"/>
      <c r="G18" s="94"/>
      <c r="H18" s="94"/>
      <c r="I18" s="94"/>
      <c r="J18" s="94"/>
      <c r="K18" s="94"/>
      <c r="L18" s="94"/>
      <c r="M18" s="87"/>
      <c r="N18" s="87"/>
      <c r="O18" s="87"/>
      <c r="P18" s="87"/>
      <c r="Q18" s="87"/>
      <c r="R18" s="87"/>
    </row>
    <row r="19" spans="2:18" s="69" customFormat="1" x14ac:dyDescent="0.15"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87" t="s">
        <v>88</v>
      </c>
      <c r="N19" s="87"/>
      <c r="O19" s="87"/>
      <c r="P19" s="87"/>
      <c r="Q19" s="87"/>
      <c r="R19" s="87"/>
    </row>
    <row r="20" spans="2:18" x14ac:dyDescent="0.15">
      <c r="B20" s="94" t="s">
        <v>115</v>
      </c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87"/>
      <c r="N20" s="91">
        <f>总体!I41</f>
        <v>0.32432432432432434</v>
      </c>
      <c r="O20" s="87"/>
      <c r="P20" s="87"/>
      <c r="Q20" s="87"/>
      <c r="R20" s="87"/>
    </row>
    <row r="21" spans="2:18" x14ac:dyDescent="0.15">
      <c r="B21" s="94"/>
      <c r="C21" s="94">
        <f>B18*C18*B13+F29</f>
        <v>197.73269999999999</v>
      </c>
      <c r="D21" s="94"/>
      <c r="E21" s="94"/>
      <c r="F21" s="94"/>
      <c r="G21" s="94"/>
      <c r="H21" s="94"/>
      <c r="I21" s="94"/>
      <c r="J21" s="94"/>
      <c r="K21" s="94"/>
      <c r="L21" s="94"/>
      <c r="M21" s="87" t="s">
        <v>92</v>
      </c>
      <c r="N21" s="87"/>
      <c r="O21" s="87"/>
      <c r="P21" s="87"/>
      <c r="Q21" s="87"/>
      <c r="R21" s="87"/>
    </row>
    <row r="22" spans="2:18" x14ac:dyDescent="0.15"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87"/>
      <c r="N22" s="87" t="s">
        <v>89</v>
      </c>
      <c r="O22" s="87" t="s">
        <v>90</v>
      </c>
      <c r="P22" s="87" t="s">
        <v>91</v>
      </c>
      <c r="Q22" s="87"/>
      <c r="R22" s="87"/>
    </row>
    <row r="23" spans="2:18" x14ac:dyDescent="0.15">
      <c r="B23" s="94" t="s">
        <v>118</v>
      </c>
      <c r="C23" s="94"/>
      <c r="D23" s="94"/>
      <c r="E23" s="94"/>
      <c r="F23" s="94"/>
      <c r="G23" s="99"/>
      <c r="H23" s="94"/>
      <c r="I23" s="94"/>
      <c r="J23" s="94"/>
      <c r="K23" s="94"/>
      <c r="L23" s="94"/>
      <c r="M23" s="87"/>
      <c r="N23" s="84">
        <f>1/S13</f>
        <v>0.18181818181818182</v>
      </c>
      <c r="O23" s="91">
        <f>N20/(N23*P23)</f>
        <v>0.59459459459459463</v>
      </c>
      <c r="P23" s="90">
        <v>3</v>
      </c>
      <c r="Q23" s="87"/>
      <c r="R23" s="87"/>
    </row>
    <row r="24" spans="2:18" x14ac:dyDescent="0.15">
      <c r="B24" s="94"/>
      <c r="C24" s="97" t="s">
        <v>119</v>
      </c>
      <c r="D24" s="97" t="s">
        <v>120</v>
      </c>
      <c r="E24" s="97" t="s">
        <v>121</v>
      </c>
      <c r="F24" s="97" t="s">
        <v>122</v>
      </c>
      <c r="G24" s="99" t="s">
        <v>120</v>
      </c>
      <c r="H24" s="94"/>
      <c r="I24" s="94"/>
      <c r="J24" s="94"/>
      <c r="K24" s="94"/>
      <c r="L24" s="94"/>
      <c r="M24" s="87"/>
      <c r="N24" s="87"/>
      <c r="O24" s="87"/>
      <c r="P24" s="87"/>
      <c r="Q24" s="87"/>
      <c r="R24" s="87"/>
    </row>
    <row r="25" spans="2:18" x14ac:dyDescent="0.15">
      <c r="B25" s="94"/>
      <c r="C25" s="94">
        <v>1</v>
      </c>
      <c r="D25" s="94">
        <v>0</v>
      </c>
      <c r="E25" s="94">
        <v>0</v>
      </c>
      <c r="F25" s="94">
        <v>0</v>
      </c>
      <c r="G25" s="99">
        <v>0</v>
      </c>
      <c r="H25" s="94"/>
      <c r="I25" s="94"/>
      <c r="J25" s="94"/>
      <c r="K25" s="94"/>
      <c r="L25" s="94"/>
      <c r="M25" s="87" t="s">
        <v>84</v>
      </c>
      <c r="N25" s="91">
        <f>C3/P9*Q4</f>
        <v>78.648589460271964</v>
      </c>
      <c r="O25" s="87"/>
      <c r="P25" s="87"/>
      <c r="Q25" s="87"/>
      <c r="R25" s="87"/>
    </row>
    <row r="26" spans="2:18" x14ac:dyDescent="0.15">
      <c r="B26" s="94"/>
      <c r="C26" s="94">
        <v>2</v>
      </c>
      <c r="D26" s="98">
        <v>0.1</v>
      </c>
      <c r="E26" s="94">
        <v>0.3</v>
      </c>
      <c r="F26" s="94">
        <v>0.30000000000000004</v>
      </c>
      <c r="G26" s="99">
        <v>0.10000000000000002</v>
      </c>
      <c r="H26" s="94"/>
      <c r="I26" s="94"/>
      <c r="J26" s="94"/>
      <c r="K26" s="94"/>
      <c r="L26" s="94"/>
      <c r="M26" s="87" t="s">
        <v>82</v>
      </c>
      <c r="N26" s="91">
        <f>C3/P9*S4</f>
        <v>60.498914969439966</v>
      </c>
      <c r="O26" s="87"/>
      <c r="P26" s="87"/>
      <c r="Q26" s="87"/>
      <c r="R26" s="87"/>
    </row>
    <row r="27" spans="2:18" x14ac:dyDescent="0.15">
      <c r="B27" s="94"/>
      <c r="C27" s="94">
        <v>3</v>
      </c>
      <c r="D27" s="98">
        <v>0.34</v>
      </c>
      <c r="E27" s="94">
        <v>0.91800000000000015</v>
      </c>
      <c r="F27" s="94">
        <v>1.2180000000000002</v>
      </c>
      <c r="G27" s="99">
        <v>0.40600000000000008</v>
      </c>
      <c r="H27" s="94"/>
      <c r="I27" s="94"/>
      <c r="J27" s="94"/>
      <c r="K27" s="94"/>
      <c r="L27" s="94"/>
      <c r="M27" s="87" t="s">
        <v>159</v>
      </c>
      <c r="N27" s="91">
        <f>B3/N10</f>
        <v>601.42857142857144</v>
      </c>
      <c r="O27" s="87"/>
      <c r="P27" s="87"/>
      <c r="Q27" s="87"/>
      <c r="R27" s="87"/>
    </row>
    <row r="28" spans="2:18" x14ac:dyDescent="0.15">
      <c r="B28" s="94"/>
      <c r="C28" s="94">
        <v>4</v>
      </c>
      <c r="D28" s="98">
        <v>0.5</v>
      </c>
      <c r="E28" s="94">
        <v>0.89100000000000001</v>
      </c>
      <c r="F28" s="94">
        <v>2.109</v>
      </c>
      <c r="G28" s="99">
        <v>0.70299999999999996</v>
      </c>
      <c r="H28" s="94"/>
      <c r="I28" s="94"/>
      <c r="J28" s="94"/>
      <c r="K28" s="94"/>
      <c r="L28" s="94"/>
    </row>
    <row r="29" spans="2:18" x14ac:dyDescent="0.15">
      <c r="B29" s="94"/>
      <c r="C29" s="94">
        <v>5</v>
      </c>
      <c r="D29" s="98">
        <v>0.7</v>
      </c>
      <c r="E29" s="94">
        <v>0.62370000000000003</v>
      </c>
      <c r="F29" s="94">
        <v>2.7326999999999999</v>
      </c>
      <c r="G29" s="99">
        <v>0.91089999999999993</v>
      </c>
      <c r="H29" s="94"/>
      <c r="I29" s="94"/>
      <c r="J29" s="94"/>
      <c r="K29" s="94"/>
      <c r="L29" s="94"/>
    </row>
    <row r="30" spans="2:18" x14ac:dyDescent="0.15">
      <c r="B30" s="94"/>
      <c r="C30" s="94">
        <v>6</v>
      </c>
      <c r="D30" s="98">
        <v>0.7</v>
      </c>
      <c r="E30" s="94">
        <v>0.18711</v>
      </c>
      <c r="F30" s="94">
        <v>2.91981</v>
      </c>
      <c r="G30" s="99">
        <v>0.97326999999999997</v>
      </c>
      <c r="H30" s="94"/>
      <c r="I30" s="94"/>
      <c r="J30" s="94"/>
      <c r="K30" s="94"/>
      <c r="L30" s="94"/>
    </row>
    <row r="31" spans="2:18" x14ac:dyDescent="0.15"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</row>
    <row r="32" spans="2:18" x14ac:dyDescent="0.15">
      <c r="B32" s="94" t="s">
        <v>123</v>
      </c>
      <c r="C32" s="94"/>
      <c r="D32" s="94"/>
      <c r="E32" s="94"/>
      <c r="F32" s="94"/>
      <c r="G32" s="94"/>
      <c r="H32" s="94"/>
      <c r="I32" s="94"/>
      <c r="J32" s="94"/>
      <c r="K32" s="94"/>
      <c r="L32" s="94"/>
    </row>
    <row r="33" spans="2:12" x14ac:dyDescent="0.15">
      <c r="B33" s="94"/>
      <c r="C33" s="94">
        <f>(C15*(10-J13)+10*(F13+G13)/SUM(F13,G13,I13)/K13*C21)/10</f>
        <v>70.526896822429904</v>
      </c>
      <c r="D33" s="94"/>
      <c r="E33" s="94"/>
      <c r="F33" s="94"/>
      <c r="G33" s="94"/>
      <c r="H33" s="94"/>
      <c r="I33" s="94"/>
      <c r="J33" s="94"/>
      <c r="K33" s="94"/>
      <c r="L33" s="94"/>
    </row>
    <row r="36" spans="2:12" x14ac:dyDescent="0.15">
      <c r="B36" s="55" t="s">
        <v>125</v>
      </c>
    </row>
    <row r="37" spans="2:12" x14ac:dyDescent="0.15">
      <c r="C37" s="73" t="s">
        <v>126</v>
      </c>
      <c r="D37" s="72"/>
      <c r="E37" s="72"/>
      <c r="F37" s="72"/>
      <c r="G37" s="72"/>
      <c r="H37" s="72"/>
      <c r="I37" s="71"/>
    </row>
    <row r="38" spans="2:12" x14ac:dyDescent="0.15">
      <c r="C38" s="72"/>
      <c r="D38" s="73" t="s">
        <v>127</v>
      </c>
      <c r="E38" s="72"/>
      <c r="F38" s="72"/>
      <c r="G38" s="72"/>
      <c r="H38" s="72"/>
      <c r="I38" s="72"/>
    </row>
    <row r="39" spans="2:12" x14ac:dyDescent="0.15">
      <c r="C39" s="72"/>
      <c r="D39" s="72"/>
      <c r="E39" s="73" t="s">
        <v>128</v>
      </c>
      <c r="F39" s="73" t="s">
        <v>129</v>
      </c>
      <c r="G39" s="73" t="s">
        <v>131</v>
      </c>
      <c r="H39" s="73" t="s">
        <v>130</v>
      </c>
      <c r="I39" s="73" t="s">
        <v>121</v>
      </c>
      <c r="J39" s="55" t="s">
        <v>134</v>
      </c>
    </row>
    <row r="40" spans="2:12" x14ac:dyDescent="0.15">
      <c r="C40" s="72"/>
      <c r="D40" s="72"/>
      <c r="E40" s="73">
        <v>0.33</v>
      </c>
      <c r="F40" s="75">
        <v>0.45</v>
      </c>
      <c r="G40" s="75">
        <v>0.06</v>
      </c>
      <c r="H40" s="75">
        <v>3</v>
      </c>
      <c r="I40" s="80">
        <f>1+E40*F40*G40*H40</f>
        <v>1.0267299999999999</v>
      </c>
      <c r="J40" s="78">
        <f>(I40-1)*总体!I39+1</f>
        <v>1.2004749999999995</v>
      </c>
    </row>
  </sheetData>
  <mergeCells count="2">
    <mergeCell ref="B1:F1"/>
    <mergeCell ref="F11:I1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13" workbookViewId="0">
      <selection activeCell="N33" sqref="N33"/>
    </sheetView>
  </sheetViews>
  <sheetFormatPr defaultRowHeight="13.5" x14ac:dyDescent="0.15"/>
  <sheetData>
    <row r="1" spans="1:19" s="73" customFormat="1" ht="16.5" x14ac:dyDescent="0.15">
      <c r="A1" s="73" t="s">
        <v>212</v>
      </c>
      <c r="B1" s="36" t="s">
        <v>62</v>
      </c>
      <c r="C1" s="38"/>
      <c r="D1" s="38"/>
      <c r="E1" s="38"/>
      <c r="F1" s="37"/>
      <c r="H1" s="73" t="s">
        <v>86</v>
      </c>
      <c r="M1" s="87" t="s">
        <v>9</v>
      </c>
      <c r="N1" s="87"/>
      <c r="O1" s="87"/>
      <c r="P1" s="87"/>
      <c r="Q1" s="87"/>
      <c r="R1" s="87"/>
      <c r="S1" s="87"/>
    </row>
    <row r="2" spans="1:19" s="73" customFormat="1" ht="16.5" x14ac:dyDescent="0.15">
      <c r="B2" s="52" t="s">
        <v>66</v>
      </c>
      <c r="C2" s="52" t="s">
        <v>67</v>
      </c>
      <c r="D2" s="52" t="s">
        <v>68</v>
      </c>
      <c r="E2" s="52" t="s">
        <v>69</v>
      </c>
      <c r="F2" s="52" t="s">
        <v>70</v>
      </c>
      <c r="H2" s="73" t="s">
        <v>124</v>
      </c>
      <c r="M2" s="87"/>
      <c r="N2" s="87"/>
      <c r="O2" s="87"/>
      <c r="P2" s="87"/>
      <c r="Q2" s="87" t="s">
        <v>81</v>
      </c>
      <c r="R2" s="87"/>
      <c r="S2" s="87" t="s">
        <v>174</v>
      </c>
    </row>
    <row r="3" spans="1:19" s="73" customFormat="1" ht="16.5" x14ac:dyDescent="0.15">
      <c r="B3" s="52">
        <v>468</v>
      </c>
      <c r="C3" s="52">
        <v>165</v>
      </c>
      <c r="D3" s="52">
        <v>38</v>
      </c>
      <c r="E3" s="52">
        <v>82</v>
      </c>
      <c r="F3" s="52">
        <v>0.9572072072072072</v>
      </c>
      <c r="M3" s="92" t="s">
        <v>146</v>
      </c>
      <c r="N3" s="92"/>
      <c r="O3" s="92"/>
      <c r="P3" s="92"/>
      <c r="Q3" s="79">
        <v>2</v>
      </c>
      <c r="R3" s="92" t="s">
        <v>147</v>
      </c>
      <c r="S3" s="79">
        <v>1</v>
      </c>
    </row>
    <row r="4" spans="1:19" s="77" customFormat="1" ht="16.5" x14ac:dyDescent="0.15">
      <c r="B4" s="54"/>
      <c r="C4" s="54"/>
      <c r="D4" s="54"/>
      <c r="E4" s="54"/>
      <c r="F4" s="54"/>
      <c r="M4" s="92" t="s">
        <v>161</v>
      </c>
      <c r="N4" s="92"/>
      <c r="O4" s="92"/>
      <c r="P4" s="92"/>
      <c r="Q4" s="79">
        <v>1</v>
      </c>
      <c r="R4" s="92" t="s">
        <v>147</v>
      </c>
      <c r="S4" s="79">
        <v>1</v>
      </c>
    </row>
    <row r="5" spans="1:19" s="73" customFormat="1" ht="16.5" x14ac:dyDescent="0.15">
      <c r="B5" s="94" t="s">
        <v>87</v>
      </c>
      <c r="C5" s="94"/>
      <c r="D5" s="95"/>
      <c r="E5" s="95"/>
      <c r="F5" s="96" t="s">
        <v>108</v>
      </c>
      <c r="G5" s="96"/>
      <c r="H5" s="96"/>
      <c r="I5" s="96"/>
      <c r="J5" s="95"/>
      <c r="K5" s="94"/>
      <c r="L5" s="94"/>
      <c r="M5" s="92" t="s">
        <v>150</v>
      </c>
      <c r="N5" s="92"/>
      <c r="O5" s="79">
        <v>0.2</v>
      </c>
      <c r="P5" s="92"/>
      <c r="Q5" s="92"/>
      <c r="R5" s="92"/>
      <c r="S5" s="92"/>
    </row>
    <row r="6" spans="1:19" s="73" customFormat="1" ht="16.5" x14ac:dyDescent="0.15">
      <c r="B6" s="95" t="s">
        <v>84</v>
      </c>
      <c r="C6" s="95" t="s">
        <v>82</v>
      </c>
      <c r="D6" s="97" t="s">
        <v>112</v>
      </c>
      <c r="E6" s="94"/>
      <c r="F6" s="97" t="s">
        <v>103</v>
      </c>
      <c r="G6" s="97" t="s">
        <v>104</v>
      </c>
      <c r="H6" s="97" t="s">
        <v>105</v>
      </c>
      <c r="I6" s="97" t="s">
        <v>106</v>
      </c>
      <c r="J6" s="97" t="s">
        <v>110</v>
      </c>
      <c r="K6" s="97" t="s">
        <v>109</v>
      </c>
      <c r="L6" s="94"/>
      <c r="M6" s="92" t="s">
        <v>160</v>
      </c>
      <c r="N6" s="79">
        <v>40</v>
      </c>
      <c r="O6" s="92"/>
      <c r="P6" s="92"/>
      <c r="Q6" s="92"/>
      <c r="R6" s="92"/>
      <c r="S6" s="92"/>
    </row>
    <row r="7" spans="1:19" s="73" customFormat="1" ht="16.5" x14ac:dyDescent="0.15">
      <c r="B7" s="98">
        <v>100</v>
      </c>
      <c r="C7" s="98">
        <v>30</v>
      </c>
      <c r="D7" s="98">
        <v>15</v>
      </c>
      <c r="E7" s="94"/>
      <c r="F7" s="98">
        <v>0.8</v>
      </c>
      <c r="G7" s="98">
        <v>0.1</v>
      </c>
      <c r="H7" s="98">
        <v>0.05</v>
      </c>
      <c r="I7" s="98">
        <v>0.05</v>
      </c>
      <c r="J7" s="94">
        <v>1</v>
      </c>
      <c r="K7" s="94">
        <v>5</v>
      </c>
      <c r="L7" s="94"/>
      <c r="M7" s="92" t="s">
        <v>148</v>
      </c>
      <c r="N7" s="91">
        <f>N10*P9</f>
        <v>3.7440755171253266</v>
      </c>
      <c r="O7" s="92"/>
      <c r="P7" s="92"/>
      <c r="Q7" s="92"/>
      <c r="R7" s="92"/>
      <c r="S7" s="92"/>
    </row>
    <row r="8" spans="1:19" s="73" customFormat="1" ht="16.5" x14ac:dyDescent="0.15">
      <c r="B8" s="94" t="s">
        <v>114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87"/>
      <c r="N8" s="92" t="s">
        <v>151</v>
      </c>
      <c r="O8" s="87" t="s">
        <v>154</v>
      </c>
      <c r="P8" s="87" t="s">
        <v>158</v>
      </c>
      <c r="Q8" s="87"/>
      <c r="R8" s="87"/>
      <c r="S8" s="87"/>
    </row>
    <row r="9" spans="1:19" s="73" customFormat="1" ht="16.5" x14ac:dyDescent="0.15">
      <c r="B9" s="94"/>
      <c r="C9" s="94">
        <f>$B$7*$F$7/SUM($F$7,$G$7,$I$7)*(技能系数!E5+$D$7*技能系数!$D$1)+$C$7*$G$7/SUM($F$7,$G$7,$I$7)*(技能系数!E14+$D$7*技能系数!$D$1)+技能系数!$C$38*$I$7/SUM($F$7,$G$7,$I$7)</f>
        <v>117.17235612395473</v>
      </c>
      <c r="D9" s="94"/>
      <c r="E9" s="94"/>
      <c r="F9" s="94"/>
      <c r="G9" s="94"/>
      <c r="H9" s="94"/>
      <c r="I9" s="94"/>
      <c r="J9" s="94"/>
      <c r="K9" s="94"/>
      <c r="L9" s="94"/>
      <c r="M9" s="87" t="s">
        <v>152</v>
      </c>
      <c r="N9" s="91">
        <f>Q3*((技能系数!$E5+(N6-1)*技能系数!$D$1)*(N13/(SUM(N13:Q13)-P13)))+((O13/(SUM(N13:Q13)-P13))*(技能系数!$E14+(N6-1)*技能系数!$D$1))*S3</f>
        <v>2.8173241515002458</v>
      </c>
      <c r="O9" s="91">
        <f>N9*S13*O5/(1-O5)</f>
        <v>3.8738207083128384</v>
      </c>
      <c r="P9" s="91">
        <f>(N9*S13+O9)/S13</f>
        <v>3.5216551893753074</v>
      </c>
      <c r="Q9" s="87"/>
      <c r="R9" s="87"/>
      <c r="S9" s="87"/>
    </row>
    <row r="10" spans="1:19" s="73" customFormat="1" ht="16.5" x14ac:dyDescent="0.15"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87" t="s">
        <v>153</v>
      </c>
      <c r="N10" s="91">
        <f>(技能系数!$C$38*(Q13/(SUM(N13:Q13)-P13)))+1</f>
        <v>1.0631578947368421</v>
      </c>
      <c r="O10" s="87"/>
      <c r="P10" s="87"/>
      <c r="Q10" s="87"/>
      <c r="R10" s="87"/>
      <c r="S10" s="87"/>
    </row>
    <row r="11" spans="1:19" s="73" customFormat="1" ht="16.5" x14ac:dyDescent="0.15">
      <c r="B11" s="94" t="s">
        <v>116</v>
      </c>
      <c r="C11" s="94" t="s">
        <v>117</v>
      </c>
      <c r="D11" s="94"/>
      <c r="E11" s="94"/>
      <c r="F11" s="94"/>
      <c r="G11" s="94"/>
      <c r="H11" s="94"/>
      <c r="I11" s="94"/>
      <c r="J11" s="94"/>
      <c r="K11" s="94"/>
      <c r="L11" s="94"/>
      <c r="M11" s="87"/>
      <c r="N11" s="57" t="s">
        <v>108</v>
      </c>
      <c r="O11" s="57"/>
      <c r="P11" s="57"/>
      <c r="Q11" s="57"/>
      <c r="R11" s="60"/>
      <c r="S11" s="87"/>
    </row>
    <row r="12" spans="1:19" s="73" customFormat="1" ht="16.5" x14ac:dyDescent="0.15">
      <c r="B12" s="98">
        <v>10</v>
      </c>
      <c r="C12" s="98">
        <v>0.3</v>
      </c>
      <c r="D12" s="94"/>
      <c r="E12" s="94"/>
      <c r="F12" s="94"/>
      <c r="G12" s="94"/>
      <c r="H12" s="94"/>
      <c r="I12" s="94"/>
      <c r="J12" s="94"/>
      <c r="K12" s="94"/>
      <c r="L12" s="94"/>
      <c r="M12" s="87"/>
      <c r="N12" s="86" t="s">
        <v>103</v>
      </c>
      <c r="O12" s="86" t="s">
        <v>104</v>
      </c>
      <c r="P12" s="86" t="s">
        <v>105</v>
      </c>
      <c r="Q12" s="86" t="s">
        <v>106</v>
      </c>
      <c r="R12" s="86" t="s">
        <v>149</v>
      </c>
      <c r="S12" s="86" t="s">
        <v>109</v>
      </c>
    </row>
    <row r="13" spans="1:19" s="73" customFormat="1" ht="16.5" x14ac:dyDescent="0.15"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87"/>
      <c r="N13" s="75">
        <v>0.8</v>
      </c>
      <c r="O13" s="75">
        <v>0.1</v>
      </c>
      <c r="P13" s="75">
        <v>0.05</v>
      </c>
      <c r="Q13" s="75">
        <v>0.05</v>
      </c>
      <c r="R13" s="75">
        <v>1</v>
      </c>
      <c r="S13" s="84">
        <f>(10+R13)/2</f>
        <v>5.5</v>
      </c>
    </row>
    <row r="14" spans="1:19" s="73" customFormat="1" ht="16.5" x14ac:dyDescent="0.15">
      <c r="B14" s="94" t="s">
        <v>115</v>
      </c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87"/>
      <c r="N14" s="87"/>
      <c r="O14" s="87"/>
      <c r="P14" s="87"/>
      <c r="Q14" s="87"/>
      <c r="R14" s="87"/>
      <c r="S14" s="87"/>
    </row>
    <row r="15" spans="1:19" s="73" customFormat="1" ht="16.5" x14ac:dyDescent="0.15">
      <c r="B15" s="94"/>
      <c r="C15" s="94">
        <f>B12*C12*B7+F24</f>
        <v>302.91980999999998</v>
      </c>
      <c r="D15" s="94"/>
      <c r="E15" s="94"/>
      <c r="F15" s="94"/>
      <c r="G15" s="94"/>
      <c r="H15" s="94"/>
      <c r="I15" s="94"/>
      <c r="J15" s="94"/>
      <c r="K15" s="94"/>
      <c r="L15" s="94"/>
      <c r="M15" s="87" t="s">
        <v>155</v>
      </c>
      <c r="N15" s="87"/>
      <c r="O15" s="87"/>
      <c r="P15" s="87"/>
      <c r="Q15" s="87"/>
      <c r="R15" s="87"/>
      <c r="S15" s="87"/>
    </row>
    <row r="16" spans="1:19" s="73" customFormat="1" ht="16.5" x14ac:dyDescent="0.15"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87"/>
      <c r="N16" s="87" t="s">
        <v>156</v>
      </c>
      <c r="O16" s="87" t="s">
        <v>157</v>
      </c>
      <c r="P16" s="87" t="s">
        <v>163</v>
      </c>
      <c r="Q16" s="87"/>
      <c r="R16" s="87"/>
      <c r="S16" s="87"/>
    </row>
    <row r="17" spans="2:19" s="73" customFormat="1" ht="16.5" x14ac:dyDescent="0.15">
      <c r="B17" s="94" t="s">
        <v>118</v>
      </c>
      <c r="C17" s="94"/>
      <c r="D17" s="94"/>
      <c r="E17" s="94"/>
      <c r="F17" s="94"/>
      <c r="G17" s="99"/>
      <c r="H17" s="94"/>
      <c r="I17" s="94"/>
      <c r="J17" s="94"/>
      <c r="K17" s="94"/>
      <c r="L17" s="94"/>
      <c r="M17" s="87"/>
      <c r="N17" s="87">
        <v>10</v>
      </c>
      <c r="O17" s="91">
        <f>O9/N17</f>
        <v>0.38738207083128384</v>
      </c>
      <c r="P17" s="87"/>
      <c r="Q17" s="87"/>
      <c r="R17" s="87"/>
      <c r="S17" s="87"/>
    </row>
    <row r="18" spans="2:19" s="73" customFormat="1" ht="16.5" x14ac:dyDescent="0.15">
      <c r="B18" s="94"/>
      <c r="C18" s="97" t="s">
        <v>119</v>
      </c>
      <c r="D18" s="97" t="s">
        <v>120</v>
      </c>
      <c r="E18" s="97" t="s">
        <v>121</v>
      </c>
      <c r="F18" s="97" t="s">
        <v>122</v>
      </c>
      <c r="G18" s="99" t="s">
        <v>120</v>
      </c>
      <c r="H18" s="94"/>
      <c r="I18" s="94"/>
      <c r="J18" s="94"/>
      <c r="K18" s="94"/>
      <c r="L18" s="94"/>
      <c r="M18" s="87"/>
      <c r="N18" s="87"/>
      <c r="O18" s="87"/>
      <c r="P18" s="87"/>
      <c r="Q18" s="87"/>
      <c r="R18" s="87"/>
      <c r="S18" s="87"/>
    </row>
    <row r="19" spans="2:19" s="73" customFormat="1" ht="16.5" x14ac:dyDescent="0.15">
      <c r="B19" s="94"/>
      <c r="C19" s="94">
        <v>1</v>
      </c>
      <c r="D19" s="94">
        <v>0</v>
      </c>
      <c r="E19" s="94">
        <v>0</v>
      </c>
      <c r="F19" s="94">
        <v>0</v>
      </c>
      <c r="G19" s="99">
        <v>0</v>
      </c>
      <c r="H19" s="94"/>
      <c r="I19" s="94"/>
      <c r="J19" s="94"/>
      <c r="K19" s="94"/>
      <c r="L19" s="94"/>
      <c r="M19" s="87" t="s">
        <v>84</v>
      </c>
      <c r="N19" s="91">
        <f>C3/P9*Q3</f>
        <v>93.705937195554171</v>
      </c>
      <c r="O19" s="87"/>
      <c r="P19" s="87"/>
      <c r="Q19" s="87"/>
      <c r="R19" s="87"/>
      <c r="S19" s="87"/>
    </row>
    <row r="20" spans="2:19" s="73" customFormat="1" ht="16.5" x14ac:dyDescent="0.15">
      <c r="B20" s="94"/>
      <c r="C20" s="94">
        <v>2</v>
      </c>
      <c r="D20" s="98">
        <v>0.1</v>
      </c>
      <c r="E20" s="94">
        <v>0.30000000000000004</v>
      </c>
      <c r="F20" s="94">
        <v>0.30000000000000004</v>
      </c>
      <c r="G20" s="99">
        <v>0.10000000000000002</v>
      </c>
      <c r="H20" s="94"/>
      <c r="I20" s="94"/>
      <c r="J20" s="94"/>
      <c r="K20" s="94"/>
      <c r="L20" s="94"/>
      <c r="M20" s="87" t="s">
        <v>82</v>
      </c>
      <c r="N20" s="91">
        <f>C3/P9*S3</f>
        <v>46.852968597777085</v>
      </c>
      <c r="O20" s="87"/>
      <c r="P20" s="87"/>
      <c r="Q20" s="87"/>
      <c r="R20" s="87"/>
      <c r="S20" s="87"/>
    </row>
    <row r="21" spans="2:19" s="73" customFormat="1" ht="16.5" x14ac:dyDescent="0.15">
      <c r="B21" s="94"/>
      <c r="C21" s="94">
        <v>3</v>
      </c>
      <c r="D21" s="98">
        <v>0.34</v>
      </c>
      <c r="E21" s="94">
        <v>0.91800000000000015</v>
      </c>
      <c r="F21" s="94">
        <v>1.2180000000000002</v>
      </c>
      <c r="G21" s="99">
        <v>0.40600000000000008</v>
      </c>
      <c r="H21" s="94"/>
      <c r="I21" s="94"/>
      <c r="J21" s="94"/>
      <c r="K21" s="94"/>
      <c r="L21" s="94"/>
      <c r="M21" s="87" t="s">
        <v>159</v>
      </c>
      <c r="N21" s="91">
        <f>B3/N10</f>
        <v>440.19801980198019</v>
      </c>
      <c r="O21" s="87"/>
      <c r="P21" s="87"/>
      <c r="Q21" s="87"/>
      <c r="R21" s="87"/>
      <c r="S21" s="87"/>
    </row>
    <row r="22" spans="2:19" s="73" customFormat="1" ht="16.5" x14ac:dyDescent="0.15">
      <c r="B22" s="94"/>
      <c r="C22" s="94">
        <v>4</v>
      </c>
      <c r="D22" s="98">
        <v>0.5</v>
      </c>
      <c r="E22" s="94">
        <v>0.89100000000000001</v>
      </c>
      <c r="F22" s="94">
        <v>2.109</v>
      </c>
      <c r="G22" s="99">
        <v>0.70299999999999996</v>
      </c>
      <c r="H22" s="94"/>
      <c r="I22" s="94"/>
      <c r="J22" s="94"/>
      <c r="K22" s="94"/>
      <c r="L22" s="94"/>
    </row>
    <row r="23" spans="2:19" s="73" customFormat="1" ht="16.5" x14ac:dyDescent="0.15">
      <c r="B23" s="94"/>
      <c r="C23" s="94">
        <v>5</v>
      </c>
      <c r="D23" s="98">
        <v>0.7</v>
      </c>
      <c r="E23" s="94">
        <v>0.62370000000000003</v>
      </c>
      <c r="F23" s="94">
        <v>2.7326999999999999</v>
      </c>
      <c r="G23" s="99">
        <v>0.91089999999999993</v>
      </c>
      <c r="H23" s="94"/>
      <c r="I23" s="94"/>
      <c r="J23" s="94"/>
      <c r="K23" s="94"/>
      <c r="L23" s="94"/>
    </row>
    <row r="24" spans="2:19" s="73" customFormat="1" ht="16.5" x14ac:dyDescent="0.15">
      <c r="B24" s="94"/>
      <c r="C24" s="94">
        <v>6</v>
      </c>
      <c r="D24" s="98">
        <v>0.7</v>
      </c>
      <c r="E24" s="94">
        <v>0.18711</v>
      </c>
      <c r="F24" s="94">
        <v>2.91981</v>
      </c>
      <c r="G24" s="99">
        <v>0.97326999999999997</v>
      </c>
      <c r="H24" s="94"/>
      <c r="I24" s="94"/>
      <c r="J24" s="94"/>
      <c r="K24" s="94"/>
      <c r="L24" s="94"/>
    </row>
    <row r="25" spans="2:19" s="73" customFormat="1" ht="16.5" x14ac:dyDescent="0.15"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</row>
    <row r="26" spans="2:19" s="73" customFormat="1" ht="16.5" x14ac:dyDescent="0.15">
      <c r="B26" s="94" t="s">
        <v>123</v>
      </c>
      <c r="C26" s="94"/>
      <c r="D26" s="94"/>
      <c r="E26" s="94"/>
      <c r="F26" s="94"/>
      <c r="G26" s="94"/>
      <c r="H26" s="94"/>
      <c r="I26" s="94"/>
      <c r="J26" s="94"/>
      <c r="K26" s="94"/>
      <c r="L26" s="94"/>
    </row>
    <row r="27" spans="2:19" s="73" customFormat="1" ht="16.5" x14ac:dyDescent="0.15">
      <c r="B27" s="94"/>
      <c r="C27" s="94">
        <f>(C9*(10-J7)+10*(F7+G7)/SUM(F7,G7,I7)/K7*C15)/10</f>
        <v>162.85045293261186</v>
      </c>
      <c r="D27" s="94"/>
      <c r="E27" s="94"/>
      <c r="F27" s="94"/>
      <c r="G27" s="94"/>
      <c r="H27" s="94"/>
      <c r="I27" s="94"/>
      <c r="J27" s="94"/>
      <c r="K27" s="94"/>
      <c r="L27" s="94"/>
    </row>
    <row r="28" spans="2:19" s="73" customFormat="1" ht="16.5" x14ac:dyDescent="0.15"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</row>
    <row r="29" spans="2:19" s="73" customFormat="1" ht="16.5" x14ac:dyDescent="0.15"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</row>
    <row r="30" spans="2:19" s="73" customFormat="1" ht="16.5" x14ac:dyDescent="0.15">
      <c r="B30" s="94" t="s">
        <v>125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</row>
    <row r="31" spans="2:19" s="73" customFormat="1" ht="16.5" x14ac:dyDescent="0.15">
      <c r="B31" s="94"/>
      <c r="C31" s="94" t="s">
        <v>133</v>
      </c>
      <c r="D31" s="100"/>
      <c r="E31" s="100"/>
      <c r="F31" s="100"/>
      <c r="G31" s="100"/>
      <c r="H31" s="100"/>
      <c r="I31" s="94"/>
      <c r="J31" s="94"/>
      <c r="K31" s="94"/>
      <c r="L31" s="94"/>
    </row>
    <row r="32" spans="2:19" s="73" customFormat="1" ht="16.5" x14ac:dyDescent="0.15">
      <c r="B32" s="94"/>
      <c r="C32" s="100"/>
      <c r="D32" s="94">
        <f>技能系数!E5</f>
        <v>1.2</v>
      </c>
      <c r="E32" s="100"/>
      <c r="F32" s="100"/>
      <c r="G32" s="100"/>
      <c r="H32" s="100"/>
      <c r="I32" s="100"/>
      <c r="J32" s="94"/>
      <c r="K32" s="94"/>
      <c r="L32" s="94"/>
    </row>
    <row r="33" spans="1:14" s="73" customFormat="1" ht="16.5" x14ac:dyDescent="0.15">
      <c r="A33" s="122" t="s">
        <v>211</v>
      </c>
      <c r="B33" s="36" t="s">
        <v>62</v>
      </c>
      <c r="C33" s="38"/>
      <c r="D33" s="38"/>
      <c r="E33" s="38"/>
      <c r="F33" s="37"/>
      <c r="G33" s="77"/>
      <c r="H33" s="77"/>
      <c r="I33" s="77"/>
      <c r="M33" s="122" t="s">
        <v>84</v>
      </c>
      <c r="N33" s="130">
        <f>C35/P9*Q3</f>
        <v>713.30095222797604</v>
      </c>
    </row>
    <row r="34" spans="1:14" s="73" customFormat="1" ht="16.5" x14ac:dyDescent="0.15">
      <c r="B34" s="131" t="s">
        <v>66</v>
      </c>
      <c r="C34" s="131" t="s">
        <v>67</v>
      </c>
      <c r="D34" s="131" t="s">
        <v>68</v>
      </c>
      <c r="E34" s="131" t="s">
        <v>69</v>
      </c>
      <c r="F34" s="131" t="s">
        <v>70</v>
      </c>
      <c r="G34" s="79"/>
      <c r="H34" s="79"/>
      <c r="I34" s="81"/>
      <c r="M34" s="122" t="s">
        <v>82</v>
      </c>
      <c r="N34" s="130">
        <f>C35/P9*S3</f>
        <v>356.65047611398802</v>
      </c>
    </row>
    <row r="35" spans="1:14" ht="16.5" x14ac:dyDescent="0.15">
      <c r="B35" s="131">
        <v>3555</v>
      </c>
      <c r="C35" s="131">
        <v>1256</v>
      </c>
      <c r="D35" s="131">
        <v>288</v>
      </c>
      <c r="E35" s="131">
        <v>628</v>
      </c>
      <c r="F35" s="131">
        <v>0.87939698492462304</v>
      </c>
      <c r="M35" s="122" t="s">
        <v>159</v>
      </c>
      <c r="N35" s="130">
        <f>B35/N10</f>
        <v>3343.8118811881191</v>
      </c>
    </row>
  </sheetData>
  <mergeCells count="4">
    <mergeCell ref="B1:F1"/>
    <mergeCell ref="F5:I5"/>
    <mergeCell ref="N11:Q11"/>
    <mergeCell ref="B33:F3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J7" sqref="J7"/>
    </sheetView>
  </sheetViews>
  <sheetFormatPr defaultRowHeight="16.5" x14ac:dyDescent="0.15"/>
  <cols>
    <col min="1" max="16384" width="9" style="87"/>
  </cols>
  <sheetData>
    <row r="1" spans="1:16" x14ac:dyDescent="0.15">
      <c r="A1" s="122" t="s">
        <v>212</v>
      </c>
      <c r="B1" s="36" t="s">
        <v>62</v>
      </c>
      <c r="C1" s="38"/>
      <c r="D1" s="38"/>
      <c r="E1" s="38"/>
      <c r="F1" s="37"/>
      <c r="I1" s="87" t="s">
        <v>18</v>
      </c>
    </row>
    <row r="2" spans="1:16" x14ac:dyDescent="0.15">
      <c r="A2" s="122"/>
      <c r="B2" s="52" t="s">
        <v>66</v>
      </c>
      <c r="C2" s="52" t="s">
        <v>67</v>
      </c>
      <c r="D2" s="52" t="s">
        <v>68</v>
      </c>
      <c r="E2" s="52" t="s">
        <v>69</v>
      </c>
      <c r="F2" s="52" t="s">
        <v>70</v>
      </c>
      <c r="M2" s="87" t="s">
        <v>81</v>
      </c>
      <c r="O2" s="87" t="s">
        <v>174</v>
      </c>
    </row>
    <row r="3" spans="1:16" x14ac:dyDescent="0.15">
      <c r="A3" s="122"/>
      <c r="B3" s="52">
        <v>468</v>
      </c>
      <c r="C3" s="52">
        <v>165</v>
      </c>
      <c r="D3" s="52">
        <v>38</v>
      </c>
      <c r="E3" s="52">
        <v>82</v>
      </c>
      <c r="F3" s="52">
        <v>0.9572072072072072</v>
      </c>
      <c r="I3" s="92" t="s">
        <v>146</v>
      </c>
      <c r="J3" s="92"/>
      <c r="K3" s="92"/>
      <c r="L3" s="92"/>
      <c r="M3" s="79">
        <v>2</v>
      </c>
      <c r="N3" s="92" t="s">
        <v>147</v>
      </c>
      <c r="O3" s="79">
        <v>1</v>
      </c>
    </row>
    <row r="4" spans="1:16" x14ac:dyDescent="0.15">
      <c r="A4" s="133"/>
      <c r="I4" s="92" t="s">
        <v>161</v>
      </c>
      <c r="J4" s="92"/>
      <c r="K4" s="92"/>
      <c r="L4" s="92"/>
      <c r="M4" s="79">
        <v>1</v>
      </c>
      <c r="N4" s="92" t="s">
        <v>147</v>
      </c>
      <c r="O4" s="79">
        <v>1</v>
      </c>
      <c r="P4" s="92"/>
    </row>
    <row r="5" spans="1:16" x14ac:dyDescent="0.15">
      <c r="A5" s="122"/>
      <c r="I5" s="92" t="s">
        <v>150</v>
      </c>
      <c r="J5" s="92"/>
      <c r="K5" s="79">
        <v>0.2</v>
      </c>
      <c r="L5" s="92"/>
      <c r="M5" s="92"/>
      <c r="N5" s="92"/>
      <c r="O5" s="92"/>
    </row>
    <row r="6" spans="1:16" x14ac:dyDescent="0.15">
      <c r="A6" s="122"/>
      <c r="I6" s="92" t="s">
        <v>160</v>
      </c>
      <c r="J6" s="79">
        <v>40</v>
      </c>
      <c r="K6" s="92"/>
      <c r="L6" s="92"/>
      <c r="M6" s="92"/>
      <c r="N6" s="92"/>
      <c r="O6" s="92"/>
    </row>
    <row r="7" spans="1:16" x14ac:dyDescent="0.15">
      <c r="A7" s="122"/>
      <c r="I7" s="92" t="s">
        <v>148</v>
      </c>
      <c r="J7" s="91">
        <f>J10*L9</f>
        <v>4.2178684598855725</v>
      </c>
      <c r="K7" s="92"/>
      <c r="L7" s="92"/>
      <c r="M7" s="92"/>
      <c r="N7" s="92"/>
      <c r="O7" s="92"/>
    </row>
    <row r="8" spans="1:16" x14ac:dyDescent="0.15">
      <c r="A8" s="122"/>
      <c r="J8" s="92" t="s">
        <v>151</v>
      </c>
      <c r="K8" s="87" t="s">
        <v>154</v>
      </c>
      <c r="L8" s="87" t="s">
        <v>158</v>
      </c>
    </row>
    <row r="9" spans="1:16" x14ac:dyDescent="0.15">
      <c r="A9" s="122"/>
      <c r="I9" s="87" t="s">
        <v>152</v>
      </c>
      <c r="J9" s="91">
        <f>M3*((技能系数!E6+(J6-1)*技能系数!$D$1)*(J13/(SUM(J13:M13)-L13)))+((K13/(SUM(J13:M13)-L13))*(技能系数!E15+(J6-1)*技能系数!$D$1))*O3</f>
        <v>3.1738416133792429</v>
      </c>
      <c r="K9" s="91">
        <f>J9*O13*K5/(1-K5)</f>
        <v>4.3640322183964591</v>
      </c>
      <c r="L9" s="91">
        <f>(J9*O13+K9)/O13</f>
        <v>3.9673020167240538</v>
      </c>
    </row>
    <row r="10" spans="1:16" x14ac:dyDescent="0.15">
      <c r="A10" s="122"/>
      <c r="I10" s="87" t="s">
        <v>153</v>
      </c>
      <c r="J10" s="91">
        <f>(技能系数!$C$38*(M13/(SUM(J13:M13)-L13)))+1</f>
        <v>1.0631578947368421</v>
      </c>
    </row>
    <row r="11" spans="1:16" x14ac:dyDescent="0.15">
      <c r="A11" s="122"/>
      <c r="J11" s="57" t="s">
        <v>108</v>
      </c>
      <c r="K11" s="57"/>
      <c r="L11" s="57"/>
      <c r="M11" s="57"/>
      <c r="N11" s="60"/>
    </row>
    <row r="12" spans="1:16" x14ac:dyDescent="0.15">
      <c r="A12" s="122"/>
      <c r="J12" s="86" t="s">
        <v>103</v>
      </c>
      <c r="K12" s="86" t="s">
        <v>104</v>
      </c>
      <c r="L12" s="86" t="s">
        <v>105</v>
      </c>
      <c r="M12" s="86" t="s">
        <v>106</v>
      </c>
      <c r="N12" s="86" t="s">
        <v>149</v>
      </c>
      <c r="O12" s="86" t="s">
        <v>109</v>
      </c>
    </row>
    <row r="13" spans="1:16" x14ac:dyDescent="0.15">
      <c r="A13" s="122"/>
      <c r="J13" s="75">
        <v>0.8</v>
      </c>
      <c r="K13" s="75">
        <v>0.1</v>
      </c>
      <c r="L13" s="75">
        <v>0.05</v>
      </c>
      <c r="M13" s="75">
        <v>0.05</v>
      </c>
      <c r="N13" s="75">
        <v>1</v>
      </c>
      <c r="O13" s="84">
        <f>(10+N13)/2</f>
        <v>5.5</v>
      </c>
    </row>
    <row r="14" spans="1:16" x14ac:dyDescent="0.15">
      <c r="A14" s="122"/>
    </row>
    <row r="15" spans="1:16" x14ac:dyDescent="0.15">
      <c r="A15" s="122"/>
      <c r="I15" s="87" t="s">
        <v>155</v>
      </c>
    </row>
    <row r="16" spans="1:16" x14ac:dyDescent="0.15">
      <c r="A16" s="122"/>
      <c r="J16" s="87" t="s">
        <v>168</v>
      </c>
      <c r="K16" s="87" t="s">
        <v>169</v>
      </c>
      <c r="L16" s="87" t="s">
        <v>171</v>
      </c>
      <c r="M16" s="87" t="s">
        <v>170</v>
      </c>
    </row>
    <row r="17" spans="1:13" x14ac:dyDescent="0.15">
      <c r="A17" s="122"/>
      <c r="J17" s="91">
        <f>技能系数!D31</f>
        <v>0.33</v>
      </c>
      <c r="K17" s="87">
        <v>0.2</v>
      </c>
      <c r="L17" s="87">
        <v>3</v>
      </c>
      <c r="M17" s="87">
        <f>J17*L17*K17*J19</f>
        <v>1.3860000000000001</v>
      </c>
    </row>
    <row r="18" spans="1:13" x14ac:dyDescent="0.15">
      <c r="A18" s="122"/>
      <c r="J18" s="87" t="s">
        <v>156</v>
      </c>
      <c r="K18" s="87" t="s">
        <v>157</v>
      </c>
    </row>
    <row r="19" spans="1:13" x14ac:dyDescent="0.15">
      <c r="A19" s="122"/>
      <c r="J19" s="87">
        <v>7</v>
      </c>
      <c r="K19" s="91">
        <f>(K9-M17)/J19</f>
        <v>0.425433174056637</v>
      </c>
    </row>
    <row r="20" spans="1:13" x14ac:dyDescent="0.15">
      <c r="A20" s="122"/>
    </row>
    <row r="21" spans="1:13" x14ac:dyDescent="0.15">
      <c r="A21" s="122"/>
      <c r="I21" s="87" t="s">
        <v>84</v>
      </c>
      <c r="J21" s="91">
        <f>C3/L9*M3</f>
        <v>83.179954187731099</v>
      </c>
    </row>
    <row r="22" spans="1:13" x14ac:dyDescent="0.15">
      <c r="A22" s="122"/>
      <c r="I22" s="87" t="s">
        <v>82</v>
      </c>
      <c r="J22" s="91">
        <f>C3/L9*O3</f>
        <v>41.589977093865549</v>
      </c>
    </row>
    <row r="23" spans="1:13" x14ac:dyDescent="0.15">
      <c r="A23" s="122"/>
      <c r="I23" s="87" t="s">
        <v>159</v>
      </c>
      <c r="J23" s="91">
        <f>B3/J10</f>
        <v>440.19801980198019</v>
      </c>
    </row>
    <row r="24" spans="1:13" x14ac:dyDescent="0.15">
      <c r="A24" s="122"/>
    </row>
    <row r="25" spans="1:13" x14ac:dyDescent="0.15">
      <c r="A25" s="122" t="s">
        <v>211</v>
      </c>
      <c r="B25" s="36" t="s">
        <v>62</v>
      </c>
      <c r="C25" s="38"/>
      <c r="D25" s="38"/>
      <c r="E25" s="38"/>
      <c r="F25" s="37"/>
    </row>
    <row r="26" spans="1:13" x14ac:dyDescent="0.15">
      <c r="A26" s="122"/>
      <c r="B26" s="131" t="s">
        <v>66</v>
      </c>
      <c r="C26" s="131" t="s">
        <v>67</v>
      </c>
      <c r="D26" s="131" t="s">
        <v>68</v>
      </c>
      <c r="E26" s="131" t="s">
        <v>69</v>
      </c>
      <c r="F26" s="131" t="s">
        <v>70</v>
      </c>
    </row>
    <row r="27" spans="1:13" x14ac:dyDescent="0.15">
      <c r="A27" s="122"/>
      <c r="B27" s="131">
        <v>3555</v>
      </c>
      <c r="C27" s="131">
        <v>1256</v>
      </c>
      <c r="D27" s="131">
        <v>288</v>
      </c>
      <c r="E27" s="131">
        <v>628</v>
      </c>
      <c r="F27" s="131">
        <v>0.87939698492462304</v>
      </c>
      <c r="I27" s="122" t="s">
        <v>84</v>
      </c>
      <c r="J27" s="130">
        <f>C27/L9*M3</f>
        <v>633.17589369569851</v>
      </c>
    </row>
    <row r="28" spans="1:13" x14ac:dyDescent="0.15">
      <c r="A28" s="122"/>
      <c r="I28" s="122" t="s">
        <v>82</v>
      </c>
      <c r="J28" s="130">
        <f>C27/L9*O3</f>
        <v>316.58794684784925</v>
      </c>
    </row>
    <row r="29" spans="1:13" x14ac:dyDescent="0.15">
      <c r="A29" s="122"/>
      <c r="I29" s="122" t="s">
        <v>159</v>
      </c>
      <c r="J29" s="130">
        <f>B27/J10</f>
        <v>3343.8118811881191</v>
      </c>
    </row>
    <row r="30" spans="1:13" x14ac:dyDescent="0.15">
      <c r="A30" s="122"/>
    </row>
    <row r="31" spans="1:13" x14ac:dyDescent="0.15">
      <c r="A31" s="122"/>
    </row>
    <row r="32" spans="1:13" x14ac:dyDescent="0.15">
      <c r="A32" s="122"/>
    </row>
  </sheetData>
  <mergeCells count="3">
    <mergeCell ref="B1:F1"/>
    <mergeCell ref="J11:M11"/>
    <mergeCell ref="B25:F2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4"/>
  <sheetViews>
    <sheetView zoomScaleNormal="100" workbookViewId="0">
      <selection activeCell="B1" sqref="B1:F3"/>
    </sheetView>
  </sheetViews>
  <sheetFormatPr defaultRowHeight="13.5" x14ac:dyDescent="0.15"/>
  <sheetData>
    <row r="1" spans="2:20" ht="16.5" x14ac:dyDescent="0.15">
      <c r="B1" s="36" t="s">
        <v>62</v>
      </c>
      <c r="C1" s="38"/>
      <c r="D1" s="38"/>
      <c r="E1" s="38"/>
      <c r="F1" s="37"/>
      <c r="G1" s="73"/>
      <c r="H1" s="73" t="s">
        <v>86</v>
      </c>
      <c r="I1" s="73"/>
      <c r="J1" s="73"/>
      <c r="K1" s="73"/>
      <c r="M1" s="87" t="s">
        <v>22</v>
      </c>
      <c r="N1" s="87"/>
      <c r="O1" s="87"/>
      <c r="P1" s="87"/>
      <c r="Q1" s="87"/>
      <c r="R1" s="87"/>
      <c r="S1" s="87"/>
      <c r="T1" s="87"/>
    </row>
    <row r="2" spans="2:20" ht="16.5" x14ac:dyDescent="0.15">
      <c r="B2" s="52" t="s">
        <v>66</v>
      </c>
      <c r="C2" s="52" t="s">
        <v>67</v>
      </c>
      <c r="D2" s="52" t="s">
        <v>68</v>
      </c>
      <c r="E2" s="52" t="s">
        <v>69</v>
      </c>
      <c r="F2" s="52" t="s">
        <v>70</v>
      </c>
      <c r="G2" s="73"/>
      <c r="H2" s="73" t="s">
        <v>124</v>
      </c>
      <c r="I2" s="73"/>
      <c r="J2" s="73"/>
      <c r="K2" s="73"/>
      <c r="M2" s="87"/>
      <c r="N2" s="87"/>
      <c r="O2" s="87"/>
      <c r="P2" s="87"/>
      <c r="Q2" s="87" t="s">
        <v>81</v>
      </c>
      <c r="R2" s="87"/>
      <c r="S2" s="87" t="s">
        <v>174</v>
      </c>
      <c r="T2" s="87"/>
    </row>
    <row r="3" spans="2:20" ht="16.5" x14ac:dyDescent="0.15">
      <c r="B3" s="52">
        <v>468</v>
      </c>
      <c r="C3" s="52">
        <v>165</v>
      </c>
      <c r="D3" s="52">
        <v>38</v>
      </c>
      <c r="E3" s="52">
        <v>82</v>
      </c>
      <c r="F3" s="52">
        <v>0.9572072072072072</v>
      </c>
      <c r="G3" s="73"/>
      <c r="H3" s="73"/>
      <c r="I3" s="73"/>
      <c r="J3" s="73"/>
      <c r="K3" s="73"/>
      <c r="M3" s="92" t="s">
        <v>146</v>
      </c>
      <c r="N3" s="92"/>
      <c r="O3" s="92"/>
      <c r="P3" s="92"/>
      <c r="Q3" s="79">
        <v>1</v>
      </c>
      <c r="R3" s="92" t="s">
        <v>147</v>
      </c>
      <c r="S3" s="79">
        <v>2</v>
      </c>
      <c r="T3" s="87"/>
    </row>
    <row r="4" spans="2:20" ht="16.5" x14ac:dyDescent="0.15">
      <c r="B4" s="102"/>
      <c r="C4" s="102"/>
      <c r="D4" s="102"/>
      <c r="E4" s="102"/>
      <c r="F4" s="102"/>
      <c r="G4" s="103"/>
      <c r="H4" s="103"/>
      <c r="I4" s="103"/>
      <c r="J4" s="103"/>
      <c r="K4" s="103"/>
      <c r="M4" s="92" t="s">
        <v>161</v>
      </c>
      <c r="N4" s="92"/>
      <c r="O4" s="92"/>
      <c r="P4" s="92"/>
      <c r="Q4" s="79">
        <v>1</v>
      </c>
      <c r="R4" s="92" t="s">
        <v>147</v>
      </c>
      <c r="S4" s="79">
        <v>1</v>
      </c>
      <c r="T4" s="92"/>
    </row>
    <row r="5" spans="2:20" ht="16.5" x14ac:dyDescent="0.15">
      <c r="B5" s="103" t="s">
        <v>87</v>
      </c>
      <c r="C5" s="103"/>
      <c r="D5" s="104"/>
      <c r="E5" s="104"/>
      <c r="F5" s="105" t="s">
        <v>108</v>
      </c>
      <c r="G5" s="105"/>
      <c r="H5" s="105"/>
      <c r="I5" s="105"/>
      <c r="J5" s="104"/>
      <c r="K5" s="103"/>
      <c r="M5" s="92" t="s">
        <v>150</v>
      </c>
      <c r="N5" s="92"/>
      <c r="O5" s="79">
        <v>0.2</v>
      </c>
      <c r="P5" s="92"/>
      <c r="Q5" s="92"/>
      <c r="R5" s="92"/>
      <c r="S5" s="92"/>
      <c r="T5" s="87"/>
    </row>
    <row r="6" spans="2:20" ht="16.5" x14ac:dyDescent="0.15">
      <c r="B6" s="104" t="s">
        <v>84</v>
      </c>
      <c r="C6" s="104" t="s">
        <v>82</v>
      </c>
      <c r="D6" s="106" t="s">
        <v>112</v>
      </c>
      <c r="E6" s="103"/>
      <c r="F6" s="106" t="s">
        <v>103</v>
      </c>
      <c r="G6" s="106" t="s">
        <v>104</v>
      </c>
      <c r="H6" s="106" t="s">
        <v>105</v>
      </c>
      <c r="I6" s="106" t="s">
        <v>106</v>
      </c>
      <c r="J6" s="106" t="s">
        <v>110</v>
      </c>
      <c r="K6" s="106" t="s">
        <v>109</v>
      </c>
      <c r="M6" s="92" t="s">
        <v>160</v>
      </c>
      <c r="N6" s="79">
        <v>15</v>
      </c>
      <c r="O6" s="92"/>
      <c r="P6" s="92"/>
      <c r="Q6" s="92"/>
      <c r="R6" s="92"/>
      <c r="S6" s="92"/>
      <c r="T6" s="87"/>
    </row>
    <row r="7" spans="2:20" ht="16.5" x14ac:dyDescent="0.15">
      <c r="B7" s="107">
        <v>15</v>
      </c>
      <c r="C7" s="107">
        <v>85</v>
      </c>
      <c r="D7" s="107">
        <v>15</v>
      </c>
      <c r="E7" s="103"/>
      <c r="F7" s="107">
        <v>0.1</v>
      </c>
      <c r="G7" s="107">
        <v>0.1</v>
      </c>
      <c r="H7" s="107">
        <v>0.75</v>
      </c>
      <c r="I7" s="107">
        <v>0.05</v>
      </c>
      <c r="J7" s="103">
        <v>1</v>
      </c>
      <c r="K7" s="103">
        <v>5</v>
      </c>
      <c r="M7" s="92" t="s">
        <v>148</v>
      </c>
      <c r="N7" s="91">
        <f>N10*P9</f>
        <v>3.3135865</v>
      </c>
      <c r="O7" s="92"/>
      <c r="P7" s="92"/>
      <c r="Q7" s="92"/>
      <c r="R7" s="92"/>
      <c r="S7" s="92"/>
      <c r="T7" s="87"/>
    </row>
    <row r="8" spans="2:20" ht="16.5" x14ac:dyDescent="0.15">
      <c r="B8" s="103" t="s">
        <v>114</v>
      </c>
      <c r="C8" s="103"/>
      <c r="D8" s="103"/>
      <c r="E8" s="103"/>
      <c r="F8" s="103"/>
      <c r="G8" s="103"/>
      <c r="H8" s="103"/>
      <c r="I8" s="103"/>
      <c r="J8" s="103"/>
      <c r="K8" s="103"/>
      <c r="M8" s="87"/>
      <c r="N8" s="92" t="s">
        <v>151</v>
      </c>
      <c r="O8" s="87" t="s">
        <v>154</v>
      </c>
      <c r="P8" s="87" t="s">
        <v>158</v>
      </c>
      <c r="Q8" s="87"/>
      <c r="R8" s="87"/>
      <c r="S8" s="87"/>
      <c r="T8" s="87"/>
    </row>
    <row r="9" spans="2:20" ht="16.5" x14ac:dyDescent="0.15">
      <c r="B9" s="103"/>
      <c r="C9" s="103">
        <f>$B$7*$F$7/SUM(F7:I7)*(技能系数!E8+$D$7*技能系数!$D$1)+$C$7*$G$7/SUM(F7:I7)*(技能系数!E20+$D$7*技能系数!$D$1)+技能系数!$C$38*$I$7/SUM(F7:I7)+C7*H7/SUM(F7:I7)*(技能系数!D33+技能系数!D1*络新妇!D7/3)*技能系数!E33</f>
        <v>107.42729999999999</v>
      </c>
      <c r="D9" s="103"/>
      <c r="E9" s="103"/>
      <c r="F9" s="103"/>
      <c r="G9" s="103"/>
      <c r="H9" s="103"/>
      <c r="I9" s="103"/>
      <c r="J9" s="103"/>
      <c r="K9" s="103"/>
      <c r="M9" s="87" t="s">
        <v>152</v>
      </c>
      <c r="N9" s="91">
        <f>Q3*((技能系数!E8+(N6-1)*技能系数!$D$1)*(N14/(SUM(N14:Q14))))+S3*((技能系数!D33+(N6-1)*技能系数!$D$1/3)*技能系数!E33*(P14/SUM(N14:Q14)))</f>
        <v>2.4268199999999998</v>
      </c>
      <c r="O9" s="91">
        <f>(N9+N11)*S14*O5/(1-O5)</f>
        <v>3.4386274999999999</v>
      </c>
      <c r="P9" s="91">
        <f>((N9+N11)*S14+O9)/S14</f>
        <v>3.1260249999999998</v>
      </c>
      <c r="Q9" s="87"/>
      <c r="S9" s="87"/>
      <c r="T9" s="87"/>
    </row>
    <row r="10" spans="2:20" ht="16.5" x14ac:dyDescent="0.15"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M10" s="87" t="s">
        <v>153</v>
      </c>
      <c r="N10" s="91">
        <f>技能系数!$C$38*(Q14/(SUM(N14:Q14)))+1</f>
        <v>1.06</v>
      </c>
      <c r="O10" s="87"/>
      <c r="P10" s="87"/>
      <c r="Q10" s="87"/>
      <c r="R10" s="87"/>
      <c r="S10" s="87"/>
      <c r="T10" s="87"/>
    </row>
    <row r="11" spans="2:20" s="85" customFormat="1" ht="16.5" x14ac:dyDescent="0.15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M11" s="87" t="s">
        <v>138</v>
      </c>
      <c r="N11" s="110">
        <f>(技能系数!E20+(N6-1)*技能系数!$D$1)*(O14/(SUM(N14:Q14)))</f>
        <v>7.400000000000001E-2</v>
      </c>
      <c r="O11" s="87"/>
      <c r="P11" s="87"/>
      <c r="Q11" s="87"/>
      <c r="R11" s="87"/>
      <c r="S11" s="87"/>
      <c r="T11" s="87"/>
    </row>
    <row r="12" spans="2:20" ht="16.5" x14ac:dyDescent="0.15">
      <c r="B12" s="103" t="s">
        <v>116</v>
      </c>
      <c r="C12" s="103" t="s">
        <v>117</v>
      </c>
      <c r="D12" s="103" t="s">
        <v>142</v>
      </c>
      <c r="E12" s="103" t="s">
        <v>143</v>
      </c>
      <c r="F12" s="103" t="s">
        <v>144</v>
      </c>
      <c r="G12" s="103"/>
      <c r="H12" s="103"/>
      <c r="I12" s="103"/>
      <c r="J12" s="103"/>
      <c r="K12" s="103"/>
      <c r="N12" s="57" t="s">
        <v>108</v>
      </c>
      <c r="O12" s="57"/>
      <c r="P12" s="57"/>
      <c r="Q12" s="57"/>
      <c r="R12" s="60"/>
      <c r="S12" s="87"/>
      <c r="T12" s="87"/>
    </row>
    <row r="13" spans="2:20" ht="16.5" x14ac:dyDescent="0.15">
      <c r="B13" s="107">
        <v>6</v>
      </c>
      <c r="C13" s="107">
        <v>0.05</v>
      </c>
      <c r="D13" s="107">
        <v>0.5</v>
      </c>
      <c r="E13" s="103">
        <f>SUM(总体!D48+总体!I48+总体!N48+总体!S48+总体!X48)/5</f>
        <v>105.4</v>
      </c>
      <c r="F13" s="103">
        <v>0.5</v>
      </c>
      <c r="G13" s="103"/>
      <c r="H13" s="103"/>
      <c r="I13" s="103"/>
      <c r="J13" s="103"/>
      <c r="K13" s="103"/>
      <c r="M13" s="87"/>
      <c r="N13" s="86" t="s">
        <v>103</v>
      </c>
      <c r="O13" s="86" t="s">
        <v>104</v>
      </c>
      <c r="P13" s="86" t="s">
        <v>105</v>
      </c>
      <c r="Q13" s="86" t="s">
        <v>106</v>
      </c>
      <c r="R13" s="86" t="s">
        <v>149</v>
      </c>
      <c r="S13" s="86" t="s">
        <v>109</v>
      </c>
      <c r="T13" s="87"/>
    </row>
    <row r="14" spans="2:20" ht="16.5" x14ac:dyDescent="0.15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M14" s="87"/>
      <c r="N14" s="75">
        <v>0.1</v>
      </c>
      <c r="O14" s="75">
        <v>0.1</v>
      </c>
      <c r="P14" s="75">
        <v>0.75</v>
      </c>
      <c r="Q14" s="75">
        <v>0.05</v>
      </c>
      <c r="R14" s="75">
        <v>1</v>
      </c>
      <c r="S14" s="84">
        <f>(10+R14)/2</f>
        <v>5.5</v>
      </c>
      <c r="T14" s="87"/>
    </row>
    <row r="15" spans="2:20" ht="16.5" x14ac:dyDescent="0.15">
      <c r="B15" s="103" t="s">
        <v>115</v>
      </c>
      <c r="C15" s="103"/>
      <c r="D15" s="103"/>
      <c r="E15" s="103"/>
      <c r="F15" s="103"/>
      <c r="G15" s="103"/>
      <c r="H15" s="103"/>
      <c r="I15" s="103"/>
      <c r="J15" s="103"/>
      <c r="K15" s="103"/>
      <c r="M15" s="87"/>
      <c r="N15" s="87"/>
      <c r="O15" s="87"/>
      <c r="P15" s="87"/>
      <c r="Q15" s="87"/>
      <c r="R15" s="87"/>
      <c r="S15" s="87"/>
      <c r="T15" s="87"/>
    </row>
    <row r="16" spans="2:20" ht="16.5" x14ac:dyDescent="0.15">
      <c r="B16" s="103"/>
      <c r="C16" s="103">
        <f>B13*C13*B7+F25+C7*(技能系数!D33+技能系数!D1*络新妇!D7/3)*技能系数!E33*3*F13+E13*D13*3</f>
        <v>364.4198100000001</v>
      </c>
      <c r="D16" s="103"/>
      <c r="E16" s="103"/>
      <c r="F16" s="103"/>
      <c r="G16" s="103"/>
      <c r="H16" s="103"/>
      <c r="I16" s="103"/>
      <c r="J16" s="103"/>
      <c r="K16" s="103"/>
      <c r="M16" s="87" t="s">
        <v>155</v>
      </c>
      <c r="N16" s="87"/>
      <c r="O16" s="87"/>
      <c r="P16" s="87"/>
      <c r="Q16" s="87"/>
      <c r="R16" s="87"/>
      <c r="S16" s="87"/>
      <c r="T16" s="87"/>
    </row>
    <row r="17" spans="2:20" ht="16.5" x14ac:dyDescent="0.15"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M17" s="87"/>
      <c r="N17" s="87" t="s">
        <v>168</v>
      </c>
      <c r="O17" s="87" t="s">
        <v>169</v>
      </c>
      <c r="P17" s="87" t="s">
        <v>171</v>
      </c>
      <c r="Q17" s="87" t="s">
        <v>170</v>
      </c>
      <c r="R17" s="87"/>
      <c r="S17" s="87"/>
      <c r="T17" s="87"/>
    </row>
    <row r="18" spans="2:20" ht="16.5" x14ac:dyDescent="0.15">
      <c r="B18" s="103" t="s">
        <v>118</v>
      </c>
      <c r="C18" s="103"/>
      <c r="D18" s="103"/>
      <c r="E18" s="103"/>
      <c r="F18" s="103"/>
      <c r="G18" s="108"/>
      <c r="H18" s="103"/>
      <c r="I18" s="103"/>
      <c r="J18" s="103"/>
      <c r="K18" s="103"/>
      <c r="M18" s="87"/>
      <c r="N18" s="91">
        <f>技能系数!D33</f>
        <v>0.47</v>
      </c>
      <c r="O18" s="75">
        <v>0.2</v>
      </c>
      <c r="P18" s="87">
        <v>3</v>
      </c>
      <c r="Q18" s="87">
        <f>N18*O18*P18*N22</f>
        <v>1.6920000000000002</v>
      </c>
      <c r="R18" s="87"/>
      <c r="S18" s="87"/>
      <c r="T18" s="87"/>
    </row>
    <row r="19" spans="2:20" ht="16.5" x14ac:dyDescent="0.15">
      <c r="B19" s="103"/>
      <c r="C19" s="106" t="s">
        <v>119</v>
      </c>
      <c r="D19" s="106" t="s">
        <v>120</v>
      </c>
      <c r="E19" s="106" t="s">
        <v>121</v>
      </c>
      <c r="F19" s="106" t="s">
        <v>122</v>
      </c>
      <c r="G19" s="108" t="s">
        <v>120</v>
      </c>
      <c r="H19" s="103"/>
      <c r="I19" s="103"/>
      <c r="J19" s="103"/>
      <c r="K19" s="103"/>
      <c r="N19" s="87" t="s">
        <v>172</v>
      </c>
      <c r="O19" s="87" t="s">
        <v>169</v>
      </c>
      <c r="P19" s="87" t="s">
        <v>171</v>
      </c>
      <c r="Q19" s="87" t="s">
        <v>173</v>
      </c>
      <c r="R19" s="87"/>
      <c r="S19" s="87"/>
      <c r="T19" s="87"/>
    </row>
    <row r="20" spans="2:20" ht="16.5" x14ac:dyDescent="0.15">
      <c r="B20" s="103"/>
      <c r="C20" s="103">
        <v>1</v>
      </c>
      <c r="D20" s="103">
        <v>0</v>
      </c>
      <c r="E20" s="103">
        <v>0</v>
      </c>
      <c r="F20" s="103">
        <v>0</v>
      </c>
      <c r="G20" s="108">
        <v>0</v>
      </c>
      <c r="H20" s="103"/>
      <c r="I20" s="103"/>
      <c r="J20" s="103"/>
      <c r="K20" s="103"/>
      <c r="N20" s="91">
        <v>1</v>
      </c>
      <c r="O20" s="75">
        <v>0.2</v>
      </c>
      <c r="P20" s="87">
        <v>1</v>
      </c>
      <c r="Q20" s="87">
        <f>N20*N22*O20*P20</f>
        <v>1.2000000000000002</v>
      </c>
      <c r="R20" s="87"/>
      <c r="S20" s="87"/>
      <c r="T20" s="87"/>
    </row>
    <row r="21" spans="2:20" ht="16.5" x14ac:dyDescent="0.15">
      <c r="B21" s="103"/>
      <c r="C21" s="103">
        <v>2</v>
      </c>
      <c r="D21" s="107">
        <v>0.1</v>
      </c>
      <c r="E21" s="103">
        <v>0.30000000000000004</v>
      </c>
      <c r="F21" s="103">
        <v>0.30000000000000004</v>
      </c>
      <c r="G21" s="108">
        <v>0.1</v>
      </c>
      <c r="H21" s="103"/>
      <c r="I21" s="103"/>
      <c r="J21" s="103"/>
      <c r="K21" s="103"/>
      <c r="M21" s="87"/>
      <c r="N21" s="87" t="s">
        <v>156</v>
      </c>
      <c r="O21" s="87" t="s">
        <v>157</v>
      </c>
      <c r="P21" s="87"/>
      <c r="Q21" s="87"/>
      <c r="R21" s="87"/>
      <c r="S21" s="87"/>
      <c r="T21" s="87"/>
    </row>
    <row r="22" spans="2:20" ht="16.5" x14ac:dyDescent="0.15">
      <c r="B22" s="103"/>
      <c r="C22" s="103">
        <v>3</v>
      </c>
      <c r="D22" s="107">
        <v>0.34</v>
      </c>
      <c r="E22" s="103">
        <v>0.91800000000000004</v>
      </c>
      <c r="F22" s="103">
        <v>1.2180000000000002</v>
      </c>
      <c r="G22" s="108">
        <v>0.40600000000000003</v>
      </c>
      <c r="H22" s="103"/>
      <c r="I22" s="103"/>
      <c r="J22" s="103"/>
      <c r="K22" s="103"/>
      <c r="M22" s="87"/>
      <c r="N22" s="87">
        <v>6</v>
      </c>
      <c r="O22" s="91">
        <f>(O9-Q18-Q20)/N22</f>
        <v>9.1104583333333267E-2</v>
      </c>
      <c r="P22" s="87"/>
      <c r="Q22" s="87"/>
      <c r="R22" s="87"/>
      <c r="S22" s="87"/>
      <c r="T22" s="87"/>
    </row>
    <row r="23" spans="2:20" ht="16.5" x14ac:dyDescent="0.15">
      <c r="B23" s="103"/>
      <c r="C23" s="103">
        <v>4</v>
      </c>
      <c r="D23" s="107">
        <v>0.5</v>
      </c>
      <c r="E23" s="103">
        <v>0.89100000000000001</v>
      </c>
      <c r="F23" s="103">
        <v>2.109</v>
      </c>
      <c r="G23" s="108">
        <v>0.70299999999999996</v>
      </c>
      <c r="H23" s="103"/>
      <c r="I23" s="103"/>
      <c r="J23" s="103"/>
      <c r="K23" s="103"/>
      <c r="M23" s="87"/>
      <c r="N23" s="87"/>
      <c r="O23" s="87"/>
      <c r="P23" s="87"/>
      <c r="Q23" s="87"/>
      <c r="R23" s="87"/>
      <c r="S23" s="87"/>
      <c r="T23" s="87"/>
    </row>
    <row r="24" spans="2:20" ht="16.5" x14ac:dyDescent="0.15">
      <c r="B24" s="103"/>
      <c r="C24" s="103">
        <v>5</v>
      </c>
      <c r="D24" s="107">
        <v>0.7</v>
      </c>
      <c r="E24" s="103">
        <v>0.62370000000000003</v>
      </c>
      <c r="F24" s="103">
        <v>2.7326999999999999</v>
      </c>
      <c r="G24" s="108">
        <v>0.91089999999999993</v>
      </c>
      <c r="H24" s="103"/>
      <c r="I24" s="103"/>
      <c r="J24" s="103"/>
      <c r="K24" s="103"/>
      <c r="M24" s="87" t="s">
        <v>84</v>
      </c>
      <c r="N24" s="91">
        <f>C3/P9*Q3</f>
        <v>52.782687278572631</v>
      </c>
      <c r="O24" s="87"/>
      <c r="P24" s="87"/>
      <c r="Q24" s="87"/>
      <c r="R24" s="87"/>
      <c r="S24" s="87"/>
      <c r="T24" s="87"/>
    </row>
    <row r="25" spans="2:20" ht="16.5" x14ac:dyDescent="0.15">
      <c r="B25" s="103"/>
      <c r="C25" s="103">
        <v>6</v>
      </c>
      <c r="D25" s="107">
        <v>0.7</v>
      </c>
      <c r="E25" s="103">
        <v>0.18711</v>
      </c>
      <c r="F25" s="103">
        <v>2.91981</v>
      </c>
      <c r="G25" s="108">
        <v>0.97326999999999997</v>
      </c>
      <c r="H25" s="103"/>
      <c r="I25" s="103"/>
      <c r="J25" s="103"/>
      <c r="K25" s="103"/>
      <c r="M25" s="87" t="s">
        <v>82</v>
      </c>
      <c r="N25" s="91">
        <f>C3/P9*S3</f>
        <v>105.56537455714526</v>
      </c>
      <c r="O25" s="87"/>
    </row>
    <row r="26" spans="2:20" ht="16.5" x14ac:dyDescent="0.15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M26" s="87" t="s">
        <v>159</v>
      </c>
      <c r="N26" s="91">
        <f>B3/N10</f>
        <v>441.50943396226415</v>
      </c>
      <c r="O26" s="87"/>
    </row>
    <row r="27" spans="2:20" ht="16.5" x14ac:dyDescent="0.15">
      <c r="B27" s="103" t="s">
        <v>123</v>
      </c>
      <c r="C27" s="103"/>
      <c r="D27" s="103"/>
      <c r="E27" s="103"/>
      <c r="F27" s="103"/>
      <c r="G27" s="103"/>
      <c r="H27" s="103"/>
      <c r="I27" s="103"/>
      <c r="J27" s="103"/>
      <c r="K27" s="103"/>
    </row>
    <row r="28" spans="2:20" ht="16.5" x14ac:dyDescent="0.15">
      <c r="B28" s="103"/>
      <c r="C28" s="103">
        <f>(C9*(10-J7)+10*(F7+G7+H7)/SUM(F7:I7)/K7*C16)/10</f>
        <v>165.92433390000002</v>
      </c>
      <c r="D28" s="103"/>
      <c r="E28" s="103"/>
      <c r="F28" s="103"/>
      <c r="G28" s="103"/>
      <c r="H28" s="103"/>
      <c r="I28" s="103"/>
      <c r="J28" s="103"/>
      <c r="K28" s="103"/>
    </row>
    <row r="29" spans="2:20" ht="16.5" x14ac:dyDescent="0.15">
      <c r="B29" s="103"/>
      <c r="C29" s="103"/>
      <c r="D29" s="103"/>
      <c r="E29" s="103"/>
      <c r="F29" s="103"/>
      <c r="G29" s="103"/>
      <c r="H29" s="103"/>
      <c r="I29" s="103"/>
      <c r="J29" s="103"/>
      <c r="K29" s="103"/>
    </row>
    <row r="30" spans="2:20" ht="16.5" x14ac:dyDescent="0.15">
      <c r="B30" s="103"/>
      <c r="C30" s="103"/>
      <c r="D30" s="103"/>
      <c r="E30" s="103"/>
      <c r="F30" s="103"/>
      <c r="G30" s="103"/>
      <c r="H30" s="103"/>
      <c r="I30" s="103"/>
      <c r="J30" s="103"/>
      <c r="K30" s="103"/>
    </row>
    <row r="31" spans="2:20" ht="16.5" x14ac:dyDescent="0.15">
      <c r="B31" s="103" t="s">
        <v>125</v>
      </c>
      <c r="C31" s="103"/>
      <c r="D31" s="103"/>
      <c r="E31" s="103"/>
      <c r="F31" s="103"/>
      <c r="G31" s="103"/>
      <c r="H31" s="103"/>
      <c r="I31" s="103"/>
      <c r="J31" s="103"/>
      <c r="K31" s="103"/>
    </row>
    <row r="32" spans="2:20" ht="16.5" x14ac:dyDescent="0.15">
      <c r="B32" s="103"/>
      <c r="C32" s="103" t="s">
        <v>133</v>
      </c>
      <c r="D32" s="109"/>
      <c r="E32" s="109"/>
      <c r="F32" s="109"/>
      <c r="G32" s="109"/>
      <c r="H32" s="109"/>
      <c r="I32" s="103"/>
      <c r="J32" s="103"/>
      <c r="K32" s="103"/>
    </row>
    <row r="33" spans="2:11" ht="16.5" x14ac:dyDescent="0.15">
      <c r="B33" s="103"/>
      <c r="C33" s="109"/>
      <c r="D33" s="103" t="s">
        <v>145</v>
      </c>
      <c r="E33" s="103"/>
      <c r="F33" s="103"/>
      <c r="G33" s="103"/>
      <c r="H33" s="109"/>
      <c r="I33" s="109"/>
      <c r="J33" s="103"/>
      <c r="K33" s="103"/>
    </row>
    <row r="34" spans="2:11" x14ac:dyDescent="0.15">
      <c r="B34" s="109"/>
      <c r="C34" s="109"/>
      <c r="D34" s="109"/>
      <c r="E34" s="109"/>
      <c r="F34" s="109"/>
      <c r="G34" s="109"/>
      <c r="H34" s="109"/>
      <c r="I34" s="109"/>
      <c r="J34" s="109"/>
      <c r="K34" s="109"/>
    </row>
  </sheetData>
  <mergeCells count="3">
    <mergeCell ref="B1:F1"/>
    <mergeCell ref="F5:I5"/>
    <mergeCell ref="N12:Q1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workbookViewId="0">
      <selection activeCell="J23" sqref="J23:J25"/>
    </sheetView>
  </sheetViews>
  <sheetFormatPr defaultRowHeight="13.5" x14ac:dyDescent="0.15"/>
  <sheetData>
    <row r="1" spans="2:15" ht="16.5" x14ac:dyDescent="0.15">
      <c r="B1" s="36" t="s">
        <v>64</v>
      </c>
      <c r="C1" s="38"/>
      <c r="D1" s="38"/>
      <c r="E1" s="38"/>
      <c r="F1" s="37"/>
      <c r="I1" s="122" t="s">
        <v>19</v>
      </c>
      <c r="J1" s="122"/>
      <c r="K1" s="122"/>
      <c r="L1" s="122"/>
      <c r="M1" s="122"/>
      <c r="N1" s="122"/>
      <c r="O1" s="122"/>
    </row>
    <row r="2" spans="2:15" ht="16.5" x14ac:dyDescent="0.15">
      <c r="B2" s="131" t="s">
        <v>66</v>
      </c>
      <c r="C2" s="131" t="s">
        <v>67</v>
      </c>
      <c r="D2" s="131" t="s">
        <v>68</v>
      </c>
      <c r="E2" s="131" t="s">
        <v>69</v>
      </c>
      <c r="F2" s="131" t="s">
        <v>70</v>
      </c>
      <c r="I2" s="122"/>
      <c r="J2" s="122"/>
      <c r="K2" s="122"/>
      <c r="L2" s="122"/>
      <c r="M2" s="122" t="s">
        <v>81</v>
      </c>
      <c r="N2" s="122"/>
      <c r="O2" s="122" t="s">
        <v>174</v>
      </c>
    </row>
    <row r="3" spans="2:15" ht="16.5" x14ac:dyDescent="0.15">
      <c r="B3" s="131">
        <v>4666</v>
      </c>
      <c r="C3" s="131">
        <v>754</v>
      </c>
      <c r="D3" s="131">
        <v>495</v>
      </c>
      <c r="E3" s="131">
        <v>628</v>
      </c>
      <c r="F3" s="131">
        <v>0.80924855491329473</v>
      </c>
      <c r="I3" s="133" t="s">
        <v>146</v>
      </c>
      <c r="J3" s="133"/>
      <c r="K3" s="133"/>
      <c r="L3" s="133"/>
      <c r="M3" s="134">
        <v>1</v>
      </c>
      <c r="N3" s="133" t="s">
        <v>147</v>
      </c>
      <c r="O3" s="134">
        <v>1.2</v>
      </c>
    </row>
    <row r="4" spans="2:15" ht="16.5" x14ac:dyDescent="0.15">
      <c r="I4" s="133" t="s">
        <v>161</v>
      </c>
      <c r="J4" s="133"/>
      <c r="K4" s="133"/>
      <c r="L4" s="133"/>
      <c r="M4" s="134">
        <v>1</v>
      </c>
      <c r="N4" s="133" t="s">
        <v>147</v>
      </c>
      <c r="O4" s="134">
        <v>1</v>
      </c>
    </row>
    <row r="5" spans="2:15" ht="16.5" x14ac:dyDescent="0.15">
      <c r="I5" s="133" t="s">
        <v>150</v>
      </c>
      <c r="J5" s="133"/>
      <c r="K5" s="134">
        <v>0.2</v>
      </c>
      <c r="L5" s="133"/>
      <c r="M5" s="133"/>
      <c r="N5" s="133"/>
      <c r="O5" s="133"/>
    </row>
    <row r="6" spans="2:15" ht="16.5" x14ac:dyDescent="0.15">
      <c r="I6" s="133" t="s">
        <v>160</v>
      </c>
      <c r="J6" s="134">
        <v>40</v>
      </c>
      <c r="K6" s="133"/>
      <c r="L6" s="133"/>
      <c r="M6" s="133"/>
      <c r="N6" s="133"/>
      <c r="O6" s="133"/>
    </row>
    <row r="7" spans="2:15" ht="16.5" x14ac:dyDescent="0.15">
      <c r="I7" s="133" t="s">
        <v>148</v>
      </c>
      <c r="J7" s="130">
        <f>J10*L9</f>
        <v>1.4295936448598132</v>
      </c>
      <c r="K7" s="133"/>
      <c r="L7" s="133"/>
      <c r="M7" s="133"/>
      <c r="N7" s="133"/>
      <c r="O7" s="133"/>
    </row>
    <row r="8" spans="2:15" ht="16.5" x14ac:dyDescent="0.15">
      <c r="I8" s="122"/>
      <c r="J8" s="133" t="s">
        <v>151</v>
      </c>
      <c r="K8" s="122" t="s">
        <v>154</v>
      </c>
      <c r="L8" s="122" t="s">
        <v>158</v>
      </c>
      <c r="M8" s="122"/>
      <c r="N8" s="122"/>
      <c r="O8" s="122"/>
    </row>
    <row r="9" spans="2:15" ht="16.5" x14ac:dyDescent="0.15">
      <c r="I9" s="122" t="s">
        <v>152</v>
      </c>
      <c r="J9" s="130">
        <f>M3*((技能系数!E5+(J6-1)*技能系数!$D$1)*(J14/(SUM(J14:M14))))+((K14/(SUM(J14:M14)))*(技能系数!E15+(J6-1)*技能系数!$D$1))*O3</f>
        <v>1.0211383177570095</v>
      </c>
      <c r="K9" s="130">
        <f>J9*O14*K5/(1-K5)</f>
        <v>1.4040651869158878</v>
      </c>
      <c r="L9" s="130">
        <f>(J9*O14+K9)/O14</f>
        <v>1.2764228971962617</v>
      </c>
      <c r="M9" s="122"/>
      <c r="N9" s="122"/>
      <c r="O9" s="122"/>
    </row>
    <row r="10" spans="2:15" ht="16.5" x14ac:dyDescent="0.15">
      <c r="I10" s="122" t="s">
        <v>153</v>
      </c>
      <c r="J10" s="130">
        <f>(技能系数!$C$38*(M14/(SUM(J14:M14))))+1</f>
        <v>1.1200000000000001</v>
      </c>
      <c r="K10" s="122"/>
      <c r="L10" s="122"/>
      <c r="M10" s="122"/>
      <c r="N10" s="122"/>
      <c r="O10" s="122"/>
    </row>
    <row r="11" spans="2:15" s="111" customFormat="1" ht="16.5" x14ac:dyDescent="0.15">
      <c r="I11" s="122" t="s">
        <v>219</v>
      </c>
      <c r="J11" s="130">
        <f>L14*技能系数!D25*技能系数!E25</f>
        <v>9.0000000000000024E-2</v>
      </c>
      <c r="K11" s="122"/>
      <c r="L11" s="122"/>
      <c r="M11" s="122"/>
      <c r="N11" s="122"/>
      <c r="O11" s="122"/>
    </row>
    <row r="12" spans="2:15" ht="16.5" x14ac:dyDescent="0.15">
      <c r="I12" s="122"/>
      <c r="J12" s="57" t="s">
        <v>108</v>
      </c>
      <c r="K12" s="57"/>
      <c r="L12" s="57"/>
      <c r="M12" s="57"/>
      <c r="N12" s="60"/>
      <c r="O12" s="122"/>
    </row>
    <row r="13" spans="2:15" ht="16.5" x14ac:dyDescent="0.15">
      <c r="I13" s="122"/>
      <c r="J13" s="129" t="s">
        <v>103</v>
      </c>
      <c r="K13" s="129" t="s">
        <v>104</v>
      </c>
      <c r="L13" s="129" t="s">
        <v>105</v>
      </c>
      <c r="M13" s="129" t="s">
        <v>106</v>
      </c>
      <c r="N13" s="129" t="s">
        <v>149</v>
      </c>
      <c r="O13" s="129" t="s">
        <v>109</v>
      </c>
    </row>
    <row r="14" spans="2:15" ht="16.5" x14ac:dyDescent="0.15">
      <c r="I14" s="122"/>
      <c r="J14" s="134">
        <v>0.3</v>
      </c>
      <c r="K14" s="134">
        <v>0.3</v>
      </c>
      <c r="L14" s="134">
        <v>0.3</v>
      </c>
      <c r="M14" s="134">
        <v>0.1</v>
      </c>
      <c r="N14" s="128">
        <v>1</v>
      </c>
      <c r="O14" s="120">
        <f>(10+N14)/2</f>
        <v>5.5</v>
      </c>
    </row>
    <row r="15" spans="2:15" ht="16.5" x14ac:dyDescent="0.15">
      <c r="I15" s="122"/>
      <c r="J15" s="122"/>
      <c r="K15" s="122"/>
      <c r="L15" s="122"/>
      <c r="M15" s="122"/>
      <c r="N15" s="122"/>
      <c r="O15" s="122"/>
    </row>
    <row r="16" spans="2:15" ht="16.5" x14ac:dyDescent="0.15">
      <c r="I16" s="122" t="s">
        <v>155</v>
      </c>
      <c r="J16" s="122"/>
      <c r="K16" s="122"/>
      <c r="L16" s="122"/>
      <c r="M16" s="122"/>
      <c r="N16" s="122"/>
      <c r="O16" s="122"/>
    </row>
    <row r="17" spans="9:15" ht="16.5" x14ac:dyDescent="0.15">
      <c r="I17" s="122"/>
      <c r="J17" s="122"/>
      <c r="K17" s="122"/>
      <c r="L17" s="122"/>
      <c r="M17" s="122"/>
      <c r="N17" s="122"/>
      <c r="O17" s="122"/>
    </row>
    <row r="18" spans="9:15" ht="16.5" x14ac:dyDescent="0.15">
      <c r="I18" s="122"/>
      <c r="J18" s="122"/>
      <c r="K18" s="122"/>
      <c r="L18" s="122"/>
      <c r="M18" s="122"/>
      <c r="N18" s="122"/>
      <c r="O18" s="122"/>
    </row>
    <row r="19" spans="9:15" ht="16.5" x14ac:dyDescent="0.15">
      <c r="I19" s="122"/>
      <c r="J19" s="122" t="s">
        <v>156</v>
      </c>
      <c r="K19" s="122" t="s">
        <v>157</v>
      </c>
      <c r="L19" s="122"/>
      <c r="M19" s="122"/>
      <c r="N19" s="122"/>
      <c r="O19" s="122"/>
    </row>
    <row r="20" spans="9:15" ht="16.5" x14ac:dyDescent="0.15">
      <c r="I20" s="122"/>
      <c r="J20" s="122">
        <v>3</v>
      </c>
      <c r="K20" s="130">
        <f>(K9-M18)/J20</f>
        <v>0.46802172897196259</v>
      </c>
      <c r="L20" s="122"/>
      <c r="M20" s="122"/>
      <c r="N20" s="122"/>
      <c r="O20" s="122"/>
    </row>
    <row r="21" spans="9:15" s="111" customFormat="1" ht="16.5" x14ac:dyDescent="0.15">
      <c r="I21" s="122" t="s">
        <v>222</v>
      </c>
      <c r="J21" s="120">
        <f>SUM(总体!E92,总体!J92,总体!O92,总体!T92)/4*3</f>
        <v>2605.5</v>
      </c>
      <c r="K21" s="133"/>
      <c r="L21" s="122"/>
      <c r="M21" s="122"/>
      <c r="N21" s="122"/>
      <c r="O21" s="122"/>
    </row>
    <row r="22" spans="9:15" ht="16.5" x14ac:dyDescent="0.15">
      <c r="I22" s="122" t="s">
        <v>191</v>
      </c>
      <c r="J22" s="130">
        <f>J11*J21</f>
        <v>234.49500000000006</v>
      </c>
      <c r="K22" s="122"/>
      <c r="L22" s="122"/>
      <c r="M22" s="122"/>
      <c r="N22" s="122"/>
      <c r="O22" s="122"/>
    </row>
    <row r="23" spans="9:15" ht="16.5" x14ac:dyDescent="0.15">
      <c r="I23" s="122" t="s">
        <v>84</v>
      </c>
      <c r="J23" s="133">
        <f>(C3-J22)/L9*M3</f>
        <v>407.00069008564742</v>
      </c>
      <c r="K23" s="122"/>
      <c r="L23" s="122"/>
      <c r="M23" s="122"/>
      <c r="N23" s="122"/>
      <c r="O23" s="122"/>
    </row>
    <row r="24" spans="9:15" ht="16.5" x14ac:dyDescent="0.15">
      <c r="I24" s="122" t="s">
        <v>82</v>
      </c>
      <c r="J24" s="133">
        <f>(C3-J22)/L9*O3</f>
        <v>488.40082810277687</v>
      </c>
      <c r="K24" s="122"/>
      <c r="L24" s="122"/>
      <c r="M24" s="122"/>
      <c r="N24" s="122"/>
      <c r="O24" s="122"/>
    </row>
    <row r="25" spans="9:15" ht="16.5" x14ac:dyDescent="0.15">
      <c r="I25" s="122" t="s">
        <v>159</v>
      </c>
      <c r="J25" s="133">
        <f>B3/J10</f>
        <v>4166.0714285714284</v>
      </c>
      <c r="K25" s="122"/>
      <c r="L25" s="122"/>
      <c r="M25" s="122"/>
      <c r="N25" s="122"/>
      <c r="O25" s="122"/>
    </row>
  </sheetData>
  <mergeCells count="2">
    <mergeCell ref="B1:F1"/>
    <mergeCell ref="J12:M1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workbookViewId="0">
      <selection activeCell="O19" sqref="O19"/>
    </sheetView>
  </sheetViews>
  <sheetFormatPr defaultRowHeight="16.5" x14ac:dyDescent="0.15"/>
  <cols>
    <col min="1" max="16384" width="9" style="87"/>
  </cols>
  <sheetData>
    <row r="1" spans="2:15" x14ac:dyDescent="0.15">
      <c r="B1" s="36" t="s">
        <v>64</v>
      </c>
      <c r="C1" s="38"/>
      <c r="D1" s="38"/>
      <c r="E1" s="38"/>
      <c r="F1" s="37"/>
      <c r="I1" s="87" t="s">
        <v>21</v>
      </c>
    </row>
    <row r="2" spans="2:15" x14ac:dyDescent="0.15">
      <c r="B2" s="52" t="s">
        <v>66</v>
      </c>
      <c r="C2" s="52" t="s">
        <v>67</v>
      </c>
      <c r="D2" s="52" t="s">
        <v>68</v>
      </c>
      <c r="E2" s="52" t="s">
        <v>69</v>
      </c>
      <c r="F2" s="52" t="s">
        <v>70</v>
      </c>
      <c r="M2" s="87" t="s">
        <v>81</v>
      </c>
      <c r="O2" s="87" t="s">
        <v>174</v>
      </c>
    </row>
    <row r="3" spans="2:15" x14ac:dyDescent="0.15">
      <c r="B3" s="52">
        <v>614</v>
      </c>
      <c r="C3" s="52">
        <v>99</v>
      </c>
      <c r="D3" s="52">
        <v>65</v>
      </c>
      <c r="E3" s="52">
        <v>82</v>
      </c>
      <c r="F3" s="52">
        <v>0.92896174863387981</v>
      </c>
      <c r="I3" s="92" t="s">
        <v>146</v>
      </c>
      <c r="J3" s="92"/>
      <c r="K3" s="92"/>
      <c r="L3" s="92"/>
      <c r="M3" s="79">
        <v>1.5</v>
      </c>
      <c r="N3" s="92" t="s">
        <v>147</v>
      </c>
      <c r="O3" s="79">
        <v>1</v>
      </c>
    </row>
    <row r="4" spans="2:15" x14ac:dyDescent="0.15">
      <c r="I4" s="92" t="s">
        <v>161</v>
      </c>
      <c r="J4" s="92"/>
      <c r="K4" s="92"/>
      <c r="L4" s="92"/>
      <c r="M4" s="79">
        <v>1</v>
      </c>
      <c r="N4" s="92" t="s">
        <v>147</v>
      </c>
      <c r="O4" s="79">
        <v>1</v>
      </c>
    </row>
    <row r="5" spans="2:15" x14ac:dyDescent="0.15">
      <c r="I5" s="92" t="s">
        <v>166</v>
      </c>
      <c r="J5" s="92"/>
      <c r="K5" s="79">
        <v>0.2</v>
      </c>
      <c r="L5" s="92"/>
      <c r="M5" s="92" t="s">
        <v>165</v>
      </c>
      <c r="N5" s="92"/>
      <c r="O5" s="79">
        <v>0.25</v>
      </c>
    </row>
    <row r="6" spans="2:15" x14ac:dyDescent="0.15">
      <c r="I6" s="92" t="s">
        <v>160</v>
      </c>
      <c r="J6" s="79">
        <v>40</v>
      </c>
      <c r="K6" s="92"/>
      <c r="L6" s="92"/>
      <c r="M6" s="92"/>
      <c r="N6" s="92"/>
      <c r="O6" s="92"/>
    </row>
    <row r="7" spans="2:15" x14ac:dyDescent="0.15">
      <c r="I7" s="92" t="s">
        <v>148</v>
      </c>
      <c r="J7" s="91">
        <f>J10*L9</f>
        <v>1.7456299065420562</v>
      </c>
      <c r="K7" s="92"/>
      <c r="L7" s="92"/>
      <c r="M7" s="92"/>
      <c r="N7" s="92"/>
      <c r="O7" s="92"/>
    </row>
    <row r="8" spans="2:15" x14ac:dyDescent="0.15">
      <c r="J8" s="92" t="s">
        <v>151</v>
      </c>
      <c r="K8" s="87" t="s">
        <v>154</v>
      </c>
      <c r="L8" s="87" t="s">
        <v>158</v>
      </c>
    </row>
    <row r="9" spans="2:15" x14ac:dyDescent="0.15">
      <c r="I9" s="87" t="s">
        <v>152</v>
      </c>
      <c r="J9" s="91">
        <f>M3*((技能系数!E5+(J6-1)*技能系数!$D$1)*(J14/(SUM(J14:M14))))+O3*((技能系数!E15+(J6-1)*技能系数!$D$1)*(K14/SUM(J14:M14)))</f>
        <v>1.1689485981308412</v>
      </c>
      <c r="K9" s="91">
        <f>J9*O14*O5/(1-O5)</f>
        <v>2.143072429906542</v>
      </c>
      <c r="L9" s="91">
        <f>(J9*O14+K9)/O14</f>
        <v>1.5585981308411214</v>
      </c>
    </row>
    <row r="10" spans="2:15" x14ac:dyDescent="0.15">
      <c r="I10" s="87" t="s">
        <v>153</v>
      </c>
      <c r="J10" s="91">
        <f>技能系数!$C$38*(M14/(SUM(J14:M14)))+1</f>
        <v>1.1200000000000001</v>
      </c>
    </row>
    <row r="11" spans="2:15" x14ac:dyDescent="0.15">
      <c r="I11" s="87" t="s">
        <v>183</v>
      </c>
      <c r="J11" s="91">
        <f>技能系数!E26*(技能系数!D26)*(L14/(SUM(J14:M14)))</f>
        <v>9.0000000000000024E-2</v>
      </c>
    </row>
    <row r="12" spans="2:15" x14ac:dyDescent="0.15">
      <c r="J12" s="57" t="s">
        <v>108</v>
      </c>
      <c r="K12" s="57"/>
      <c r="L12" s="57"/>
      <c r="M12" s="57"/>
      <c r="N12" s="60"/>
    </row>
    <row r="13" spans="2:15" x14ac:dyDescent="0.15">
      <c r="J13" s="86" t="s">
        <v>103</v>
      </c>
      <c r="K13" s="86" t="s">
        <v>104</v>
      </c>
      <c r="L13" s="86" t="s">
        <v>105</v>
      </c>
      <c r="M13" s="86" t="s">
        <v>106</v>
      </c>
      <c r="N13" s="86" t="s">
        <v>149</v>
      </c>
      <c r="O13" s="86" t="s">
        <v>109</v>
      </c>
    </row>
    <row r="14" spans="2:15" x14ac:dyDescent="0.15">
      <c r="J14" s="134">
        <v>0.3</v>
      </c>
      <c r="K14" s="134">
        <v>0.3</v>
      </c>
      <c r="L14" s="134">
        <v>0.3</v>
      </c>
      <c r="M14" s="134">
        <v>0.1</v>
      </c>
      <c r="N14" s="75">
        <v>1</v>
      </c>
      <c r="O14" s="84">
        <f>(10+N14)/2</f>
        <v>5.5</v>
      </c>
    </row>
    <row r="16" spans="2:15" x14ac:dyDescent="0.15">
      <c r="I16" s="87" t="s">
        <v>155</v>
      </c>
    </row>
    <row r="17" spans="2:14" x14ac:dyDescent="0.15">
      <c r="J17" s="87" t="s">
        <v>177</v>
      </c>
      <c r="K17" s="87" t="s">
        <v>169</v>
      </c>
      <c r="L17" s="87" t="s">
        <v>171</v>
      </c>
      <c r="M17" s="87" t="s">
        <v>178</v>
      </c>
      <c r="N17" s="87" t="s">
        <v>170</v>
      </c>
    </row>
    <row r="18" spans="2:14" x14ac:dyDescent="0.15">
      <c r="J18" s="91">
        <f>技能系数!D26</f>
        <v>0.10000000000000002</v>
      </c>
      <c r="K18" s="75">
        <v>0.5</v>
      </c>
      <c r="L18" s="87">
        <v>3</v>
      </c>
      <c r="M18" s="87">
        <v>3</v>
      </c>
      <c r="N18" s="87">
        <f>J18*K18*L18*M18</f>
        <v>0.45000000000000007</v>
      </c>
    </row>
    <row r="19" spans="2:14" x14ac:dyDescent="0.15">
      <c r="J19" s="87" t="s">
        <v>178</v>
      </c>
      <c r="K19" s="87" t="s">
        <v>157</v>
      </c>
    </row>
    <row r="20" spans="2:14" x14ac:dyDescent="0.15">
      <c r="J20" s="87">
        <v>3</v>
      </c>
      <c r="K20" s="91">
        <f>(K9-N18)/J20</f>
        <v>0.56435747663551394</v>
      </c>
    </row>
    <row r="21" spans="2:14" x14ac:dyDescent="0.15">
      <c r="I21" s="87" t="s">
        <v>184</v>
      </c>
      <c r="J21" s="120">
        <f>SUM(总体!D48,总体!I48,总体!N48,总体!S48,总体!X48)/5*3</f>
        <v>316.20000000000005</v>
      </c>
    </row>
    <row r="22" spans="2:14" x14ac:dyDescent="0.15">
      <c r="I22" s="87" t="s">
        <v>191</v>
      </c>
      <c r="J22" s="91">
        <f>J11*J21</f>
        <v>28.458000000000013</v>
      </c>
    </row>
    <row r="23" spans="2:14" x14ac:dyDescent="0.15">
      <c r="I23" s="87" t="s">
        <v>84</v>
      </c>
      <c r="J23" s="91">
        <f>(C3-J22)/L9*M3</f>
        <v>67.889854290339983</v>
      </c>
    </row>
    <row r="24" spans="2:14" x14ac:dyDescent="0.15">
      <c r="I24" s="87" t="s">
        <v>82</v>
      </c>
      <c r="J24" s="91">
        <f>(C3-J22)/L9*O3</f>
        <v>45.259902860226653</v>
      </c>
    </row>
    <row r="25" spans="2:14" x14ac:dyDescent="0.15">
      <c r="I25" s="87" t="s">
        <v>159</v>
      </c>
      <c r="J25" s="91">
        <f>B3/J10</f>
        <v>548.21428571428567</v>
      </c>
    </row>
    <row r="27" spans="2:14" x14ac:dyDescent="0.15">
      <c r="B27" s="36" t="s">
        <v>64</v>
      </c>
      <c r="C27" s="38"/>
      <c r="D27" s="38"/>
      <c r="E27" s="38"/>
      <c r="F27" s="37"/>
      <c r="I27" s="122" t="s">
        <v>184</v>
      </c>
      <c r="J27" s="120">
        <f>SUM(总体!E92,总体!J92,总体!O92,总体!T92)/4*3</f>
        <v>2605.5</v>
      </c>
    </row>
    <row r="28" spans="2:14" x14ac:dyDescent="0.15">
      <c r="B28" s="131" t="s">
        <v>66</v>
      </c>
      <c r="C28" s="131" t="s">
        <v>67</v>
      </c>
      <c r="D28" s="131" t="s">
        <v>68</v>
      </c>
      <c r="E28" s="131" t="s">
        <v>69</v>
      </c>
      <c r="F28" s="131" t="s">
        <v>70</v>
      </c>
      <c r="I28" s="122" t="s">
        <v>191</v>
      </c>
      <c r="J28" s="130">
        <f>J27*J11</f>
        <v>234.49500000000006</v>
      </c>
    </row>
    <row r="29" spans="2:14" x14ac:dyDescent="0.15">
      <c r="B29" s="131">
        <v>4666</v>
      </c>
      <c r="C29" s="131">
        <v>754</v>
      </c>
      <c r="D29" s="131">
        <v>495</v>
      </c>
      <c r="E29" s="131">
        <v>628</v>
      </c>
      <c r="F29" s="131">
        <v>0.80924855491329473</v>
      </c>
      <c r="I29" s="122" t="s">
        <v>84</v>
      </c>
      <c r="J29" s="130">
        <f>(C29-J28)/L9*M3</f>
        <v>499.97333153444856</v>
      </c>
    </row>
    <row r="30" spans="2:14" x14ac:dyDescent="0.15">
      <c r="I30" s="122" t="s">
        <v>82</v>
      </c>
      <c r="J30" s="130">
        <f>(C29-J28)/L9*O3</f>
        <v>333.31555435629906</v>
      </c>
    </row>
    <row r="31" spans="2:14" x14ac:dyDescent="0.15">
      <c r="I31" s="122" t="s">
        <v>159</v>
      </c>
      <c r="J31" s="130">
        <f>B29/J10</f>
        <v>4166.0714285714284</v>
      </c>
    </row>
  </sheetData>
  <mergeCells count="3">
    <mergeCell ref="B1:F1"/>
    <mergeCell ref="J12:M12"/>
    <mergeCell ref="B27:F27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workbookViewId="0">
      <selection activeCell="B1" sqref="B1:O23"/>
    </sheetView>
  </sheetViews>
  <sheetFormatPr defaultRowHeight="13.5" x14ac:dyDescent="0.15"/>
  <cols>
    <col min="9" max="9" width="9.625" bestFit="1" customWidth="1"/>
  </cols>
  <sheetData>
    <row r="1" spans="2:15" ht="16.5" x14ac:dyDescent="0.15">
      <c r="B1" s="36" t="s">
        <v>64</v>
      </c>
      <c r="C1" s="38"/>
      <c r="D1" s="38"/>
      <c r="E1" s="38"/>
      <c r="F1" s="37"/>
      <c r="H1" s="87" t="s">
        <v>232</v>
      </c>
      <c r="I1" s="87"/>
      <c r="J1" s="87"/>
      <c r="K1" s="87"/>
      <c r="L1" s="87"/>
      <c r="M1" s="87"/>
      <c r="N1" s="87"/>
      <c r="O1" s="87"/>
    </row>
    <row r="2" spans="2:15" ht="16.5" x14ac:dyDescent="0.15">
      <c r="B2" s="52" t="s">
        <v>66</v>
      </c>
      <c r="C2" s="52" t="s">
        <v>67</v>
      </c>
      <c r="D2" s="52" t="s">
        <v>68</v>
      </c>
      <c r="E2" s="52" t="s">
        <v>69</v>
      </c>
      <c r="F2" s="52" t="s">
        <v>70</v>
      </c>
      <c r="H2" s="87"/>
      <c r="I2" s="87"/>
      <c r="J2" s="87"/>
      <c r="K2" s="87"/>
      <c r="L2" s="87" t="s">
        <v>81</v>
      </c>
      <c r="M2" s="87"/>
      <c r="N2" s="87" t="s">
        <v>82</v>
      </c>
      <c r="O2" s="87"/>
    </row>
    <row r="3" spans="2:15" ht="16.5" x14ac:dyDescent="0.15">
      <c r="B3" s="52">
        <v>614</v>
      </c>
      <c r="C3" s="52">
        <v>99</v>
      </c>
      <c r="D3" s="52">
        <v>65</v>
      </c>
      <c r="E3" s="52">
        <v>82</v>
      </c>
      <c r="F3" s="52">
        <v>0.92896174863387981</v>
      </c>
      <c r="H3" s="92" t="s">
        <v>146</v>
      </c>
      <c r="I3" s="92"/>
      <c r="J3" s="92"/>
      <c r="K3" s="92"/>
      <c r="L3" s="79">
        <v>1</v>
      </c>
      <c r="M3" s="92" t="s">
        <v>147</v>
      </c>
      <c r="N3" s="79">
        <v>1.5</v>
      </c>
      <c r="O3" s="87"/>
    </row>
    <row r="4" spans="2:15" ht="16.5" x14ac:dyDescent="0.15">
      <c r="H4" s="92" t="s">
        <v>161</v>
      </c>
      <c r="I4" s="92"/>
      <c r="J4" s="92"/>
      <c r="K4" s="92"/>
      <c r="L4" s="79">
        <v>1</v>
      </c>
      <c r="M4" s="92" t="s">
        <v>147</v>
      </c>
      <c r="N4" s="79">
        <v>1</v>
      </c>
      <c r="O4" s="87"/>
    </row>
    <row r="5" spans="2:15" ht="16.5" x14ac:dyDescent="0.15">
      <c r="H5" s="92" t="s">
        <v>166</v>
      </c>
      <c r="I5" s="92"/>
      <c r="J5" s="79">
        <v>0.2</v>
      </c>
      <c r="K5" s="92"/>
      <c r="L5" s="92" t="s">
        <v>165</v>
      </c>
      <c r="M5" s="92"/>
      <c r="N5" s="79">
        <v>0.25</v>
      </c>
      <c r="O5" s="87"/>
    </row>
    <row r="6" spans="2:15" ht="16.5" x14ac:dyDescent="0.15">
      <c r="H6" s="92" t="s">
        <v>160</v>
      </c>
      <c r="I6" s="79">
        <v>15</v>
      </c>
      <c r="J6" s="92"/>
      <c r="K6" s="92"/>
      <c r="L6" s="92"/>
      <c r="M6" s="92"/>
      <c r="N6" s="92"/>
      <c r="O6" s="87"/>
    </row>
    <row r="7" spans="2:15" ht="16.5" x14ac:dyDescent="0.15">
      <c r="H7" s="92" t="s">
        <v>148</v>
      </c>
      <c r="I7" s="91">
        <f>I10*K9</f>
        <v>2.0262736842105267</v>
      </c>
      <c r="J7" s="92"/>
      <c r="K7" s="92"/>
      <c r="L7" s="92"/>
      <c r="M7" s="92"/>
      <c r="N7" s="92"/>
      <c r="O7" s="87"/>
    </row>
    <row r="8" spans="2:15" ht="16.5" x14ac:dyDescent="0.15">
      <c r="H8" s="87"/>
      <c r="I8" s="92" t="s">
        <v>151</v>
      </c>
      <c r="J8" s="87" t="s">
        <v>154</v>
      </c>
      <c r="K8" s="87" t="s">
        <v>158</v>
      </c>
      <c r="L8" s="87"/>
      <c r="M8" s="87"/>
      <c r="N8" s="87"/>
      <c r="O8" s="87"/>
    </row>
    <row r="9" spans="2:15" ht="16.5" x14ac:dyDescent="0.15">
      <c r="H9" s="87" t="s">
        <v>152</v>
      </c>
      <c r="I9" s="91">
        <f>L3*((技能系数!E4+(I6-1)*技能系数!$D$1)*(I14/(SUM(I14:L14)-K14)))</f>
        <v>0.12000000000000002</v>
      </c>
      <c r="J9" s="91">
        <f>(I9+I11)*N14*N5/(1-N5)</f>
        <v>2.6284210526315794</v>
      </c>
      <c r="K9" s="91">
        <f>((I9+I11)*N14+J9)/N14</f>
        <v>1.9115789473684215</v>
      </c>
      <c r="L9" s="87"/>
      <c r="M9" s="87"/>
      <c r="N9" s="87"/>
      <c r="O9" s="87"/>
    </row>
    <row r="10" spans="2:15" ht="16.5" x14ac:dyDescent="0.15">
      <c r="H10" s="87" t="s">
        <v>153</v>
      </c>
      <c r="I10" s="91">
        <f>技能系数!$C$38*(L14/(SUM(I14:L14)))+1</f>
        <v>1.06</v>
      </c>
      <c r="J10" s="87"/>
      <c r="K10" s="87"/>
      <c r="L10" s="87"/>
      <c r="M10" s="87"/>
      <c r="N10" s="87"/>
      <c r="O10" s="87"/>
    </row>
    <row r="11" spans="2:15" s="85" customFormat="1" ht="16.5" x14ac:dyDescent="0.15">
      <c r="H11" s="87" t="s">
        <v>185</v>
      </c>
      <c r="I11" s="91">
        <f>N3*((技能系数!E22+(I6-1)*技能系数!$D$1)*(J14/(SUM(I14:L14)-K14)))</f>
        <v>1.313684210526316</v>
      </c>
      <c r="J11" s="87"/>
      <c r="K11" s="87"/>
      <c r="L11" s="87"/>
      <c r="M11" s="87"/>
      <c r="N11" s="87"/>
      <c r="O11" s="87"/>
    </row>
    <row r="12" spans="2:15" ht="16.5" x14ac:dyDescent="0.15">
      <c r="H12" s="87"/>
      <c r="I12" s="57" t="s">
        <v>108</v>
      </c>
      <c r="J12" s="57"/>
      <c r="K12" s="57"/>
      <c r="L12" s="57"/>
      <c r="M12" s="60"/>
      <c r="N12" s="87"/>
      <c r="O12" s="87"/>
    </row>
    <row r="13" spans="2:15" ht="16.5" x14ac:dyDescent="0.15">
      <c r="H13" s="87"/>
      <c r="I13" s="86" t="s">
        <v>103</v>
      </c>
      <c r="J13" s="86" t="s">
        <v>104</v>
      </c>
      <c r="K13" s="86" t="s">
        <v>105</v>
      </c>
      <c r="L13" s="86" t="s">
        <v>106</v>
      </c>
      <c r="M13" s="86" t="s">
        <v>149</v>
      </c>
      <c r="N13" s="86" t="s">
        <v>109</v>
      </c>
      <c r="O13" s="87"/>
    </row>
    <row r="14" spans="2:15" ht="16.5" x14ac:dyDescent="0.15">
      <c r="H14" s="87"/>
      <c r="I14" s="75">
        <v>0.1</v>
      </c>
      <c r="J14" s="75">
        <v>0.8</v>
      </c>
      <c r="K14" s="107">
        <v>0.05</v>
      </c>
      <c r="L14" s="75">
        <v>0.05</v>
      </c>
      <c r="M14" s="75">
        <v>1</v>
      </c>
      <c r="N14" s="84">
        <f>(10+M14)/2</f>
        <v>5.5</v>
      </c>
      <c r="O14" s="87"/>
    </row>
    <row r="15" spans="2:15" ht="16.5" x14ac:dyDescent="0.15">
      <c r="H15" s="87"/>
      <c r="I15" s="87"/>
      <c r="J15" s="87"/>
      <c r="K15" s="87"/>
      <c r="L15" s="87"/>
      <c r="M15" s="87"/>
      <c r="N15" s="87"/>
      <c r="O15" s="87"/>
    </row>
    <row r="16" spans="2:15" ht="16.5" x14ac:dyDescent="0.15">
      <c r="H16" s="87" t="s">
        <v>155</v>
      </c>
      <c r="I16" s="87"/>
      <c r="J16" s="87"/>
      <c r="K16" s="87"/>
      <c r="L16" s="87"/>
      <c r="M16" s="87"/>
      <c r="N16" s="87"/>
      <c r="O16" s="87"/>
    </row>
    <row r="17" spans="8:15" ht="16.5" x14ac:dyDescent="0.15">
      <c r="H17" s="87"/>
      <c r="I17" s="87" t="s">
        <v>178</v>
      </c>
      <c r="J17" s="87" t="s">
        <v>157</v>
      </c>
      <c r="K17" s="87" t="s">
        <v>186</v>
      </c>
      <c r="L17" s="87"/>
      <c r="M17" s="87"/>
      <c r="N17" s="87"/>
      <c r="O17" s="87"/>
    </row>
    <row r="18" spans="8:15" ht="16.5" x14ac:dyDescent="0.15">
      <c r="H18" s="87"/>
      <c r="I18" s="87">
        <v>3</v>
      </c>
      <c r="J18" s="91">
        <f>J9/I18*K18</f>
        <v>0.65710526315789486</v>
      </c>
      <c r="K18" s="75">
        <v>0.75</v>
      </c>
      <c r="L18" s="87"/>
      <c r="M18" s="87"/>
      <c r="N18" s="87"/>
      <c r="O18" s="87"/>
    </row>
    <row r="19" spans="8:15" ht="16.5" x14ac:dyDescent="0.15">
      <c r="H19" s="87"/>
      <c r="I19" s="87"/>
      <c r="J19" s="87"/>
      <c r="K19" s="87"/>
      <c r="L19" s="87"/>
      <c r="M19" s="87"/>
      <c r="N19" s="87"/>
      <c r="O19" s="87"/>
    </row>
    <row r="20" spans="8:15" ht="16.5" x14ac:dyDescent="0.15">
      <c r="H20" s="87" t="s">
        <v>84</v>
      </c>
      <c r="I20" s="91">
        <f>C3/K9*L3</f>
        <v>51.789647577092502</v>
      </c>
      <c r="J20" s="87"/>
      <c r="K20" s="87"/>
      <c r="L20" s="87"/>
      <c r="M20" s="87"/>
      <c r="N20" s="87"/>
      <c r="O20" s="87"/>
    </row>
    <row r="21" spans="8:15" ht="16.5" x14ac:dyDescent="0.15">
      <c r="H21" s="117" t="s">
        <v>82</v>
      </c>
      <c r="I21" s="118">
        <f>C3/K9*N3</f>
        <v>77.684471365638757</v>
      </c>
      <c r="J21" s="87"/>
      <c r="K21" s="87"/>
      <c r="L21" s="87"/>
      <c r="M21" s="87"/>
      <c r="N21" s="87"/>
      <c r="O21" s="87"/>
    </row>
    <row r="22" spans="8:15" ht="16.5" x14ac:dyDescent="0.15">
      <c r="H22" s="87" t="s">
        <v>159</v>
      </c>
      <c r="I22" s="91">
        <f>B3/I10</f>
        <v>579.24528301886789</v>
      </c>
      <c r="J22" s="87"/>
      <c r="K22" s="87"/>
      <c r="L22" s="87"/>
      <c r="M22" s="87"/>
      <c r="N22" s="87"/>
      <c r="O22" s="87"/>
    </row>
    <row r="23" spans="8:15" ht="16.5" x14ac:dyDescent="0.15">
      <c r="H23" s="87"/>
      <c r="I23" s="87"/>
      <c r="J23" s="87"/>
      <c r="K23" s="87"/>
      <c r="L23" s="87"/>
      <c r="M23" s="87"/>
      <c r="N23" s="87"/>
      <c r="O23" s="87"/>
    </row>
  </sheetData>
  <mergeCells count="2">
    <mergeCell ref="B1:F1"/>
    <mergeCell ref="I12:L1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workbookViewId="0">
      <selection activeCell="L31" sqref="L31"/>
    </sheetView>
  </sheetViews>
  <sheetFormatPr defaultRowHeight="13.5" x14ac:dyDescent="0.15"/>
  <sheetData>
    <row r="1" spans="2:15" ht="16.5" x14ac:dyDescent="0.15">
      <c r="B1" s="36" t="s">
        <v>64</v>
      </c>
      <c r="C1" s="38"/>
      <c r="D1" s="38"/>
      <c r="E1" s="38"/>
      <c r="F1" s="37"/>
      <c r="G1" s="112"/>
      <c r="H1" s="113" t="s">
        <v>16</v>
      </c>
      <c r="I1" s="113"/>
      <c r="J1" s="113"/>
      <c r="K1" s="113"/>
      <c r="L1" s="113"/>
      <c r="M1" s="113"/>
      <c r="N1" s="113"/>
      <c r="O1" s="113"/>
    </row>
    <row r="2" spans="2:15" ht="16.5" x14ac:dyDescent="0.15">
      <c r="B2" s="52" t="s">
        <v>66</v>
      </c>
      <c r="C2" s="52" t="s">
        <v>67</v>
      </c>
      <c r="D2" s="52" t="s">
        <v>68</v>
      </c>
      <c r="E2" s="52" t="s">
        <v>69</v>
      </c>
      <c r="F2" s="52" t="s">
        <v>70</v>
      </c>
      <c r="G2" s="112"/>
      <c r="H2" s="113"/>
      <c r="I2" s="113"/>
      <c r="J2" s="113"/>
      <c r="K2" s="113"/>
      <c r="L2" s="113" t="s">
        <v>81</v>
      </c>
      <c r="M2" s="113"/>
      <c r="N2" s="113" t="s">
        <v>82</v>
      </c>
      <c r="O2" s="113"/>
    </row>
    <row r="3" spans="2:15" ht="16.5" x14ac:dyDescent="0.15">
      <c r="B3" s="52">
        <v>614</v>
      </c>
      <c r="C3" s="52">
        <v>99</v>
      </c>
      <c r="D3" s="52">
        <v>65</v>
      </c>
      <c r="E3" s="52">
        <v>82</v>
      </c>
      <c r="F3" s="52">
        <v>0.92896174863387981</v>
      </c>
      <c r="G3" s="112"/>
      <c r="H3" s="117" t="s">
        <v>146</v>
      </c>
      <c r="I3" s="117"/>
      <c r="J3" s="117"/>
      <c r="K3" s="117"/>
      <c r="L3" s="119">
        <v>1</v>
      </c>
      <c r="M3" s="117" t="s">
        <v>147</v>
      </c>
      <c r="N3" s="119">
        <v>1.5</v>
      </c>
      <c r="O3" s="113"/>
    </row>
    <row r="4" spans="2:15" ht="16.5" x14ac:dyDescent="0.15">
      <c r="B4" s="112"/>
      <c r="C4" s="112"/>
      <c r="D4" s="112"/>
      <c r="E4" s="112"/>
      <c r="F4" s="112"/>
      <c r="G4" s="112"/>
      <c r="H4" s="117" t="s">
        <v>161</v>
      </c>
      <c r="I4" s="117"/>
      <c r="J4" s="117"/>
      <c r="K4" s="117"/>
      <c r="L4" s="119">
        <v>1</v>
      </c>
      <c r="M4" s="117" t="s">
        <v>147</v>
      </c>
      <c r="N4" s="119">
        <v>1</v>
      </c>
      <c r="O4" s="113"/>
    </row>
    <row r="5" spans="2:15" ht="16.5" x14ac:dyDescent="0.15">
      <c r="B5" s="112"/>
      <c r="C5" s="112"/>
      <c r="D5" s="112"/>
      <c r="E5" s="112"/>
      <c r="F5" s="112"/>
      <c r="G5" s="112"/>
      <c r="H5" s="117" t="s">
        <v>166</v>
      </c>
      <c r="I5" s="117"/>
      <c r="J5" s="119">
        <v>0.2</v>
      </c>
      <c r="K5" s="117"/>
      <c r="L5" s="117" t="s">
        <v>165</v>
      </c>
      <c r="M5" s="117"/>
      <c r="N5" s="119">
        <v>0.25</v>
      </c>
      <c r="O5" s="113"/>
    </row>
    <row r="6" spans="2:15" ht="16.5" x14ac:dyDescent="0.15">
      <c r="B6" s="112"/>
      <c r="C6" s="112"/>
      <c r="D6" s="112"/>
      <c r="E6" s="112"/>
      <c r="F6" s="112"/>
      <c r="G6" s="112"/>
      <c r="H6" s="117" t="s">
        <v>160</v>
      </c>
      <c r="I6" s="119">
        <v>15</v>
      </c>
      <c r="J6" s="117"/>
      <c r="K6" s="117"/>
      <c r="L6" s="117"/>
      <c r="M6" s="117"/>
      <c r="N6" s="117"/>
      <c r="O6" s="113"/>
    </row>
    <row r="7" spans="2:15" ht="16.5" x14ac:dyDescent="0.15">
      <c r="B7" s="112"/>
      <c r="C7" s="112"/>
      <c r="D7" s="112"/>
      <c r="E7" s="112"/>
      <c r="F7" s="112"/>
      <c r="G7" s="112"/>
      <c r="H7" s="117" t="s">
        <v>148</v>
      </c>
      <c r="I7" s="118">
        <f>I10*K9</f>
        <v>1.4161600000000003</v>
      </c>
      <c r="J7" s="117"/>
      <c r="K7" s="117"/>
      <c r="L7" s="117"/>
      <c r="M7" s="117"/>
      <c r="N7" s="117"/>
      <c r="O7" s="113"/>
    </row>
    <row r="8" spans="2:15" ht="16.5" x14ac:dyDescent="0.15">
      <c r="B8" s="112"/>
      <c r="C8" s="112"/>
      <c r="D8" s="112"/>
      <c r="E8" s="112"/>
      <c r="F8" s="112"/>
      <c r="G8" s="112"/>
      <c r="H8" s="113"/>
      <c r="I8" s="117" t="s">
        <v>151</v>
      </c>
      <c r="J8" s="113" t="s">
        <v>154</v>
      </c>
      <c r="K8" s="113" t="s">
        <v>158</v>
      </c>
      <c r="L8" s="113"/>
      <c r="M8" s="113"/>
      <c r="N8" s="113"/>
      <c r="O8" s="113"/>
    </row>
    <row r="9" spans="2:15" ht="16.5" x14ac:dyDescent="0.15">
      <c r="B9" s="112"/>
      <c r="C9" s="112"/>
      <c r="D9" s="112"/>
      <c r="E9" s="112"/>
      <c r="F9" s="112"/>
      <c r="G9" s="112"/>
      <c r="H9" s="113" t="s">
        <v>152</v>
      </c>
      <c r="I9" s="118">
        <f>L3*((技能系数!E4+(I6-1)*技能系数!$D$1)*(I15/(SUM(I15:L15))))</f>
        <v>0.11400000000000002</v>
      </c>
      <c r="J9" s="118">
        <f>(I9+I11)*N15*N5/(1-N5)</f>
        <v>1.8370000000000004</v>
      </c>
      <c r="K9" s="118">
        <f>((I9+I11)*N15+J9)/N15</f>
        <v>1.3360000000000003</v>
      </c>
      <c r="L9" s="113"/>
      <c r="M9" s="113"/>
      <c r="N9" s="113"/>
      <c r="O9" s="113"/>
    </row>
    <row r="10" spans="2:15" ht="16.5" x14ac:dyDescent="0.15">
      <c r="B10" s="112"/>
      <c r="C10" s="112"/>
      <c r="D10" s="112"/>
      <c r="E10" s="112"/>
      <c r="F10" s="112"/>
      <c r="G10" s="112"/>
      <c r="H10" s="113" t="s">
        <v>153</v>
      </c>
      <c r="I10" s="118">
        <f>技能系数!$C$38*(L15/(SUM(I15:L15)))+1</f>
        <v>1.06</v>
      </c>
      <c r="J10" s="113"/>
      <c r="K10" s="113"/>
      <c r="L10" s="113"/>
      <c r="M10" s="113"/>
      <c r="N10" s="113"/>
      <c r="O10" s="113"/>
    </row>
    <row r="11" spans="2:15" ht="16.5" x14ac:dyDescent="0.15">
      <c r="B11" s="112"/>
      <c r="C11" s="112"/>
      <c r="D11" s="112"/>
      <c r="E11" s="112"/>
      <c r="F11" s="112"/>
      <c r="G11" s="112"/>
      <c r="H11" s="113" t="s">
        <v>185</v>
      </c>
      <c r="I11" s="118">
        <f>N3*((技能系数!E20+(I6-1)*技能系数!$D$1)*(J15/(SUM(I15:L15))))</f>
        <v>0.88800000000000012</v>
      </c>
      <c r="J11" s="113"/>
      <c r="K11" s="113"/>
      <c r="L11" s="113"/>
      <c r="M11" s="113"/>
      <c r="N11" s="113"/>
      <c r="O11" s="113"/>
    </row>
    <row r="12" spans="2:15" s="112" customFormat="1" ht="16.5" x14ac:dyDescent="0.15">
      <c r="H12" s="113" t="s">
        <v>190</v>
      </c>
      <c r="I12" s="118">
        <f>K15*技能系数!E28</f>
        <v>0.15000000000000002</v>
      </c>
      <c r="J12" s="113"/>
      <c r="K12" s="113"/>
      <c r="L12" s="113"/>
      <c r="M12" s="113"/>
      <c r="N12" s="113"/>
      <c r="O12" s="113"/>
    </row>
    <row r="13" spans="2:15" ht="16.5" x14ac:dyDescent="0.15">
      <c r="B13" s="112"/>
      <c r="C13" s="112"/>
      <c r="D13" s="112"/>
      <c r="E13" s="112"/>
      <c r="F13" s="112"/>
      <c r="G13" s="112"/>
      <c r="H13" s="113"/>
      <c r="I13" s="57" t="s">
        <v>108</v>
      </c>
      <c r="J13" s="57"/>
      <c r="K13" s="57"/>
      <c r="L13" s="57"/>
      <c r="M13" s="60"/>
      <c r="N13" s="113"/>
      <c r="O13" s="113"/>
    </row>
    <row r="14" spans="2:15" ht="16.5" x14ac:dyDescent="0.15">
      <c r="B14" s="112"/>
      <c r="C14" s="112"/>
      <c r="D14" s="112"/>
      <c r="E14" s="112"/>
      <c r="F14" s="112"/>
      <c r="G14" s="112"/>
      <c r="H14" s="113"/>
      <c r="I14" s="116" t="s">
        <v>103</v>
      </c>
      <c r="J14" s="116" t="s">
        <v>104</v>
      </c>
      <c r="K14" s="116" t="s">
        <v>105</v>
      </c>
      <c r="L14" s="116" t="s">
        <v>106</v>
      </c>
      <c r="M14" s="116" t="s">
        <v>149</v>
      </c>
      <c r="N14" s="116" t="s">
        <v>109</v>
      </c>
      <c r="O14" s="113"/>
    </row>
    <row r="15" spans="2:15" ht="16.5" x14ac:dyDescent="0.15">
      <c r="B15" s="112"/>
      <c r="C15" s="112"/>
      <c r="D15" s="112"/>
      <c r="E15" s="112"/>
      <c r="F15" s="112"/>
      <c r="G15" s="112"/>
      <c r="H15" s="113"/>
      <c r="I15" s="114">
        <v>0.1</v>
      </c>
      <c r="J15" s="114">
        <v>0.8</v>
      </c>
      <c r="K15" s="119">
        <v>0.05</v>
      </c>
      <c r="L15" s="114">
        <v>0.05</v>
      </c>
      <c r="M15" s="114">
        <v>1</v>
      </c>
      <c r="N15" s="120">
        <f>(10+M15)/2</f>
        <v>5.5</v>
      </c>
      <c r="O15" s="113"/>
    </row>
    <row r="16" spans="2:15" ht="16.5" x14ac:dyDescent="0.15">
      <c r="B16" s="112"/>
      <c r="C16" s="112"/>
      <c r="D16" s="112"/>
      <c r="E16" s="112"/>
      <c r="F16" s="112"/>
      <c r="G16" s="112"/>
      <c r="H16" s="113"/>
      <c r="I16" s="113"/>
      <c r="J16" s="113"/>
      <c r="K16" s="113"/>
      <c r="L16" s="113"/>
      <c r="M16" s="113"/>
      <c r="N16" s="113"/>
      <c r="O16" s="113"/>
    </row>
    <row r="17" spans="2:15" ht="16.5" x14ac:dyDescent="0.15">
      <c r="B17" s="112"/>
      <c r="C17" s="112"/>
      <c r="D17" s="112"/>
      <c r="E17" s="112"/>
      <c r="F17" s="112"/>
      <c r="G17" s="112"/>
      <c r="H17" s="113" t="s">
        <v>155</v>
      </c>
      <c r="I17" s="113"/>
      <c r="J17" s="113"/>
      <c r="K17" s="113"/>
      <c r="L17" s="113"/>
      <c r="M17" s="113"/>
      <c r="N17" s="113"/>
      <c r="O17" s="113"/>
    </row>
    <row r="18" spans="2:15" s="112" customFormat="1" ht="16.5" x14ac:dyDescent="0.15">
      <c r="H18" s="113"/>
      <c r="I18" s="113" t="s">
        <v>187</v>
      </c>
      <c r="J18" s="113" t="s">
        <v>188</v>
      </c>
      <c r="K18" s="113" t="s">
        <v>178</v>
      </c>
      <c r="L18" s="113" t="s">
        <v>189</v>
      </c>
      <c r="M18" s="113"/>
      <c r="N18" s="113"/>
      <c r="O18" s="113"/>
    </row>
    <row r="19" spans="2:15" s="112" customFormat="1" ht="16.5" x14ac:dyDescent="0.15">
      <c r="H19" s="113"/>
      <c r="I19" s="114">
        <v>0.1</v>
      </c>
      <c r="J19" s="114">
        <v>2</v>
      </c>
      <c r="K19" s="113">
        <v>3</v>
      </c>
      <c r="L19" s="113">
        <f>I19*J19*K19</f>
        <v>0.60000000000000009</v>
      </c>
      <c r="M19" s="113"/>
      <c r="N19" s="113"/>
      <c r="O19" s="113"/>
    </row>
    <row r="20" spans="2:15" ht="16.5" x14ac:dyDescent="0.15">
      <c r="B20" s="112"/>
      <c r="C20" s="112"/>
      <c r="D20" s="112"/>
      <c r="E20" s="112"/>
      <c r="F20" s="112"/>
      <c r="G20" s="112"/>
      <c r="H20" s="113"/>
      <c r="I20" s="113" t="s">
        <v>178</v>
      </c>
      <c r="J20" s="113" t="s">
        <v>157</v>
      </c>
      <c r="K20" s="113" t="s">
        <v>186</v>
      </c>
      <c r="L20" s="113"/>
      <c r="M20" s="113"/>
      <c r="N20" s="113"/>
      <c r="O20" s="113"/>
    </row>
    <row r="21" spans="2:15" ht="16.5" x14ac:dyDescent="0.15">
      <c r="B21" s="112"/>
      <c r="C21" s="112"/>
      <c r="D21" s="112"/>
      <c r="E21" s="112"/>
      <c r="F21" s="112"/>
      <c r="G21" s="112"/>
      <c r="H21" s="113"/>
      <c r="I21" s="113">
        <v>3</v>
      </c>
      <c r="J21" s="118">
        <f>(J9-L19)/I21*K21</f>
        <v>0.30925000000000008</v>
      </c>
      <c r="K21" s="114">
        <v>0.75</v>
      </c>
      <c r="L21" s="113"/>
      <c r="M21" s="113"/>
      <c r="N21" s="113"/>
      <c r="O21" s="113"/>
    </row>
    <row r="22" spans="2:15" ht="16.5" x14ac:dyDescent="0.15">
      <c r="B22" s="112"/>
      <c r="C22" s="112"/>
      <c r="D22" s="112"/>
      <c r="E22" s="112"/>
      <c r="F22" s="112"/>
      <c r="G22" s="112"/>
      <c r="H22" s="113" t="s">
        <v>193</v>
      </c>
      <c r="I22" s="114">
        <v>1.1000000000000001</v>
      </c>
      <c r="J22" s="113"/>
      <c r="K22" s="113"/>
      <c r="L22" s="113"/>
      <c r="M22" s="113"/>
      <c r="N22" s="113"/>
      <c r="O22" s="113"/>
    </row>
    <row r="23" spans="2:15" s="112" customFormat="1" ht="16.5" x14ac:dyDescent="0.15">
      <c r="H23" s="113" t="s">
        <v>192</v>
      </c>
      <c r="I23" s="113">
        <f>I22*I12</f>
        <v>0.16500000000000004</v>
      </c>
      <c r="J23" s="113"/>
      <c r="K23" s="113"/>
      <c r="L23" s="113"/>
      <c r="M23" s="113"/>
      <c r="N23" s="113"/>
      <c r="O23" s="113"/>
    </row>
    <row r="24" spans="2:15" ht="16.5" x14ac:dyDescent="0.15">
      <c r="B24" s="112"/>
      <c r="C24" s="112"/>
      <c r="D24" s="112"/>
      <c r="E24" s="112"/>
      <c r="F24" s="112"/>
      <c r="G24" s="112"/>
      <c r="H24" s="113" t="s">
        <v>84</v>
      </c>
      <c r="I24" s="118">
        <f>C3*(1-I23)/K9*L3</f>
        <v>61.874999999999979</v>
      </c>
      <c r="J24" s="113"/>
      <c r="K24" s="113"/>
      <c r="L24" s="113"/>
      <c r="M24" s="113"/>
      <c r="N24" s="113"/>
      <c r="O24" s="113"/>
    </row>
    <row r="25" spans="2:15" ht="16.5" x14ac:dyDescent="0.15">
      <c r="B25" s="112"/>
      <c r="C25" s="112"/>
      <c r="D25" s="112"/>
      <c r="E25" s="112"/>
      <c r="F25" s="112"/>
      <c r="G25" s="112"/>
      <c r="H25" s="117" t="s">
        <v>82</v>
      </c>
      <c r="I25" s="118">
        <f>C3*(1-I23)/(K9+I23)*N3</f>
        <v>82.60992671552296</v>
      </c>
      <c r="J25" s="113"/>
      <c r="K25" s="113"/>
      <c r="L25" s="113"/>
      <c r="M25" s="113"/>
      <c r="N25" s="113"/>
      <c r="O25" s="113"/>
    </row>
    <row r="26" spans="2:15" ht="16.5" x14ac:dyDescent="0.15">
      <c r="B26" s="112"/>
      <c r="C26" s="112"/>
      <c r="D26" s="112"/>
      <c r="E26" s="112"/>
      <c r="F26" s="112"/>
      <c r="G26" s="112"/>
      <c r="H26" s="113" t="s">
        <v>159</v>
      </c>
      <c r="I26" s="118">
        <f>B3/I10</f>
        <v>579.24528301886789</v>
      </c>
      <c r="J26" s="113"/>
      <c r="K26" s="113"/>
      <c r="L26" s="113"/>
      <c r="M26" s="113"/>
      <c r="N26" s="113"/>
      <c r="O26" s="113"/>
    </row>
  </sheetData>
  <mergeCells count="2">
    <mergeCell ref="B1:F1"/>
    <mergeCell ref="I13:L1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B20" sqref="B20"/>
    </sheetView>
  </sheetViews>
  <sheetFormatPr defaultRowHeight="16.5" x14ac:dyDescent="0.15"/>
  <cols>
    <col min="1" max="16384" width="9" style="122"/>
  </cols>
  <sheetData>
    <row r="1" spans="2:14" x14ac:dyDescent="0.15">
      <c r="B1" s="36" t="s">
        <v>64</v>
      </c>
      <c r="C1" s="38"/>
      <c r="D1" s="38"/>
      <c r="E1" s="38"/>
      <c r="F1" s="37"/>
      <c r="H1" s="122" t="s">
        <v>233</v>
      </c>
    </row>
    <row r="2" spans="2:14" x14ac:dyDescent="0.15">
      <c r="B2" s="131" t="s">
        <v>66</v>
      </c>
      <c r="C2" s="131" t="s">
        <v>67</v>
      </c>
      <c r="D2" s="131" t="s">
        <v>68</v>
      </c>
      <c r="E2" s="131" t="s">
        <v>69</v>
      </c>
      <c r="F2" s="131" t="s">
        <v>70</v>
      </c>
      <c r="L2" s="122" t="s">
        <v>81</v>
      </c>
      <c r="N2" s="122" t="s">
        <v>82</v>
      </c>
    </row>
    <row r="3" spans="2:14" x14ac:dyDescent="0.15">
      <c r="B3" s="131">
        <v>614</v>
      </c>
      <c r="C3" s="131">
        <v>99</v>
      </c>
      <c r="D3" s="131">
        <v>65</v>
      </c>
      <c r="E3" s="131">
        <v>82</v>
      </c>
      <c r="F3" s="131">
        <v>0.92896174863387981</v>
      </c>
      <c r="H3" s="133" t="s">
        <v>146</v>
      </c>
      <c r="I3" s="133"/>
      <c r="J3" s="133"/>
      <c r="K3" s="133"/>
      <c r="L3" s="134">
        <v>1.5</v>
      </c>
      <c r="M3" s="133" t="s">
        <v>147</v>
      </c>
      <c r="N3" s="134">
        <v>1</v>
      </c>
    </row>
    <row r="4" spans="2:14" x14ac:dyDescent="0.15">
      <c r="H4" s="133" t="s">
        <v>161</v>
      </c>
      <c r="I4" s="133"/>
      <c r="J4" s="133"/>
      <c r="K4" s="133"/>
      <c r="L4" s="134">
        <v>1</v>
      </c>
      <c r="M4" s="133" t="s">
        <v>147</v>
      </c>
      <c r="N4" s="134">
        <v>1</v>
      </c>
    </row>
    <row r="5" spans="2:14" x14ac:dyDescent="0.15">
      <c r="H5" s="133" t="s">
        <v>166</v>
      </c>
      <c r="I5" s="133"/>
      <c r="J5" s="134">
        <v>0.2</v>
      </c>
      <c r="K5" s="133"/>
      <c r="L5" s="133" t="s">
        <v>165</v>
      </c>
      <c r="M5" s="133"/>
      <c r="N5" s="134">
        <v>0.25</v>
      </c>
    </row>
    <row r="6" spans="2:14" x14ac:dyDescent="0.15">
      <c r="H6" s="133" t="s">
        <v>160</v>
      </c>
      <c r="I6" s="134">
        <v>15</v>
      </c>
      <c r="J6" s="133"/>
      <c r="K6" s="133"/>
      <c r="L6" s="133"/>
      <c r="M6" s="133"/>
      <c r="N6" s="133"/>
    </row>
    <row r="7" spans="2:14" x14ac:dyDescent="0.15">
      <c r="H7" s="133" t="s">
        <v>148</v>
      </c>
      <c r="I7" s="130">
        <f>I10*K9</f>
        <v>2.0737490569243837</v>
      </c>
      <c r="J7" s="133"/>
      <c r="K7" s="133"/>
      <c r="L7" s="133"/>
      <c r="M7" s="133"/>
      <c r="N7" s="133"/>
    </row>
    <row r="8" spans="2:14" x14ac:dyDescent="0.15">
      <c r="I8" s="133" t="s">
        <v>151</v>
      </c>
      <c r="J8" s="122" t="s">
        <v>154</v>
      </c>
      <c r="K8" s="122" t="s">
        <v>158</v>
      </c>
    </row>
    <row r="9" spans="2:14" x14ac:dyDescent="0.15">
      <c r="H9" s="122" t="s">
        <v>152</v>
      </c>
      <c r="I9" s="130">
        <f>L3*((技能系数!E5+(I6-1)*技能系数!$D$1)*(I14/(SUM(I14:L14))))+N3*((技能系数!E14+(I6-1)*技能系数!$D$1)*(J14/(SUM(I14:L14))))</f>
        <v>1.7154579439252333</v>
      </c>
      <c r="J9" s="130">
        <v>0.5</v>
      </c>
      <c r="K9" s="130">
        <f>((I9+I11)*N14+J9)/N14</f>
        <v>1.9563670348343243</v>
      </c>
    </row>
    <row r="10" spans="2:14" x14ac:dyDescent="0.15">
      <c r="H10" s="122" t="s">
        <v>153</v>
      </c>
      <c r="I10" s="130">
        <f>技能系数!$C$38*(L14/(SUM(I14:L14)))+1</f>
        <v>1.06</v>
      </c>
    </row>
    <row r="11" spans="2:14" x14ac:dyDescent="0.15">
      <c r="H11" s="122" t="s">
        <v>234</v>
      </c>
      <c r="I11" s="130">
        <f>K14*1*技能系数!E25</f>
        <v>0.15000000000000002</v>
      </c>
    </row>
    <row r="12" spans="2:14" x14ac:dyDescent="0.15">
      <c r="I12" s="57" t="s">
        <v>108</v>
      </c>
      <c r="J12" s="57"/>
      <c r="K12" s="57"/>
      <c r="L12" s="57"/>
      <c r="M12" s="60"/>
    </row>
    <row r="13" spans="2:14" x14ac:dyDescent="0.15">
      <c r="I13" s="129" t="s">
        <v>103</v>
      </c>
      <c r="J13" s="129" t="s">
        <v>104</v>
      </c>
      <c r="K13" s="129" t="s">
        <v>105</v>
      </c>
      <c r="L13" s="129" t="s">
        <v>106</v>
      </c>
      <c r="M13" s="129" t="s">
        <v>149</v>
      </c>
      <c r="N13" s="129" t="s">
        <v>109</v>
      </c>
    </row>
    <row r="14" spans="2:14" x14ac:dyDescent="0.15">
      <c r="I14" s="128">
        <v>0.8</v>
      </c>
      <c r="J14" s="128">
        <v>0.1</v>
      </c>
      <c r="K14" s="134">
        <v>0.05</v>
      </c>
      <c r="L14" s="128">
        <v>0.05</v>
      </c>
      <c r="M14" s="128">
        <v>1</v>
      </c>
      <c r="N14" s="120">
        <f>(10+M14)/2</f>
        <v>5.5</v>
      </c>
    </row>
    <row r="16" spans="2:14" x14ac:dyDescent="0.15">
      <c r="H16" s="122" t="s">
        <v>155</v>
      </c>
    </row>
    <row r="17" spans="8:12" x14ac:dyDescent="0.15">
      <c r="I17" s="133" t="s">
        <v>237</v>
      </c>
      <c r="J17" s="133"/>
      <c r="K17" s="133"/>
      <c r="L17" s="133"/>
    </row>
    <row r="18" spans="8:12" x14ac:dyDescent="0.15">
      <c r="I18" s="133"/>
      <c r="J18" s="133"/>
      <c r="K18" s="134"/>
      <c r="L18" s="133"/>
    </row>
    <row r="19" spans="8:12" x14ac:dyDescent="0.15">
      <c r="H19" s="122" t="s">
        <v>235</v>
      </c>
      <c r="I19" s="130">
        <f>技能系数!D25</f>
        <v>0.10000000000000002</v>
      </c>
    </row>
    <row r="20" spans="8:12" x14ac:dyDescent="0.15">
      <c r="H20" s="122" t="s">
        <v>236</v>
      </c>
      <c r="I20" s="130">
        <f>I11*I19</f>
        <v>1.5000000000000005E-2</v>
      </c>
    </row>
    <row r="21" spans="8:12" x14ac:dyDescent="0.15">
      <c r="H21" s="122" t="s">
        <v>84</v>
      </c>
      <c r="I21" s="130">
        <f>C3*(1-I20)/K9*L3</f>
        <v>74.767411940360745</v>
      </c>
    </row>
    <row r="22" spans="8:12" x14ac:dyDescent="0.15">
      <c r="H22" s="133" t="s">
        <v>82</v>
      </c>
      <c r="I22" s="130">
        <f>C3*(1-I20)/K9*N3</f>
        <v>49.844941293573832</v>
      </c>
    </row>
    <row r="23" spans="8:12" x14ac:dyDescent="0.15">
      <c r="H23" s="122" t="s">
        <v>159</v>
      </c>
      <c r="I23" s="130">
        <f>B3/I10</f>
        <v>579.24528301886789</v>
      </c>
    </row>
  </sheetData>
  <mergeCells count="2">
    <mergeCell ref="B1:F1"/>
    <mergeCell ref="I12:L1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1" sqref="B1:E38"/>
    </sheetView>
  </sheetViews>
  <sheetFormatPr defaultRowHeight="16.5" x14ac:dyDescent="0.15"/>
  <cols>
    <col min="1" max="4" width="9" style="69"/>
    <col min="5" max="5" width="9" style="61"/>
    <col min="6" max="16384" width="9" style="69"/>
  </cols>
  <sheetData>
    <row r="1" spans="1:7" x14ac:dyDescent="0.15">
      <c r="A1" s="69" t="s">
        <v>93</v>
      </c>
      <c r="B1" s="69" t="s">
        <v>111</v>
      </c>
      <c r="D1" s="69">
        <v>0.01</v>
      </c>
    </row>
    <row r="2" spans="1:7" x14ac:dyDescent="0.15">
      <c r="B2" s="69" t="s">
        <v>94</v>
      </c>
    </row>
    <row r="3" spans="1:7" x14ac:dyDescent="0.15">
      <c r="C3" s="62" t="s">
        <v>95</v>
      </c>
      <c r="D3" s="62"/>
    </row>
    <row r="4" spans="1:7" x14ac:dyDescent="0.15">
      <c r="C4" s="62"/>
      <c r="D4" s="64" t="s">
        <v>96</v>
      </c>
      <c r="E4" s="66">
        <v>1</v>
      </c>
      <c r="F4" s="70"/>
      <c r="G4" s="70"/>
    </row>
    <row r="5" spans="1:7" x14ac:dyDescent="0.15">
      <c r="C5" s="62"/>
      <c r="D5" s="64" t="s">
        <v>97</v>
      </c>
      <c r="E5" s="66">
        <v>1.2</v>
      </c>
    </row>
    <row r="6" spans="1:7" x14ac:dyDescent="0.15">
      <c r="C6" s="62"/>
      <c r="D6" s="64" t="s">
        <v>98</v>
      </c>
      <c r="E6" s="66">
        <v>1.4</v>
      </c>
    </row>
    <row r="7" spans="1:7" x14ac:dyDescent="0.15">
      <c r="C7" s="62" t="s">
        <v>99</v>
      </c>
      <c r="D7" s="64"/>
      <c r="E7" s="66"/>
    </row>
    <row r="8" spans="1:7" x14ac:dyDescent="0.15">
      <c r="C8" s="62"/>
      <c r="D8" s="64" t="s">
        <v>96</v>
      </c>
      <c r="E8" s="67">
        <v>0.87819999999999998</v>
      </c>
    </row>
    <row r="9" spans="1:7" x14ac:dyDescent="0.15">
      <c r="C9" s="62"/>
      <c r="D9" s="64" t="s">
        <v>97</v>
      </c>
      <c r="E9" s="67">
        <v>1.0781999999999998</v>
      </c>
    </row>
    <row r="10" spans="1:7" x14ac:dyDescent="0.15">
      <c r="C10" s="62"/>
      <c r="D10" s="64" t="s">
        <v>98</v>
      </c>
      <c r="E10" s="67">
        <v>1.2782</v>
      </c>
    </row>
    <row r="11" spans="1:7" x14ac:dyDescent="0.15">
      <c r="D11" s="65"/>
      <c r="E11" s="66"/>
    </row>
    <row r="12" spans="1:7" x14ac:dyDescent="0.15">
      <c r="B12" s="62" t="s">
        <v>100</v>
      </c>
      <c r="D12" s="65"/>
      <c r="E12" s="66"/>
    </row>
    <row r="13" spans="1:7" x14ac:dyDescent="0.15">
      <c r="C13" s="62" t="s">
        <v>139</v>
      </c>
      <c r="D13" s="64"/>
      <c r="E13" s="66"/>
    </row>
    <row r="14" spans="1:7" x14ac:dyDescent="0.15">
      <c r="C14" s="62"/>
      <c r="D14" s="64" t="s">
        <v>96</v>
      </c>
      <c r="E14" s="67">
        <v>0.93457943925233655</v>
      </c>
    </row>
    <row r="15" spans="1:7" x14ac:dyDescent="0.15">
      <c r="C15" s="62"/>
      <c r="D15" s="64" t="s">
        <v>97</v>
      </c>
      <c r="E15" s="67">
        <v>1.1214953271028039</v>
      </c>
    </row>
    <row r="16" spans="1:7" x14ac:dyDescent="0.15">
      <c r="C16" s="62"/>
      <c r="D16" s="64" t="s">
        <v>98</v>
      </c>
      <c r="E16" s="67">
        <v>1.3084112149532712</v>
      </c>
    </row>
    <row r="17" spans="2:5" s="73" customFormat="1" x14ac:dyDescent="0.15">
      <c r="C17" s="74"/>
      <c r="D17" s="76"/>
      <c r="E17" s="67"/>
    </row>
    <row r="18" spans="2:5" s="73" customFormat="1" x14ac:dyDescent="0.15">
      <c r="B18" s="73" t="s">
        <v>138</v>
      </c>
      <c r="C18" s="74"/>
      <c r="D18" s="76"/>
      <c r="E18" s="67"/>
    </row>
    <row r="19" spans="2:5" s="73" customFormat="1" x14ac:dyDescent="0.15">
      <c r="C19" s="74" t="s">
        <v>95</v>
      </c>
      <c r="D19" s="76"/>
      <c r="E19" s="67"/>
    </row>
    <row r="20" spans="2:5" s="73" customFormat="1" x14ac:dyDescent="0.15">
      <c r="C20" s="74"/>
      <c r="D20" s="76" t="s">
        <v>96</v>
      </c>
      <c r="E20" s="113">
        <v>0.60000000000000009</v>
      </c>
    </row>
    <row r="21" spans="2:5" x14ac:dyDescent="0.15">
      <c r="D21" s="76" t="s">
        <v>97</v>
      </c>
      <c r="E21" s="113">
        <v>0.75</v>
      </c>
    </row>
    <row r="22" spans="2:5" s="73" customFormat="1" x14ac:dyDescent="0.15">
      <c r="D22" s="76" t="s">
        <v>98</v>
      </c>
      <c r="E22" s="113">
        <v>0.89999999999999991</v>
      </c>
    </row>
    <row r="23" spans="2:5" s="73" customFormat="1" x14ac:dyDescent="0.15">
      <c r="D23" s="76"/>
      <c r="E23" s="66"/>
    </row>
    <row r="24" spans="2:5" x14ac:dyDescent="0.15">
      <c r="B24" s="62" t="s">
        <v>101</v>
      </c>
      <c r="D24" s="65"/>
      <c r="E24" s="66"/>
    </row>
    <row r="25" spans="2:5" x14ac:dyDescent="0.15">
      <c r="C25" s="62" t="s">
        <v>83</v>
      </c>
      <c r="D25" s="65">
        <v>0.10000000000000002</v>
      </c>
      <c r="E25" s="64">
        <v>3</v>
      </c>
    </row>
    <row r="26" spans="2:5" x14ac:dyDescent="0.15">
      <c r="C26" s="62" t="s">
        <v>79</v>
      </c>
      <c r="D26" s="65">
        <v>0.10000000000000002</v>
      </c>
      <c r="E26" s="64">
        <v>3</v>
      </c>
    </row>
    <row r="27" spans="2:5" x14ac:dyDescent="0.15">
      <c r="C27" s="62" t="s">
        <v>69</v>
      </c>
      <c r="D27" s="65">
        <v>0.10000000000000002</v>
      </c>
      <c r="E27" s="64">
        <v>3</v>
      </c>
    </row>
    <row r="28" spans="2:5" x14ac:dyDescent="0.15">
      <c r="C28" s="69" t="s">
        <v>102</v>
      </c>
      <c r="D28" s="63">
        <v>0.5</v>
      </c>
      <c r="E28" s="68">
        <v>3</v>
      </c>
    </row>
    <row r="30" spans="2:5" s="73" customFormat="1" x14ac:dyDescent="0.15">
      <c r="B30" s="73" t="s">
        <v>136</v>
      </c>
      <c r="E30" s="61"/>
    </row>
    <row r="31" spans="2:5" s="73" customFormat="1" x14ac:dyDescent="0.15">
      <c r="C31" s="76" t="s">
        <v>96</v>
      </c>
      <c r="D31" s="73">
        <v>0.33</v>
      </c>
      <c r="E31" s="76">
        <v>3</v>
      </c>
    </row>
    <row r="32" spans="2:5" s="73" customFormat="1" x14ac:dyDescent="0.15">
      <c r="C32" s="76" t="s">
        <v>97</v>
      </c>
      <c r="D32" s="73">
        <v>0.4</v>
      </c>
      <c r="E32" s="76">
        <v>3</v>
      </c>
    </row>
    <row r="33" spans="2:5" s="73" customFormat="1" x14ac:dyDescent="0.15">
      <c r="C33" s="76" t="s">
        <v>98</v>
      </c>
      <c r="D33" s="73">
        <v>0.47</v>
      </c>
      <c r="E33" s="76">
        <v>3</v>
      </c>
    </row>
    <row r="34" spans="2:5" s="122" customFormat="1" x14ac:dyDescent="0.15">
      <c r="C34" s="115"/>
      <c r="E34" s="115"/>
    </row>
    <row r="35" spans="2:5" s="122" customFormat="1" x14ac:dyDescent="0.15">
      <c r="B35" s="122" t="s">
        <v>225</v>
      </c>
      <c r="C35" s="115"/>
      <c r="E35" s="115"/>
    </row>
    <row r="36" spans="2:5" s="122" customFormat="1" x14ac:dyDescent="0.15">
      <c r="C36" s="115">
        <v>0.3</v>
      </c>
      <c r="D36" s="122">
        <v>3</v>
      </c>
      <c r="E36" s="115"/>
    </row>
    <row r="37" spans="2:5" x14ac:dyDescent="0.15">
      <c r="B37" s="69" t="s">
        <v>113</v>
      </c>
    </row>
    <row r="38" spans="2:5" x14ac:dyDescent="0.15">
      <c r="C38" s="69">
        <v>1.2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:E3"/>
    </sheetView>
  </sheetViews>
  <sheetFormatPr defaultRowHeight="13.5" x14ac:dyDescent="0.15"/>
  <sheetData>
    <row r="1" spans="1:6" ht="15" x14ac:dyDescent="0.15">
      <c r="A1" s="86" t="s">
        <v>107</v>
      </c>
      <c r="B1" s="86" t="s">
        <v>103</v>
      </c>
      <c r="C1" s="86" t="s">
        <v>104</v>
      </c>
      <c r="D1" s="86" t="s">
        <v>105</v>
      </c>
      <c r="E1" s="86" t="s">
        <v>106</v>
      </c>
    </row>
    <row r="2" spans="1:6" ht="16.5" x14ac:dyDescent="0.15">
      <c r="A2" s="87">
        <v>1</v>
      </c>
      <c r="B2" s="75">
        <v>0.8</v>
      </c>
      <c r="C2" s="75">
        <v>0.1</v>
      </c>
      <c r="D2" s="75">
        <v>0.05</v>
      </c>
      <c r="E2" s="75">
        <v>0.05</v>
      </c>
      <c r="F2" s="87" t="s">
        <v>181</v>
      </c>
    </row>
    <row r="3" spans="1:6" ht="16.5" x14ac:dyDescent="0.15">
      <c r="A3" s="87">
        <v>2</v>
      </c>
      <c r="B3" s="75">
        <v>0.1</v>
      </c>
      <c r="C3" s="75">
        <v>0.8</v>
      </c>
      <c r="D3" s="75">
        <v>0.05</v>
      </c>
      <c r="E3" s="75">
        <v>0.05</v>
      </c>
      <c r="F3" s="87" t="s">
        <v>181</v>
      </c>
    </row>
    <row r="4" spans="1:6" ht="16.5" x14ac:dyDescent="0.15">
      <c r="A4" s="87">
        <v>3</v>
      </c>
      <c r="B4" s="75">
        <v>0.1</v>
      </c>
      <c r="C4" s="75">
        <v>0.1</v>
      </c>
      <c r="D4" s="75">
        <v>0.75</v>
      </c>
      <c r="E4" s="75">
        <v>0.05</v>
      </c>
      <c r="F4" s="87" t="s">
        <v>182</v>
      </c>
    </row>
    <row r="5" spans="1:6" ht="16.5" x14ac:dyDescent="0.15">
      <c r="A5" s="87">
        <v>4</v>
      </c>
      <c r="B5" s="75">
        <v>0.3</v>
      </c>
      <c r="C5" s="75">
        <v>0.3</v>
      </c>
      <c r="D5" s="75">
        <v>0.1</v>
      </c>
      <c r="E5" s="75">
        <v>0.3</v>
      </c>
      <c r="F5" s="87" t="s">
        <v>180</v>
      </c>
    </row>
    <row r="6" spans="1:6" ht="16.5" x14ac:dyDescent="0.15">
      <c r="A6" s="87">
        <v>5</v>
      </c>
      <c r="B6" s="79">
        <v>0.3</v>
      </c>
      <c r="C6" s="79">
        <v>0.3</v>
      </c>
      <c r="D6" s="79">
        <v>0.3</v>
      </c>
      <c r="E6" s="79">
        <v>0.1</v>
      </c>
      <c r="F6" s="87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总体</vt:lpstr>
      <vt:lpstr>曼陀罗</vt:lpstr>
      <vt:lpstr>哈皮</vt:lpstr>
      <vt:lpstr>河童</vt:lpstr>
      <vt:lpstr>蛙鬼</vt:lpstr>
      <vt:lpstr>花魄</vt:lpstr>
      <vt:lpstr>阿穆特</vt:lpstr>
      <vt:lpstr>蜥蜴人</vt:lpstr>
      <vt:lpstr>潘神</vt:lpstr>
      <vt:lpstr>狼人</vt:lpstr>
      <vt:lpstr>络新妇</vt:lpstr>
      <vt:lpstr>安普莎</vt:lpstr>
      <vt:lpstr>凯瑞斯</vt:lpstr>
      <vt:lpstr>Momo</vt:lpstr>
      <vt:lpstr>龙宫童子</vt:lpstr>
      <vt:lpstr>Melody bulb</vt:lpstr>
      <vt:lpstr>技能系数</vt:lpstr>
      <vt:lpstr>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2015-08-10T02:21:27Z</dcterms:created>
  <dcterms:modified xsi:type="dcterms:W3CDTF">2015-08-12T10:17:15Z</dcterms:modified>
</cp:coreProperties>
</file>