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9" i="1" l="1"/>
  <c r="G294" i="1"/>
  <c r="D247" i="1"/>
  <c r="I283" i="1"/>
  <c r="J282" i="1"/>
  <c r="H283" i="1"/>
  <c r="G283" i="1"/>
  <c r="I280" i="1"/>
  <c r="J279" i="1"/>
  <c r="H280" i="1"/>
  <c r="G280" i="1"/>
  <c r="G279" i="1"/>
  <c r="E282" i="1"/>
  <c r="E279" i="1"/>
  <c r="E280" i="1"/>
  <c r="Q279" i="1"/>
  <c r="Q278" i="1"/>
  <c r="G282" i="1" s="1"/>
  <c r="Q277" i="1"/>
  <c r="H279" i="1" s="1"/>
  <c r="Q276" i="1"/>
  <c r="I279" i="1" s="1"/>
  <c r="J265" i="1"/>
  <c r="K264" i="1"/>
  <c r="I264" i="1"/>
  <c r="P262" i="1"/>
  <c r="P261" i="1"/>
  <c r="F262" i="1"/>
  <c r="O238" i="1"/>
  <c r="M238" i="1"/>
  <c r="O237" i="1"/>
  <c r="M237" i="1"/>
  <c r="O236" i="1"/>
  <c r="O234" i="1" s="1"/>
  <c r="M236" i="1"/>
  <c r="M235" i="1"/>
  <c r="O235" i="1"/>
  <c r="M234" i="1"/>
  <c r="E222" i="1"/>
  <c r="F247" i="1"/>
  <c r="F235" i="1"/>
  <c r="D245" i="1"/>
  <c r="F245" i="1"/>
  <c r="E234" i="1"/>
  <c r="G222" i="1"/>
  <c r="R206" i="1"/>
  <c r="R199" i="1"/>
  <c r="R189" i="1"/>
  <c r="G201" i="1"/>
  <c r="G192" i="1"/>
  <c r="G183" i="1"/>
  <c r="P179" i="1"/>
  <c r="N177" i="1"/>
  <c r="L174" i="1"/>
  <c r="N174" i="1" s="1"/>
  <c r="L175" i="1"/>
  <c r="N175" i="1" s="1"/>
  <c r="L176" i="1"/>
  <c r="N176" i="1" s="1"/>
  <c r="G174" i="1"/>
  <c r="D234" i="1"/>
  <c r="G143" i="1"/>
  <c r="F143" i="1"/>
  <c r="E143" i="1"/>
  <c r="F160" i="1"/>
  <c r="I161" i="1" s="1"/>
  <c r="E163" i="1" s="1"/>
  <c r="E160" i="1"/>
  <c r="E167" i="1" s="1"/>
  <c r="E117" i="1"/>
  <c r="E108" i="1"/>
  <c r="E96" i="1"/>
  <c r="E127" i="1" s="1"/>
  <c r="E95" i="1"/>
  <c r="E110" i="1"/>
  <c r="F87" i="1"/>
  <c r="H130" i="1" s="1"/>
  <c r="G103" i="1"/>
  <c r="G101" i="1"/>
  <c r="G290" i="1" l="1"/>
  <c r="I282" i="1"/>
  <c r="G292" i="1"/>
  <c r="H282" i="1"/>
  <c r="G277" i="1"/>
  <c r="N287" i="1" s="1"/>
  <c r="D207" i="1"/>
  <c r="D198" i="1"/>
  <c r="F241" i="1"/>
  <c r="D189" i="1"/>
  <c r="F239" i="1"/>
  <c r="D180" i="1"/>
  <c r="F237" i="1"/>
  <c r="E165" i="1"/>
  <c r="I165" i="1" s="1"/>
  <c r="I167" i="1" s="1"/>
  <c r="E156" i="1" s="1"/>
  <c r="D143" i="1" s="1"/>
  <c r="H120" i="1"/>
  <c r="F243" i="1"/>
  <c r="D287" i="1" l="1"/>
  <c r="I287" i="1"/>
  <c r="E87" i="1" l="1"/>
  <c r="E113" i="1" l="1"/>
  <c r="H113" i="1" s="1"/>
  <c r="D70" i="1" s="1"/>
  <c r="E133" i="1"/>
  <c r="H133" i="1" s="1"/>
  <c r="D71" i="1" s="1"/>
  <c r="D69" i="1" s="1"/>
  <c r="E123" i="1"/>
  <c r="H123" i="1" s="1"/>
  <c r="F59" i="1" l="1"/>
  <c r="E59" i="1"/>
  <c r="D59" i="1"/>
  <c r="F50" i="1"/>
  <c r="E50" i="1"/>
  <c r="D50" i="1"/>
  <c r="E41" i="1"/>
  <c r="E32" i="1"/>
  <c r="E23" i="1"/>
  <c r="E13" i="1"/>
  <c r="F41" i="1"/>
  <c r="D41" i="1"/>
  <c r="F32" i="1"/>
  <c r="D32" i="1"/>
  <c r="F23" i="1"/>
  <c r="D23" i="1"/>
  <c r="F13" i="1"/>
  <c r="D13" i="1"/>
</calcChain>
</file>

<file path=xl/sharedStrings.xml><?xml version="1.0" encoding="utf-8"?>
<sst xmlns="http://schemas.openxmlformats.org/spreadsheetml/2006/main" count="490" uniqueCount="182">
  <si>
    <t>Boss</t>
    <phoneticPr fontId="2" type="noConversion"/>
  </si>
  <si>
    <t>蜥蜴人</t>
    <phoneticPr fontId="2" type="noConversion"/>
  </si>
  <si>
    <t>小boss不作为玩家的卡点只是作为一个难打点的小怪设计（将boss局看做3只小怪的一个整体的价值）血量*4，攻击力*1.5</t>
    <phoneticPr fontId="2" type="noConversion"/>
  </si>
  <si>
    <t>均衡S</t>
  </si>
  <si>
    <t>生命</t>
  </si>
  <si>
    <t>智力/力量</t>
  </si>
  <si>
    <t>防御力</t>
  </si>
  <si>
    <t>速度</t>
  </si>
  <si>
    <t>受伤比</t>
  </si>
  <si>
    <t>智力</t>
    <phoneticPr fontId="2" type="noConversion"/>
  </si>
  <si>
    <t>技能等级</t>
    <phoneticPr fontId="2" type="noConversion"/>
  </si>
  <si>
    <t>AI</t>
    <phoneticPr fontId="2" type="noConversion"/>
  </si>
  <si>
    <t>物理占比</t>
  </si>
  <si>
    <t>法术占比</t>
  </si>
  <si>
    <t>buff占比</t>
  </si>
  <si>
    <t xml:space="preserve">防御占比 </t>
  </si>
  <si>
    <t>大招释放间隔</t>
    <phoneticPr fontId="2" type="noConversion"/>
  </si>
  <si>
    <t>力量</t>
    <phoneticPr fontId="2" type="noConversion"/>
  </si>
  <si>
    <t>Melody bulb</t>
    <phoneticPr fontId="2" type="noConversion"/>
  </si>
  <si>
    <t>作为小怪的属性</t>
    <phoneticPr fontId="2" type="noConversion"/>
  </si>
  <si>
    <t>体力</t>
    <phoneticPr fontId="2" type="noConversion"/>
  </si>
  <si>
    <t>力量</t>
    <phoneticPr fontId="2" type="noConversion"/>
  </si>
  <si>
    <t>智力</t>
    <phoneticPr fontId="2" type="noConversion"/>
  </si>
  <si>
    <t>战后回血</t>
    <phoneticPr fontId="2" type="noConversion"/>
  </si>
  <si>
    <t>任意</t>
    <phoneticPr fontId="2" type="noConversion"/>
  </si>
  <si>
    <t>小boss属性</t>
    <phoneticPr fontId="2" type="noConversion"/>
  </si>
  <si>
    <t>血量倍数</t>
    <phoneticPr fontId="2" type="noConversion"/>
  </si>
  <si>
    <t>攻击力倍数</t>
    <phoneticPr fontId="2" type="noConversion"/>
  </si>
  <si>
    <t>体力</t>
    <phoneticPr fontId="2" type="noConversion"/>
  </si>
  <si>
    <t>战后回血</t>
    <phoneticPr fontId="2" type="noConversion"/>
  </si>
  <si>
    <t>即考虑3只小怪的总体价值，在拆分为单个怪物具体属性的增长，由于副本调整系数为共用则此处不考虑副本系数</t>
    <phoneticPr fontId="2" type="noConversion"/>
  </si>
  <si>
    <t>曼陀罗</t>
  </si>
  <si>
    <t>安普莎</t>
  </si>
  <si>
    <t>15级</t>
    <phoneticPr fontId="2" type="noConversion"/>
  </si>
  <si>
    <t>40级</t>
    <phoneticPr fontId="2" type="noConversion"/>
  </si>
  <si>
    <t>体力</t>
    <phoneticPr fontId="2" type="noConversion"/>
  </si>
  <si>
    <t>力量</t>
    <phoneticPr fontId="2" type="noConversion"/>
  </si>
  <si>
    <t>智力</t>
    <phoneticPr fontId="2" type="noConversion"/>
  </si>
  <si>
    <t>战后回血</t>
    <phoneticPr fontId="2" type="noConversion"/>
  </si>
  <si>
    <t>龙宫童子</t>
  </si>
  <si>
    <t>络新妇</t>
  </si>
  <si>
    <t>中boss</t>
    <phoneticPr fontId="2" type="noConversion"/>
  </si>
  <si>
    <t>AI</t>
    <phoneticPr fontId="2" type="noConversion"/>
  </si>
  <si>
    <t>通过技能与弱点血量来加强boss属性</t>
    <phoneticPr fontId="2" type="noConversion"/>
  </si>
  <si>
    <t>血量T</t>
  </si>
  <si>
    <t>攻击D</t>
  </si>
  <si>
    <t>需要考虑弱点hp与bosshp的关系，并且考虑弱点变化对bossdps的影响而带来整体boss战力的变化</t>
    <phoneticPr fontId="2" type="noConversion"/>
  </si>
  <si>
    <t>注意：副本调整系数会影响boss数值</t>
    <phoneticPr fontId="2" type="noConversion"/>
  </si>
  <si>
    <t>boss6个爪子血量</t>
    <phoneticPr fontId="2" type="noConversion"/>
  </si>
  <si>
    <t>物理攻击</t>
    <phoneticPr fontId="2" type="noConversion"/>
  </si>
  <si>
    <t>物理攻击1</t>
    <phoneticPr fontId="2" type="noConversion"/>
  </si>
  <si>
    <t>物理攻击2</t>
    <phoneticPr fontId="2" type="noConversion"/>
  </si>
  <si>
    <t>物理攻击3</t>
    <phoneticPr fontId="2" type="noConversion"/>
  </si>
  <si>
    <t>攻击系数</t>
    <phoneticPr fontId="2" type="noConversion"/>
  </si>
  <si>
    <t>技能提升</t>
    <phoneticPr fontId="2" type="noConversion"/>
  </si>
  <si>
    <t>dot</t>
    <phoneticPr fontId="2" type="noConversion"/>
  </si>
  <si>
    <t>H</t>
    <phoneticPr fontId="2" type="noConversion"/>
  </si>
  <si>
    <t>几率</t>
    <phoneticPr fontId="2" type="noConversion"/>
  </si>
  <si>
    <t>持续</t>
    <phoneticPr fontId="2" type="noConversion"/>
  </si>
  <si>
    <t>技能系数</t>
    <phoneticPr fontId="2" type="noConversion"/>
  </si>
  <si>
    <t>眩晕</t>
    <phoneticPr fontId="2" type="noConversion"/>
  </si>
  <si>
    <t>几率</t>
    <phoneticPr fontId="2" type="noConversion"/>
  </si>
  <si>
    <t>持续</t>
    <phoneticPr fontId="2" type="noConversion"/>
  </si>
  <si>
    <t>技能系数</t>
    <phoneticPr fontId="2" type="noConversion"/>
  </si>
  <si>
    <t>攻击次数</t>
    <phoneticPr fontId="2" type="noConversion"/>
  </si>
  <si>
    <t>单次伤害</t>
    <phoneticPr fontId="2" type="noConversion"/>
  </si>
  <si>
    <t>dot</t>
    <phoneticPr fontId="2" type="noConversion"/>
  </si>
  <si>
    <t>法术攻击（回血）</t>
    <phoneticPr fontId="2" type="noConversion"/>
  </si>
  <si>
    <t>dps变化</t>
    <phoneticPr fontId="2" type="noConversion"/>
  </si>
  <si>
    <t>弱点血量（2个）</t>
    <phoneticPr fontId="2" type="noConversion"/>
  </si>
  <si>
    <t>boss最少血量</t>
    <phoneticPr fontId="2" type="noConversion"/>
  </si>
  <si>
    <t>bossdps</t>
    <phoneticPr fontId="2" type="noConversion"/>
  </si>
  <si>
    <t>boss回血</t>
    <phoneticPr fontId="2" type="noConversion"/>
  </si>
  <si>
    <t>消耗玩家战力</t>
    <phoneticPr fontId="2" type="noConversion"/>
  </si>
  <si>
    <t>攻击次数</t>
    <phoneticPr fontId="2" type="noConversion"/>
  </si>
  <si>
    <t>玩家剩余攻击次数</t>
    <phoneticPr fontId="2" type="noConversion"/>
  </si>
  <si>
    <t>打掉2弱点</t>
    <phoneticPr fontId="2" type="noConversion"/>
  </si>
  <si>
    <t>打掉4弱点</t>
    <phoneticPr fontId="2" type="noConversion"/>
  </si>
  <si>
    <t>弱点血量（4个）</t>
    <phoneticPr fontId="2" type="noConversion"/>
  </si>
  <si>
    <t>boss最大血量</t>
    <phoneticPr fontId="2" type="noConversion"/>
  </si>
  <si>
    <t>boss最少血量</t>
    <phoneticPr fontId="2" type="noConversion"/>
  </si>
  <si>
    <t>中boss属性</t>
    <phoneticPr fontId="2" type="noConversion"/>
  </si>
  <si>
    <t>区间</t>
    <phoneticPr fontId="2" type="noConversion"/>
  </si>
  <si>
    <t>阿穆特</t>
    <phoneticPr fontId="2" type="noConversion"/>
  </si>
  <si>
    <t>40级</t>
    <phoneticPr fontId="2" type="noConversion"/>
  </si>
  <si>
    <t>体力</t>
    <phoneticPr fontId="2" type="noConversion"/>
  </si>
  <si>
    <t>力量</t>
    <phoneticPr fontId="2" type="noConversion"/>
  </si>
  <si>
    <t>智力</t>
    <phoneticPr fontId="2" type="noConversion"/>
  </si>
  <si>
    <t>战后回血</t>
    <phoneticPr fontId="2" type="noConversion"/>
  </si>
  <si>
    <t>（由于是按照玩家总战力计算，导致玩家死亡3只怪以上情况削减未考虑）</t>
    <phoneticPr fontId="2" type="noConversion"/>
  </si>
  <si>
    <t>攻击力</t>
    <phoneticPr fontId="2" type="noConversion"/>
  </si>
  <si>
    <t>懒惰（表示10回合懒惰次数）</t>
    <phoneticPr fontId="2" type="noConversion"/>
  </si>
  <si>
    <t>懒惰（表示10回合懒惰次数）</t>
    <phoneticPr fontId="2" type="noConversion"/>
  </si>
  <si>
    <t>大招释放间隔</t>
    <phoneticPr fontId="2" type="noConversion"/>
  </si>
  <si>
    <t>玩家总战斗力</t>
    <phoneticPr fontId="2" type="noConversion"/>
  </si>
  <si>
    <t>面具弱点血量</t>
    <phoneticPr fontId="2" type="noConversion"/>
  </si>
  <si>
    <t>A</t>
    <phoneticPr fontId="2" type="noConversion"/>
  </si>
  <si>
    <t>boss体力提升倍数</t>
    <phoneticPr fontId="2" type="noConversion"/>
  </si>
  <si>
    <t>boss攻击提升倍数</t>
    <phoneticPr fontId="2" type="noConversion"/>
  </si>
  <si>
    <t>弱点系数</t>
    <phoneticPr fontId="2" type="noConversion"/>
  </si>
  <si>
    <t>消耗玩家血量</t>
    <phoneticPr fontId="2" type="noConversion"/>
  </si>
  <si>
    <t>玩家剩余血量</t>
    <phoneticPr fontId="2" type="noConversion"/>
  </si>
  <si>
    <t>玩家剩余回合数</t>
    <phoneticPr fontId="2" type="noConversion"/>
  </si>
  <si>
    <t>boss最大血量</t>
    <phoneticPr fontId="2" type="noConversion"/>
  </si>
  <si>
    <t>弱点系数</t>
    <phoneticPr fontId="2" type="noConversion"/>
  </si>
  <si>
    <t>阿穆特小怪属性</t>
    <phoneticPr fontId="2" type="noConversion"/>
  </si>
  <si>
    <t>阿穆实际属性</t>
    <phoneticPr fontId="2" type="noConversion"/>
  </si>
  <si>
    <t>随意</t>
    <phoneticPr fontId="2" type="noConversion"/>
  </si>
  <si>
    <t>最小血量</t>
    <phoneticPr fontId="2" type="noConversion"/>
  </si>
  <si>
    <t>boss血量</t>
    <phoneticPr fontId="2" type="noConversion"/>
  </si>
  <si>
    <t>大boss</t>
    <phoneticPr fontId="2" type="noConversion"/>
  </si>
  <si>
    <t>美杜莎</t>
  </si>
  <si>
    <t>美杜莎4个头时攻击技能链</t>
    <phoneticPr fontId="2" type="noConversion"/>
  </si>
  <si>
    <t>压制计数器</t>
  </si>
  <si>
    <t>石化攻击</t>
    <phoneticPr fontId="2" type="noConversion"/>
  </si>
  <si>
    <t>小概率</t>
    <phoneticPr fontId="2" type="noConversion"/>
  </si>
  <si>
    <t>大概率</t>
    <phoneticPr fontId="2" type="noConversion"/>
  </si>
  <si>
    <t>群蛇乱舞4</t>
    <phoneticPr fontId="2" type="noConversion"/>
  </si>
  <si>
    <t>群蛇乱舞3</t>
    <phoneticPr fontId="2" type="noConversion"/>
  </si>
  <si>
    <t>群蛇乱舞2</t>
  </si>
  <si>
    <t>群蛇乱舞1</t>
  </si>
  <si>
    <t>技能价值</t>
    <phoneticPr fontId="2" type="noConversion"/>
  </si>
  <si>
    <t>buff覆盖率</t>
    <phoneticPr fontId="2" type="noConversion"/>
  </si>
  <si>
    <t>拍打攻击</t>
    <phoneticPr fontId="2" type="noConversion"/>
  </si>
  <si>
    <t>伤害系数</t>
    <phoneticPr fontId="2" type="noConversion"/>
  </si>
  <si>
    <t>攻击人数</t>
    <phoneticPr fontId="2" type="noConversion"/>
  </si>
  <si>
    <t>眩晕几率</t>
    <phoneticPr fontId="2" type="noConversion"/>
  </si>
  <si>
    <t>眩晕价值</t>
    <phoneticPr fontId="2" type="noConversion"/>
  </si>
  <si>
    <t>压制（两蛇）</t>
    <phoneticPr fontId="2" type="noConversion"/>
  </si>
  <si>
    <t>美杜莎3个头时攻击技能链</t>
    <phoneticPr fontId="2" type="noConversion"/>
  </si>
  <si>
    <t>群蛇乱舞3</t>
    <phoneticPr fontId="2" type="noConversion"/>
  </si>
  <si>
    <t>群蛇乱舞3</t>
    <phoneticPr fontId="2" type="noConversion"/>
  </si>
  <si>
    <t>压制（任意蛇）</t>
    <phoneticPr fontId="2" type="noConversion"/>
  </si>
  <si>
    <t>美杜莎2个头时攻击技能链</t>
    <phoneticPr fontId="2" type="noConversion"/>
  </si>
  <si>
    <t>群蛇乱舞2</t>
    <phoneticPr fontId="2" type="noConversion"/>
  </si>
  <si>
    <t>群蛇乱舞2</t>
    <phoneticPr fontId="2" type="noConversion"/>
  </si>
  <si>
    <t>美杜莎1个头时攻击技能链</t>
    <phoneticPr fontId="2" type="noConversion"/>
  </si>
  <si>
    <t>美杜莎0个头时攻击技能链</t>
    <phoneticPr fontId="2" type="noConversion"/>
  </si>
  <si>
    <t>相当于减少玩家怪物10%攻击力</t>
    <phoneticPr fontId="2" type="noConversion"/>
  </si>
  <si>
    <t>群蛇乱舞1</t>
    <phoneticPr fontId="2" type="noConversion"/>
  </si>
  <si>
    <t>群蛇乱舞1</t>
    <phoneticPr fontId="2" type="noConversion"/>
  </si>
  <si>
    <t>群蛇乱舞1</t>
    <phoneticPr fontId="2" type="noConversion"/>
  </si>
  <si>
    <t>本体弱点状态1</t>
    <phoneticPr fontId="2" type="noConversion"/>
  </si>
  <si>
    <t>本体弱点状态2</t>
    <phoneticPr fontId="2" type="noConversion"/>
  </si>
  <si>
    <t>蛇头弱点</t>
    <phoneticPr fontId="2" type="noConversion"/>
  </si>
  <si>
    <t>力量</t>
    <phoneticPr fontId="2" type="noConversion"/>
  </si>
  <si>
    <t>体力</t>
    <phoneticPr fontId="2" type="noConversion"/>
  </si>
  <si>
    <t>蛇头血量</t>
    <phoneticPr fontId="2" type="noConversion"/>
  </si>
  <si>
    <t>玩家怪物血量消耗</t>
    <phoneticPr fontId="2" type="noConversion"/>
  </si>
  <si>
    <t>boss技能</t>
    <phoneticPr fontId="2" type="noConversion"/>
  </si>
  <si>
    <t>弄死第二头</t>
    <phoneticPr fontId="2" type="noConversion"/>
  </si>
  <si>
    <t>弄死第一头</t>
    <phoneticPr fontId="2" type="noConversion"/>
  </si>
  <si>
    <t>弄死第三头</t>
    <phoneticPr fontId="2" type="noConversion"/>
  </si>
  <si>
    <t>压制（任意蛇）</t>
    <phoneticPr fontId="2" type="noConversion"/>
  </si>
  <si>
    <t>玩家死了一只dps</t>
    <phoneticPr fontId="2" type="noConversion"/>
  </si>
  <si>
    <t>弄死第四头</t>
    <phoneticPr fontId="2" type="noConversion"/>
  </si>
  <si>
    <t>群蛇乱舞1</t>
    <phoneticPr fontId="2" type="noConversion"/>
  </si>
  <si>
    <t>群蛇乱舞1</t>
    <phoneticPr fontId="2" type="noConversion"/>
  </si>
  <si>
    <t>玩家死了一只support</t>
    <phoneticPr fontId="2" type="noConversion"/>
  </si>
  <si>
    <t>蛇本体费血</t>
    <phoneticPr fontId="2" type="noConversion"/>
  </si>
  <si>
    <t>只剩下一个s,从而失败</t>
    <phoneticPr fontId="2" type="noConversion"/>
  </si>
  <si>
    <t>卡戎</t>
    <phoneticPr fontId="2" type="noConversion"/>
  </si>
  <si>
    <t>小女孩</t>
    <phoneticPr fontId="2" type="noConversion"/>
  </si>
  <si>
    <t>卡戎</t>
  </si>
  <si>
    <t>暗影爪</t>
    <phoneticPr fontId="2" type="noConversion"/>
  </si>
  <si>
    <t>暗影波</t>
    <phoneticPr fontId="2" type="noConversion"/>
  </si>
  <si>
    <t>技能价值</t>
    <phoneticPr fontId="2" type="noConversion"/>
  </si>
  <si>
    <t>水晶球血量</t>
    <phoneticPr fontId="2" type="noConversion"/>
  </si>
  <si>
    <t>概率</t>
    <phoneticPr fontId="2" type="noConversion"/>
  </si>
  <si>
    <t>boss血量百分比</t>
    <phoneticPr fontId="2" type="noConversion"/>
  </si>
  <si>
    <t>变身前允许改变玩家怪物血量</t>
    <phoneticPr fontId="2" type="noConversion"/>
  </si>
  <si>
    <t>暗影强袭</t>
    <phoneticPr fontId="2" type="noConversion"/>
  </si>
  <si>
    <t>精神控制</t>
    <phoneticPr fontId="2" type="noConversion"/>
  </si>
  <si>
    <t>横扫</t>
  </si>
  <si>
    <t>暗影攻击</t>
  </si>
  <si>
    <t>眩晕</t>
    <phoneticPr fontId="2" type="noConversion"/>
  </si>
  <si>
    <t>弱点受伤比</t>
    <phoneticPr fontId="2" type="noConversion"/>
  </si>
  <si>
    <t>左爪血量</t>
    <phoneticPr fontId="2" type="noConversion"/>
  </si>
  <si>
    <t>右爪血量</t>
    <phoneticPr fontId="2" type="noConversion"/>
  </si>
  <si>
    <t>D死了一只</t>
    <phoneticPr fontId="2" type="noConversion"/>
  </si>
  <si>
    <t>s死掉了</t>
    <phoneticPr fontId="2" type="noConversion"/>
  </si>
  <si>
    <t>d死掉了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</si>
</sst>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C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>
      <alignment vertical="center"/>
    </xf>
    <xf numFmtId="0" fontId="6" fillId="3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3" fillId="6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6" fillId="0" borderId="0" xfId="1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4" xfId="0" applyFont="1" applyBorder="1">
      <alignment vertical="center"/>
    </xf>
    <xf numFmtId="0" fontId="3" fillId="4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Border="1" applyAlignment="1">
      <alignment vertical="center"/>
    </xf>
    <xf numFmtId="0" fontId="3" fillId="7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7" borderId="0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6" fillId="0" borderId="4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11">
    <cellStyle name="差 2" xfId="2"/>
    <cellStyle name="常规" xfId="0" builtinId="0"/>
    <cellStyle name="常规 2" xfId="1"/>
    <cellStyle name="常规 2 18" xfId="5"/>
    <cellStyle name="常规 2 3" xfId="10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8"/>
  <sheetViews>
    <sheetView tabSelected="1" topLeftCell="A264" workbookViewId="0">
      <selection activeCell="G266" sqref="G266"/>
    </sheetView>
  </sheetViews>
  <sheetFormatPr defaultRowHeight="16.5" x14ac:dyDescent="0.15"/>
  <cols>
    <col min="1" max="3" width="9" style="1"/>
    <col min="4" max="4" width="14.625" style="1" customWidth="1"/>
    <col min="5" max="5" width="9" style="1"/>
    <col min="6" max="6" width="11.25" style="1" bestFit="1" customWidth="1"/>
    <col min="7" max="8" width="9" style="1"/>
    <col min="9" max="9" width="15.875" style="1" bestFit="1" customWidth="1"/>
    <col min="10" max="16384" width="9" style="1"/>
  </cols>
  <sheetData>
    <row r="1" spans="1:16" x14ac:dyDescent="0.15">
      <c r="A1" s="1" t="s">
        <v>0</v>
      </c>
    </row>
    <row r="2" spans="1:16" x14ac:dyDescent="0.15">
      <c r="B2" s="1" t="s">
        <v>2</v>
      </c>
    </row>
    <row r="3" spans="1:16" x14ac:dyDescent="0.15">
      <c r="C3" s="1" t="s">
        <v>30</v>
      </c>
    </row>
    <row r="5" spans="1:16" x14ac:dyDescent="0.15">
      <c r="C5" s="1" t="s">
        <v>26</v>
      </c>
      <c r="D5" s="1">
        <v>4</v>
      </c>
      <c r="F5" s="1" t="s">
        <v>27</v>
      </c>
      <c r="G5" s="1">
        <v>1.5</v>
      </c>
      <c r="I5" s="6"/>
      <c r="J5" s="6"/>
      <c r="K5" s="6"/>
      <c r="L5" s="6"/>
      <c r="M5" s="6"/>
      <c r="N5" s="7"/>
      <c r="O5" s="6"/>
      <c r="P5" s="7"/>
    </row>
    <row r="6" spans="1:16" x14ac:dyDescent="0.15">
      <c r="A6" s="1" t="s">
        <v>33</v>
      </c>
      <c r="B6" s="1" t="s">
        <v>18</v>
      </c>
      <c r="I6" s="6"/>
      <c r="J6" s="6"/>
      <c r="K6" s="6"/>
      <c r="L6" s="7"/>
      <c r="M6" s="6"/>
      <c r="N6" s="6"/>
      <c r="O6" s="6"/>
      <c r="P6" s="7"/>
    </row>
    <row r="7" spans="1:16" x14ac:dyDescent="0.15">
      <c r="C7" s="1" t="s">
        <v>19</v>
      </c>
      <c r="I7" s="6"/>
      <c r="J7" s="6"/>
      <c r="K7" s="7"/>
      <c r="L7" s="6"/>
      <c r="M7" s="6"/>
      <c r="N7" s="6"/>
      <c r="O7" s="6"/>
      <c r="P7" s="6"/>
    </row>
    <row r="8" spans="1:16" x14ac:dyDescent="0.15">
      <c r="D8" s="19" t="s">
        <v>20</v>
      </c>
      <c r="E8" s="19" t="s">
        <v>21</v>
      </c>
      <c r="F8" s="19" t="s">
        <v>22</v>
      </c>
      <c r="G8" s="19" t="s">
        <v>7</v>
      </c>
      <c r="H8" s="19" t="s">
        <v>6</v>
      </c>
      <c r="I8" s="20" t="s">
        <v>23</v>
      </c>
      <c r="J8" s="6"/>
      <c r="K8" s="6"/>
      <c r="L8" s="6"/>
      <c r="M8" s="6"/>
      <c r="N8" s="6"/>
      <c r="O8" s="6"/>
      <c r="P8" s="6"/>
    </row>
    <row r="9" spans="1:16" x14ac:dyDescent="0.15">
      <c r="D9" s="21">
        <v>579</v>
      </c>
      <c r="E9" s="21">
        <v>74</v>
      </c>
      <c r="F9" s="21">
        <v>49</v>
      </c>
      <c r="G9" s="21">
        <v>82</v>
      </c>
      <c r="H9" s="21">
        <v>65</v>
      </c>
      <c r="I9" s="22" t="s">
        <v>24</v>
      </c>
      <c r="J9" s="6"/>
      <c r="K9" s="6"/>
      <c r="L9" s="6"/>
      <c r="M9" s="6"/>
      <c r="N9" s="6"/>
      <c r="O9" s="6"/>
      <c r="P9" s="6"/>
    </row>
    <row r="10" spans="1:16" x14ac:dyDescent="0.15">
      <c r="I10" s="6"/>
      <c r="J10" s="6"/>
      <c r="K10" s="6"/>
      <c r="L10" s="6"/>
      <c r="M10" s="6"/>
      <c r="N10" s="6"/>
      <c r="O10" s="6"/>
      <c r="P10" s="6"/>
    </row>
    <row r="11" spans="1:16" x14ac:dyDescent="0.15">
      <c r="C11" s="1" t="s">
        <v>25</v>
      </c>
      <c r="I11" s="6"/>
      <c r="J11" s="6"/>
      <c r="K11" s="6"/>
      <c r="L11" s="6"/>
      <c r="M11" s="6"/>
      <c r="N11" s="6"/>
      <c r="O11" s="6"/>
      <c r="P11" s="6"/>
    </row>
    <row r="12" spans="1:16" x14ac:dyDescent="0.15">
      <c r="D12" s="19" t="s">
        <v>20</v>
      </c>
      <c r="E12" s="19" t="s">
        <v>21</v>
      </c>
      <c r="F12" s="19" t="s">
        <v>22</v>
      </c>
      <c r="G12" s="19" t="s">
        <v>7</v>
      </c>
      <c r="H12" s="19" t="s">
        <v>6</v>
      </c>
      <c r="I12" s="20" t="s">
        <v>23</v>
      </c>
      <c r="J12" s="6"/>
      <c r="K12" s="6"/>
      <c r="L12" s="6"/>
      <c r="M12" s="6"/>
      <c r="N12" s="6"/>
      <c r="O12" s="6"/>
      <c r="P12" s="6"/>
    </row>
    <row r="13" spans="1:16" x14ac:dyDescent="0.15">
      <c r="D13" s="21">
        <f>D9*$D$5</f>
        <v>2316</v>
      </c>
      <c r="E13" s="21">
        <f>ROUNDDOWN(E9*$G$5,0)</f>
        <v>111</v>
      </c>
      <c r="F13" s="21">
        <f>ROUNDDOWN(F9*$G$5,0)</f>
        <v>73</v>
      </c>
      <c r="G13" s="21">
        <v>82</v>
      </c>
      <c r="H13" s="21">
        <v>65</v>
      </c>
      <c r="I13" s="22" t="s">
        <v>24</v>
      </c>
      <c r="J13" s="6"/>
      <c r="K13" s="13"/>
      <c r="L13" s="13"/>
      <c r="M13" s="13"/>
      <c r="N13" s="13"/>
      <c r="O13" s="14"/>
      <c r="P13" s="6"/>
    </row>
    <row r="14" spans="1:16" x14ac:dyDescent="0.15">
      <c r="I14" s="6"/>
      <c r="J14" s="6"/>
      <c r="K14" s="15"/>
      <c r="L14" s="15"/>
      <c r="M14" s="15"/>
      <c r="N14" s="15"/>
      <c r="O14" s="15"/>
      <c r="P14" s="15"/>
    </row>
    <row r="15" spans="1:16" x14ac:dyDescent="0.15">
      <c r="I15" s="6"/>
      <c r="J15" s="6"/>
      <c r="K15" s="7"/>
      <c r="L15" s="7"/>
      <c r="M15" s="7"/>
      <c r="N15" s="7"/>
      <c r="O15" s="7"/>
      <c r="P15" s="16"/>
    </row>
    <row r="16" spans="1:16" x14ac:dyDescent="0.15">
      <c r="B16" s="1" t="s">
        <v>1</v>
      </c>
      <c r="I16" s="6"/>
      <c r="J16" s="6"/>
      <c r="K16" s="6"/>
      <c r="L16" s="6"/>
      <c r="M16" s="6"/>
      <c r="N16" s="6"/>
      <c r="O16" s="6"/>
      <c r="P16" s="6"/>
    </row>
    <row r="17" spans="2:16" x14ac:dyDescent="0.15">
      <c r="C17" s="1" t="s">
        <v>19</v>
      </c>
      <c r="I17" s="6"/>
      <c r="J17" s="6"/>
      <c r="K17" s="6"/>
      <c r="L17" s="6"/>
      <c r="M17" s="6"/>
      <c r="N17" s="6"/>
      <c r="O17" s="6"/>
      <c r="P17" s="6"/>
    </row>
    <row r="18" spans="2:16" x14ac:dyDescent="0.15">
      <c r="D18" s="19" t="s">
        <v>28</v>
      </c>
      <c r="E18" s="19" t="s">
        <v>17</v>
      </c>
      <c r="F18" s="19" t="s">
        <v>9</v>
      </c>
      <c r="G18" s="19" t="s">
        <v>7</v>
      </c>
      <c r="H18" s="19" t="s">
        <v>6</v>
      </c>
      <c r="I18" s="20" t="s">
        <v>29</v>
      </c>
      <c r="J18" s="6"/>
      <c r="K18" s="6"/>
      <c r="L18" s="6"/>
      <c r="M18" s="6"/>
      <c r="N18" s="6"/>
      <c r="O18" s="6"/>
      <c r="P18" s="6"/>
    </row>
    <row r="19" spans="2:16" x14ac:dyDescent="0.15">
      <c r="D19" s="21">
        <v>601</v>
      </c>
      <c r="E19" s="21">
        <v>78</v>
      </c>
      <c r="F19" s="21">
        <v>60</v>
      </c>
      <c r="G19" s="21">
        <v>71</v>
      </c>
      <c r="H19" s="21">
        <v>101</v>
      </c>
      <c r="I19" s="22" t="s">
        <v>24</v>
      </c>
      <c r="J19" s="6"/>
      <c r="K19" s="6"/>
      <c r="L19" s="6"/>
      <c r="M19" s="6"/>
      <c r="N19" s="6"/>
      <c r="O19" s="6"/>
      <c r="P19" s="6"/>
    </row>
    <row r="20" spans="2:16" x14ac:dyDescent="0.15">
      <c r="I20" s="6"/>
      <c r="J20" s="6"/>
      <c r="K20" s="6"/>
      <c r="L20" s="6"/>
      <c r="M20" s="7"/>
      <c r="N20" s="6"/>
      <c r="O20" s="6"/>
      <c r="P20" s="6"/>
    </row>
    <row r="21" spans="2:16" x14ac:dyDescent="0.15">
      <c r="C21" s="1" t="s">
        <v>25</v>
      </c>
      <c r="I21" s="6"/>
      <c r="J21" s="6"/>
      <c r="K21" s="6"/>
      <c r="L21" s="6"/>
      <c r="M21" s="6"/>
      <c r="N21" s="6"/>
      <c r="O21" s="6"/>
      <c r="P21" s="6"/>
    </row>
    <row r="22" spans="2:16" x14ac:dyDescent="0.15">
      <c r="D22" s="19" t="s">
        <v>20</v>
      </c>
      <c r="E22" s="19" t="s">
        <v>21</v>
      </c>
      <c r="F22" s="19" t="s">
        <v>22</v>
      </c>
      <c r="G22" s="19" t="s">
        <v>7</v>
      </c>
      <c r="H22" s="19" t="s">
        <v>6</v>
      </c>
      <c r="I22" s="20" t="s">
        <v>23</v>
      </c>
      <c r="J22" s="6"/>
      <c r="K22" s="6"/>
      <c r="L22" s="6"/>
      <c r="M22" s="6"/>
      <c r="N22" s="6"/>
      <c r="O22" s="6"/>
      <c r="P22" s="6"/>
    </row>
    <row r="23" spans="2:16" x14ac:dyDescent="0.15">
      <c r="D23" s="21">
        <f>D19*$D$5</f>
        <v>2404</v>
      </c>
      <c r="E23" s="21">
        <f>ROUNDDOWN(E19*$G$5,0)</f>
        <v>117</v>
      </c>
      <c r="F23" s="21">
        <f>ROUNDDOWN(F19*$G$5,0)</f>
        <v>90</v>
      </c>
      <c r="G23" s="21">
        <v>71</v>
      </c>
      <c r="H23" s="21">
        <v>101</v>
      </c>
      <c r="I23" s="22" t="s">
        <v>24</v>
      </c>
      <c r="J23" s="6"/>
      <c r="K23" s="6"/>
      <c r="L23" s="6"/>
      <c r="M23" s="6"/>
      <c r="N23" s="6"/>
      <c r="O23" s="6"/>
      <c r="P23" s="6"/>
    </row>
    <row r="24" spans="2:16" x14ac:dyDescent="0.15">
      <c r="I24" s="6"/>
      <c r="J24" s="6"/>
      <c r="K24" s="6"/>
      <c r="L24" s="6"/>
      <c r="M24" s="6"/>
      <c r="N24" s="6"/>
      <c r="O24" s="6"/>
      <c r="P24" s="6"/>
    </row>
    <row r="25" spans="2:16" x14ac:dyDescent="0.15">
      <c r="B25" s="25" t="s">
        <v>31</v>
      </c>
    </row>
    <row r="26" spans="2:16" x14ac:dyDescent="0.15">
      <c r="C26" s="24" t="s">
        <v>19</v>
      </c>
      <c r="D26" s="24"/>
      <c r="E26" s="24"/>
      <c r="F26" s="24"/>
      <c r="G26" s="24"/>
      <c r="H26" s="24"/>
      <c r="I26" s="25"/>
    </row>
    <row r="27" spans="2:16" x14ac:dyDescent="0.15">
      <c r="C27" s="24"/>
      <c r="D27" s="19" t="s">
        <v>28</v>
      </c>
      <c r="E27" s="19" t="s">
        <v>17</v>
      </c>
      <c r="F27" s="19" t="s">
        <v>9</v>
      </c>
      <c r="G27" s="19" t="s">
        <v>7</v>
      </c>
      <c r="H27" s="19" t="s">
        <v>6</v>
      </c>
      <c r="I27" s="20" t="s">
        <v>29</v>
      </c>
    </row>
    <row r="28" spans="2:16" x14ac:dyDescent="0.15">
      <c r="C28" s="24"/>
      <c r="D28" s="21">
        <v>579</v>
      </c>
      <c r="E28" s="21">
        <v>52</v>
      </c>
      <c r="F28" s="21">
        <v>77</v>
      </c>
      <c r="G28" s="21">
        <v>82</v>
      </c>
      <c r="H28" s="21">
        <v>65</v>
      </c>
      <c r="I28" s="22" t="s">
        <v>24</v>
      </c>
    </row>
    <row r="30" spans="2:16" x14ac:dyDescent="0.15">
      <c r="C30" s="24" t="s">
        <v>25</v>
      </c>
      <c r="D30" s="24"/>
      <c r="E30" s="24"/>
      <c r="F30" s="24"/>
      <c r="G30" s="24"/>
      <c r="H30" s="24"/>
      <c r="I30" s="25"/>
    </row>
    <row r="31" spans="2:16" x14ac:dyDescent="0.15">
      <c r="C31" s="24"/>
      <c r="D31" s="19" t="s">
        <v>20</v>
      </c>
      <c r="E31" s="19" t="s">
        <v>21</v>
      </c>
      <c r="F31" s="19" t="s">
        <v>22</v>
      </c>
      <c r="G31" s="19" t="s">
        <v>7</v>
      </c>
      <c r="H31" s="19" t="s">
        <v>6</v>
      </c>
      <c r="I31" s="20" t="s">
        <v>23</v>
      </c>
    </row>
    <row r="32" spans="2:16" x14ac:dyDescent="0.15">
      <c r="C32" s="24"/>
      <c r="D32" s="21">
        <f>D28*$D$5</f>
        <v>2316</v>
      </c>
      <c r="E32" s="21">
        <f>ROUNDDOWN(E28*$G$5,0)</f>
        <v>78</v>
      </c>
      <c r="F32" s="21">
        <f>ROUNDDOWN(F28*$G$5,0)</f>
        <v>115</v>
      </c>
      <c r="G32" s="21">
        <v>82</v>
      </c>
      <c r="H32" s="21">
        <v>65</v>
      </c>
      <c r="I32" s="22" t="s">
        <v>24</v>
      </c>
    </row>
    <row r="33" spans="1:9" x14ac:dyDescent="0.15">
      <c r="A33" s="1" t="s">
        <v>34</v>
      </c>
    </row>
    <row r="34" spans="1:9" x14ac:dyDescent="0.15">
      <c r="B34" s="31" t="s">
        <v>32</v>
      </c>
    </row>
    <row r="35" spans="1:9" x14ac:dyDescent="0.15">
      <c r="C35" s="28" t="s">
        <v>19</v>
      </c>
    </row>
    <row r="36" spans="1:9" x14ac:dyDescent="0.15">
      <c r="D36" s="19" t="s">
        <v>35</v>
      </c>
      <c r="E36" s="19" t="s">
        <v>36</v>
      </c>
      <c r="F36" s="19" t="s">
        <v>37</v>
      </c>
      <c r="G36" s="19" t="s">
        <v>7</v>
      </c>
      <c r="H36" s="19" t="s">
        <v>6</v>
      </c>
      <c r="I36" s="20" t="s">
        <v>38</v>
      </c>
    </row>
    <row r="37" spans="1:9" x14ac:dyDescent="0.15">
      <c r="D37" s="21">
        <v>4166</v>
      </c>
      <c r="E37" s="21">
        <v>407</v>
      </c>
      <c r="F37" s="21">
        <v>488</v>
      </c>
      <c r="G37" s="21">
        <v>628</v>
      </c>
      <c r="H37" s="21">
        <v>495</v>
      </c>
      <c r="I37" s="22" t="s">
        <v>24</v>
      </c>
    </row>
    <row r="39" spans="1:9" x14ac:dyDescent="0.15">
      <c r="C39" s="28" t="s">
        <v>25</v>
      </c>
      <c r="D39" s="28"/>
      <c r="E39" s="28"/>
      <c r="F39" s="28"/>
      <c r="G39" s="28"/>
      <c r="H39" s="28"/>
      <c r="I39" s="31"/>
    </row>
    <row r="40" spans="1:9" x14ac:dyDescent="0.15">
      <c r="C40" s="28"/>
      <c r="D40" s="19" t="s">
        <v>20</v>
      </c>
      <c r="E40" s="19" t="s">
        <v>21</v>
      </c>
      <c r="F40" s="19" t="s">
        <v>22</v>
      </c>
      <c r="G40" s="19" t="s">
        <v>7</v>
      </c>
      <c r="H40" s="19" t="s">
        <v>6</v>
      </c>
      <c r="I40" s="20" t="s">
        <v>23</v>
      </c>
    </row>
    <row r="41" spans="1:9" x14ac:dyDescent="0.15">
      <c r="C41" s="28"/>
      <c r="D41" s="21">
        <f>D37*$D$5</f>
        <v>16664</v>
      </c>
      <c r="E41" s="21">
        <f>ROUNDDOWN(E37*$G$5,0)</f>
        <v>610</v>
      </c>
      <c r="F41" s="21">
        <f>ROUNDDOWN(F37*$G$5,0)</f>
        <v>732</v>
      </c>
      <c r="G41" s="21">
        <v>628</v>
      </c>
      <c r="H41" s="21">
        <v>495</v>
      </c>
      <c r="I41" s="22" t="s">
        <v>24</v>
      </c>
    </row>
    <row r="43" spans="1:9" x14ac:dyDescent="0.15">
      <c r="B43" s="28" t="s">
        <v>39</v>
      </c>
    </row>
    <row r="44" spans="1:9" x14ac:dyDescent="0.15">
      <c r="C44" s="28" t="s">
        <v>19</v>
      </c>
    </row>
    <row r="45" spans="1:9" x14ac:dyDescent="0.15">
      <c r="D45" s="19" t="s">
        <v>35</v>
      </c>
      <c r="E45" s="19" t="s">
        <v>36</v>
      </c>
      <c r="F45" s="19" t="s">
        <v>37</v>
      </c>
      <c r="G45" s="19" t="s">
        <v>7</v>
      </c>
      <c r="H45" s="19" t="s">
        <v>6</v>
      </c>
      <c r="I45" s="20" t="s">
        <v>38</v>
      </c>
    </row>
    <row r="46" spans="1:9" x14ac:dyDescent="0.15">
      <c r="D46" s="21">
        <v>4401</v>
      </c>
      <c r="E46" s="21">
        <v>355</v>
      </c>
      <c r="F46" s="21">
        <v>488</v>
      </c>
      <c r="G46" s="21">
        <v>628</v>
      </c>
      <c r="H46" s="21">
        <v>495</v>
      </c>
      <c r="I46" s="22" t="s">
        <v>24</v>
      </c>
    </row>
    <row r="48" spans="1:9" x14ac:dyDescent="0.15">
      <c r="C48" s="28" t="s">
        <v>25</v>
      </c>
      <c r="D48" s="28"/>
      <c r="E48" s="28"/>
      <c r="F48" s="28"/>
      <c r="G48" s="28"/>
      <c r="H48" s="28"/>
      <c r="I48" s="31"/>
    </row>
    <row r="49" spans="2:9" x14ac:dyDescent="0.15">
      <c r="C49" s="28"/>
      <c r="D49" s="19" t="s">
        <v>20</v>
      </c>
      <c r="E49" s="19" t="s">
        <v>21</v>
      </c>
      <c r="F49" s="19" t="s">
        <v>22</v>
      </c>
      <c r="G49" s="19" t="s">
        <v>7</v>
      </c>
      <c r="H49" s="19" t="s">
        <v>6</v>
      </c>
      <c r="I49" s="20" t="s">
        <v>23</v>
      </c>
    </row>
    <row r="50" spans="2:9" x14ac:dyDescent="0.15">
      <c r="C50" s="28"/>
      <c r="D50" s="21">
        <f>D46*$D$5</f>
        <v>17604</v>
      </c>
      <c r="E50" s="21">
        <f>ROUNDDOWN(E46*$G$5,0)</f>
        <v>532</v>
      </c>
      <c r="F50" s="21">
        <f>ROUNDDOWN(F46*$G$5,0)</f>
        <v>732</v>
      </c>
      <c r="G50" s="21">
        <v>628</v>
      </c>
      <c r="H50" s="21">
        <v>495</v>
      </c>
      <c r="I50" s="22" t="s">
        <v>24</v>
      </c>
    </row>
    <row r="52" spans="2:9" x14ac:dyDescent="0.15">
      <c r="B52" s="28" t="s">
        <v>18</v>
      </c>
    </row>
    <row r="53" spans="2:9" x14ac:dyDescent="0.15">
      <c r="C53" s="28" t="s">
        <v>19</v>
      </c>
      <c r="D53" s="28"/>
      <c r="E53" s="28"/>
      <c r="F53" s="28"/>
      <c r="G53" s="28"/>
      <c r="H53" s="28"/>
      <c r="I53" s="28"/>
    </row>
    <row r="54" spans="2:9" x14ac:dyDescent="0.15">
      <c r="C54" s="28"/>
      <c r="D54" s="19" t="s">
        <v>35</v>
      </c>
      <c r="E54" s="19" t="s">
        <v>36</v>
      </c>
      <c r="F54" s="19" t="s">
        <v>37</v>
      </c>
      <c r="G54" s="19" t="s">
        <v>7</v>
      </c>
      <c r="H54" s="19" t="s">
        <v>6</v>
      </c>
      <c r="I54" s="20" t="s">
        <v>38</v>
      </c>
    </row>
    <row r="55" spans="2:9" x14ac:dyDescent="0.15">
      <c r="C55" s="28"/>
      <c r="D55" s="21">
        <v>4401</v>
      </c>
      <c r="E55" s="21">
        <v>488</v>
      </c>
      <c r="F55" s="21">
        <v>325</v>
      </c>
      <c r="G55" s="21">
        <v>628</v>
      </c>
      <c r="H55" s="21">
        <v>495</v>
      </c>
      <c r="I55" s="22" t="s">
        <v>24</v>
      </c>
    </row>
    <row r="57" spans="2:9" x14ac:dyDescent="0.15">
      <c r="C57" s="28" t="s">
        <v>25</v>
      </c>
      <c r="D57" s="28"/>
      <c r="E57" s="28"/>
      <c r="F57" s="28"/>
      <c r="G57" s="28"/>
      <c r="H57" s="28"/>
      <c r="I57" s="31"/>
    </row>
    <row r="58" spans="2:9" x14ac:dyDescent="0.15">
      <c r="C58" s="28"/>
      <c r="D58" s="19" t="s">
        <v>20</v>
      </c>
      <c r="E58" s="19" t="s">
        <v>21</v>
      </c>
      <c r="F58" s="19" t="s">
        <v>22</v>
      </c>
      <c r="G58" s="19" t="s">
        <v>7</v>
      </c>
      <c r="H58" s="19" t="s">
        <v>6</v>
      </c>
      <c r="I58" s="20" t="s">
        <v>23</v>
      </c>
    </row>
    <row r="59" spans="2:9" x14ac:dyDescent="0.15">
      <c r="C59" s="28"/>
      <c r="D59" s="21">
        <f>D55*$D$5</f>
        <v>17604</v>
      </c>
      <c r="E59" s="21">
        <f>ROUNDDOWN(E55*$G$5,0)</f>
        <v>732</v>
      </c>
      <c r="F59" s="21">
        <f>ROUNDDOWN(F55*$G$5,0)</f>
        <v>487</v>
      </c>
      <c r="G59" s="21">
        <v>628</v>
      </c>
      <c r="H59" s="21">
        <v>495</v>
      </c>
      <c r="I59" s="22" t="s">
        <v>24</v>
      </c>
    </row>
    <row r="60" spans="2:9" s="45" customFormat="1" x14ac:dyDescent="0.15"/>
    <row r="61" spans="2:9" x14ac:dyDescent="0.15">
      <c r="B61" s="1" t="s">
        <v>41</v>
      </c>
    </row>
    <row r="62" spans="2:9" x14ac:dyDescent="0.15">
      <c r="C62" s="1" t="s">
        <v>46</v>
      </c>
    </row>
    <row r="63" spans="2:9" x14ac:dyDescent="0.15">
      <c r="C63" s="1" t="s">
        <v>47</v>
      </c>
    </row>
    <row r="64" spans="2:9" x14ac:dyDescent="0.15">
      <c r="B64" s="1" t="s">
        <v>33</v>
      </c>
    </row>
    <row r="65" spans="2:28" x14ac:dyDescent="0.15">
      <c r="B65" s="31" t="s">
        <v>40</v>
      </c>
      <c r="C65" s="23"/>
      <c r="D65" s="23"/>
      <c r="E65" s="23"/>
      <c r="F65" s="23"/>
      <c r="G65" s="23"/>
      <c r="H65" s="23"/>
    </row>
    <row r="67" spans="2:28" x14ac:dyDescent="0.15">
      <c r="C67" s="28" t="s">
        <v>81</v>
      </c>
      <c r="D67" s="28"/>
      <c r="E67" s="41" t="s">
        <v>89</v>
      </c>
      <c r="F67" s="42"/>
      <c r="G67" s="42"/>
      <c r="H67" s="42"/>
      <c r="I67" s="43"/>
      <c r="J67" s="42"/>
      <c r="K67" s="44"/>
      <c r="L67" s="37"/>
      <c r="M67" s="37"/>
      <c r="N67" s="37"/>
      <c r="O67" s="37"/>
    </row>
    <row r="68" spans="2:28" x14ac:dyDescent="0.15">
      <c r="C68" s="28"/>
      <c r="D68" s="19" t="s">
        <v>20</v>
      </c>
      <c r="E68" s="19" t="s">
        <v>21</v>
      </c>
      <c r="F68" s="19" t="s">
        <v>22</v>
      </c>
      <c r="G68" s="19" t="s">
        <v>7</v>
      </c>
      <c r="H68" s="19" t="s">
        <v>6</v>
      </c>
      <c r="I68" s="5" t="s">
        <v>8</v>
      </c>
      <c r="J68" s="20" t="s">
        <v>23</v>
      </c>
      <c r="L68" s="27"/>
      <c r="M68" s="27"/>
      <c r="N68" s="27"/>
      <c r="O68" s="27"/>
    </row>
    <row r="69" spans="2:28" x14ac:dyDescent="0.15">
      <c r="C69" s="28"/>
      <c r="D69" s="5">
        <f>SUM(D70:D71)/2</f>
        <v>2392.9096653005463</v>
      </c>
      <c r="E69" s="38">
        <v>300</v>
      </c>
      <c r="F69" s="38">
        <v>160</v>
      </c>
      <c r="G69" s="38">
        <v>160</v>
      </c>
      <c r="H69" s="21">
        <v>65</v>
      </c>
      <c r="I69" s="22">
        <v>0.92896174863387981</v>
      </c>
      <c r="J69" s="22" t="s">
        <v>24</v>
      </c>
      <c r="L69" s="27"/>
      <c r="M69" s="27"/>
      <c r="N69" s="27"/>
      <c r="O69" s="27"/>
    </row>
    <row r="70" spans="2:28" s="28" customFormat="1" x14ac:dyDescent="0.15">
      <c r="C70" s="28" t="s">
        <v>82</v>
      </c>
      <c r="D70" s="26">
        <f>H113*I69</f>
        <v>1695.6048497267757</v>
      </c>
      <c r="F70" s="40"/>
      <c r="G70" s="40"/>
      <c r="H70" s="23"/>
      <c r="I70" s="27"/>
      <c r="J70" s="27"/>
      <c r="L70" s="27"/>
      <c r="M70" s="27"/>
      <c r="N70" s="27"/>
      <c r="O70" s="27"/>
    </row>
    <row r="71" spans="2:28" x14ac:dyDescent="0.15">
      <c r="D71" s="8">
        <f>H133*I69</f>
        <v>3090.2144808743169</v>
      </c>
    </row>
    <row r="72" spans="2:28" x14ac:dyDescent="0.15">
      <c r="C72" s="1" t="s">
        <v>43</v>
      </c>
    </row>
    <row r="74" spans="2:28" x14ac:dyDescent="0.15">
      <c r="D74" s="9" t="s">
        <v>42</v>
      </c>
      <c r="E74" s="9"/>
      <c r="F74" s="9"/>
      <c r="G74" s="9"/>
      <c r="H74" s="10"/>
      <c r="I74" s="28"/>
    </row>
    <row r="75" spans="2:28" x14ac:dyDescent="0.15">
      <c r="D75" s="29" t="s">
        <v>12</v>
      </c>
      <c r="E75" s="29" t="s">
        <v>13</v>
      </c>
      <c r="F75" s="29" t="s">
        <v>14</v>
      </c>
      <c r="G75" s="29" t="s">
        <v>15</v>
      </c>
      <c r="H75" s="29" t="s">
        <v>92</v>
      </c>
      <c r="I75" s="29" t="s">
        <v>93</v>
      </c>
    </row>
    <row r="76" spans="2:28" x14ac:dyDescent="0.15">
      <c r="D76" s="11">
        <v>0.8</v>
      </c>
      <c r="E76" s="11">
        <v>0.1</v>
      </c>
      <c r="F76" s="11">
        <v>0.05</v>
      </c>
      <c r="G76" s="11">
        <v>0.05</v>
      </c>
      <c r="H76" s="11">
        <v>1</v>
      </c>
      <c r="I76" s="7">
        <v>9</v>
      </c>
    </row>
    <row r="78" spans="2:28" x14ac:dyDescent="0.15">
      <c r="D78" s="2" t="s">
        <v>44</v>
      </c>
      <c r="E78" s="3"/>
      <c r="F78" s="3"/>
      <c r="G78" s="3"/>
      <c r="H78" s="4"/>
      <c r="I78" s="2" t="s">
        <v>45</v>
      </c>
      <c r="J78" s="3"/>
      <c r="K78" s="3"/>
      <c r="L78" s="3"/>
      <c r="M78" s="4"/>
      <c r="N78" s="2" t="s">
        <v>3</v>
      </c>
      <c r="O78" s="3"/>
      <c r="P78" s="3"/>
      <c r="Q78" s="3"/>
      <c r="R78" s="3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2:28" x14ac:dyDescent="0.15"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4</v>
      </c>
      <c r="J79" s="5" t="s">
        <v>5</v>
      </c>
      <c r="K79" s="5" t="s">
        <v>6</v>
      </c>
      <c r="L79" s="5" t="s">
        <v>7</v>
      </c>
      <c r="M79" s="5" t="s">
        <v>8</v>
      </c>
      <c r="N79" s="5" t="s">
        <v>4</v>
      </c>
      <c r="O79" s="5" t="s">
        <v>5</v>
      </c>
      <c r="P79" s="5" t="s">
        <v>6</v>
      </c>
      <c r="Q79" s="5" t="s">
        <v>7</v>
      </c>
      <c r="R79" s="47" t="s">
        <v>8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2:28" x14ac:dyDescent="0.15">
      <c r="D80" s="5">
        <v>913</v>
      </c>
      <c r="E80" s="5">
        <v>71</v>
      </c>
      <c r="F80" s="5">
        <v>81</v>
      </c>
      <c r="G80" s="5">
        <v>71</v>
      </c>
      <c r="H80" s="5">
        <v>0.9129967776584319</v>
      </c>
      <c r="I80" s="5">
        <v>468</v>
      </c>
      <c r="J80" s="5">
        <v>165</v>
      </c>
      <c r="K80" s="5">
        <v>38</v>
      </c>
      <c r="L80" s="5">
        <v>82</v>
      </c>
      <c r="M80" s="5">
        <v>0.9572072072072072</v>
      </c>
      <c r="N80" s="5">
        <v>614</v>
      </c>
      <c r="O80" s="5">
        <v>99</v>
      </c>
      <c r="P80" s="5">
        <v>65</v>
      </c>
      <c r="Q80" s="5">
        <v>82</v>
      </c>
      <c r="R80" s="47">
        <v>0.92896174863387981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4:18" s="31" customFormat="1" x14ac:dyDescent="0.15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4:18" s="31" customFormat="1" x14ac:dyDescent="0.1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4:18" s="31" customFormat="1" x14ac:dyDescent="0.15">
      <c r="D83" s="27" t="s">
        <v>10</v>
      </c>
      <c r="E83" s="27">
        <v>15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4:18" s="31" customFormat="1" x14ac:dyDescent="0.15">
      <c r="D84" s="27" t="s">
        <v>54</v>
      </c>
      <c r="E84" s="27">
        <v>0.01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4:18" s="31" customFormat="1" x14ac:dyDescent="0.15">
      <c r="D85" s="27" t="s">
        <v>94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4:18" s="31" customFormat="1" x14ac:dyDescent="0.15">
      <c r="D86" s="27"/>
      <c r="E86" s="27" t="s">
        <v>56</v>
      </c>
      <c r="F86" s="27" t="s">
        <v>96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4:18" s="31" customFormat="1" x14ac:dyDescent="0.15">
      <c r="D87" s="27"/>
      <c r="E87" s="39">
        <f>D80/H80+I80/M80+N80/R80</f>
        <v>2149.8788235294114</v>
      </c>
      <c r="F87" s="39">
        <f>E80*G80/G69+J80*L80/G69+O80*Q80/G69</f>
        <v>166.80624999999998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4:18" s="31" customFormat="1" x14ac:dyDescent="0.15"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4:18" s="31" customFormat="1" x14ac:dyDescent="0.15"/>
    <row r="90" spans="4:18" s="31" customFormat="1" x14ac:dyDescent="0.15"/>
    <row r="91" spans="4:18" x14ac:dyDescent="0.15">
      <c r="D91" s="1" t="s">
        <v>48</v>
      </c>
    </row>
    <row r="93" spans="4:18" x14ac:dyDescent="0.15">
      <c r="E93" s="1" t="s">
        <v>53</v>
      </c>
    </row>
    <row r="94" spans="4:18" x14ac:dyDescent="0.15">
      <c r="D94" s="1" t="s">
        <v>49</v>
      </c>
      <c r="E94" s="28">
        <v>0.87819999999999998</v>
      </c>
    </row>
    <row r="95" spans="4:18" x14ac:dyDescent="0.15">
      <c r="D95" s="1" t="s">
        <v>50</v>
      </c>
      <c r="E95" s="8">
        <f>E94*0.8</f>
        <v>0.70256000000000007</v>
      </c>
    </row>
    <row r="96" spans="4:18" x14ac:dyDescent="0.15">
      <c r="D96" s="1" t="s">
        <v>51</v>
      </c>
      <c r="E96" s="8">
        <f>E94*0.4</f>
        <v>0.35128000000000004</v>
      </c>
    </row>
    <row r="97" spans="4:8" x14ac:dyDescent="0.15">
      <c r="D97" s="1" t="s">
        <v>52</v>
      </c>
    </row>
    <row r="98" spans="4:8" x14ac:dyDescent="0.15">
      <c r="D98" s="1" t="s">
        <v>55</v>
      </c>
      <c r="E98" s="28">
        <v>0.47</v>
      </c>
      <c r="F98" s="36">
        <v>3</v>
      </c>
    </row>
    <row r="99" spans="4:8" x14ac:dyDescent="0.15">
      <c r="D99" s="28" t="s">
        <v>67</v>
      </c>
      <c r="E99" s="28">
        <v>0.60000000000000009</v>
      </c>
    </row>
    <row r="100" spans="4:8" x14ac:dyDescent="0.15">
      <c r="D100" s="28" t="s">
        <v>66</v>
      </c>
      <c r="E100" s="28" t="s">
        <v>57</v>
      </c>
      <c r="F100" s="28" t="s">
        <v>58</v>
      </c>
      <c r="G100" s="28" t="s">
        <v>59</v>
      </c>
    </row>
    <row r="101" spans="4:8" x14ac:dyDescent="0.15">
      <c r="D101" s="31">
        <v>0.47</v>
      </c>
      <c r="E101" s="33">
        <v>0.2</v>
      </c>
      <c r="F101" s="28">
        <v>3</v>
      </c>
      <c r="G101" s="28">
        <f>D101*E101*F101*D105</f>
        <v>1.6920000000000002</v>
      </c>
    </row>
    <row r="102" spans="4:8" x14ac:dyDescent="0.15">
      <c r="D102" s="28" t="s">
        <v>60</v>
      </c>
      <c r="E102" s="28" t="s">
        <v>61</v>
      </c>
      <c r="F102" s="28" t="s">
        <v>62</v>
      </c>
      <c r="G102" s="28" t="s">
        <v>63</v>
      </c>
    </row>
    <row r="103" spans="4:8" x14ac:dyDescent="0.15">
      <c r="D103" s="31">
        <v>1</v>
      </c>
      <c r="E103" s="33">
        <v>0.2</v>
      </c>
      <c r="F103" s="28">
        <v>1</v>
      </c>
      <c r="G103" s="28">
        <f>D103*D105*E103*F103</f>
        <v>1.2000000000000002</v>
      </c>
    </row>
    <row r="104" spans="4:8" x14ac:dyDescent="0.15">
      <c r="D104" s="28" t="s">
        <v>64</v>
      </c>
      <c r="E104" s="28" t="s">
        <v>65</v>
      </c>
      <c r="F104" s="28"/>
      <c r="G104" s="28"/>
    </row>
    <row r="105" spans="4:8" x14ac:dyDescent="0.15">
      <c r="D105" s="28">
        <v>6</v>
      </c>
      <c r="E105" s="16">
        <v>0.09</v>
      </c>
      <c r="F105" s="28"/>
      <c r="G105" s="28"/>
    </row>
    <row r="107" spans="4:8" x14ac:dyDescent="0.15">
      <c r="D107" s="1" t="s">
        <v>71</v>
      </c>
    </row>
    <row r="108" spans="4:8" x14ac:dyDescent="0.15">
      <c r="E108" s="30">
        <f>((E94*D76*E69+E98*F98*F76*F69+E7)*I76+D105*E105+D103*E103*F103*D105+D101*F101*E101*D105)/(I76+H76)</f>
        <v>200.18640000000002</v>
      </c>
    </row>
    <row r="109" spans="4:8" s="31" customFormat="1" x14ac:dyDescent="0.15"/>
    <row r="110" spans="4:8" s="28" customFormat="1" x14ac:dyDescent="0.15">
      <c r="D110" s="28" t="s">
        <v>72</v>
      </c>
      <c r="E110" s="30">
        <f>E99*E76*F69</f>
        <v>9.6000000000000014</v>
      </c>
      <c r="H110" s="31"/>
    </row>
    <row r="112" spans="4:8" x14ac:dyDescent="0.15">
      <c r="D112" s="1" t="s">
        <v>74</v>
      </c>
      <c r="G112" s="1" t="s">
        <v>80</v>
      </c>
    </row>
    <row r="113" spans="3:8" x14ac:dyDescent="0.15">
      <c r="E113" s="30">
        <f>ROUNDUP(E87/E108,0)</f>
        <v>11</v>
      </c>
      <c r="H113" s="30">
        <f>E113*F87-E110</f>
        <v>1825.2687499999997</v>
      </c>
    </row>
    <row r="116" spans="3:8" x14ac:dyDescent="0.15">
      <c r="C116" s="1" t="s">
        <v>76</v>
      </c>
      <c r="D116" s="1" t="s">
        <v>68</v>
      </c>
    </row>
    <row r="117" spans="3:8" x14ac:dyDescent="0.15">
      <c r="E117" s="30">
        <f>((E95*D76*E69+E98*F98*F76*F69+E7)*I76+D105*E105+D103*E103*F103*D105+D101*F101*E101*D105)/(I76+H76)</f>
        <v>162.24816000000004</v>
      </c>
    </row>
    <row r="119" spans="3:8" x14ac:dyDescent="0.15">
      <c r="D119" s="1" t="s">
        <v>69</v>
      </c>
      <c r="G119" s="1" t="s">
        <v>73</v>
      </c>
    </row>
    <row r="120" spans="3:8" x14ac:dyDescent="0.15">
      <c r="E120" s="11">
        <v>200</v>
      </c>
      <c r="H120" s="8">
        <f>E120/F87*E108</f>
        <v>240.02266102139461</v>
      </c>
    </row>
    <row r="122" spans="3:8" x14ac:dyDescent="0.15">
      <c r="D122" s="1" t="s">
        <v>75</v>
      </c>
      <c r="G122" s="28" t="s">
        <v>70</v>
      </c>
      <c r="H122" s="28"/>
    </row>
    <row r="123" spans="3:8" x14ac:dyDescent="0.15">
      <c r="E123" s="8">
        <f>ROUNDUP((E87-H120)/E117,0)</f>
        <v>12</v>
      </c>
      <c r="G123" s="28"/>
      <c r="H123" s="30">
        <f>E123*F87-E110</f>
        <v>1992.0749999999998</v>
      </c>
    </row>
    <row r="126" spans="3:8" x14ac:dyDescent="0.15">
      <c r="C126" s="28" t="s">
        <v>77</v>
      </c>
      <c r="D126" s="28" t="s">
        <v>68</v>
      </c>
      <c r="E126" s="28"/>
    </row>
    <row r="127" spans="3:8" x14ac:dyDescent="0.15">
      <c r="D127" s="28"/>
      <c r="E127" s="30">
        <f>((E96*D76*E69+E98*F98*F76*F69+E7)*I76+D105*E105+D103*E103*F103*D105+D101*F101*E101*D105)/(I76+H76)</f>
        <v>86.371680000000012</v>
      </c>
    </row>
    <row r="129" spans="2:9" x14ac:dyDescent="0.15">
      <c r="D129" s="28" t="s">
        <v>78</v>
      </c>
      <c r="E129" s="28"/>
      <c r="G129" s="28" t="s">
        <v>73</v>
      </c>
      <c r="H129" s="28"/>
    </row>
    <row r="130" spans="2:9" x14ac:dyDescent="0.15">
      <c r="D130" s="28"/>
      <c r="E130" s="11">
        <v>400</v>
      </c>
      <c r="G130" s="28"/>
      <c r="H130" s="8">
        <f>E120/F87*E108+E120/F87*E117</f>
        <v>434.55753006856764</v>
      </c>
    </row>
    <row r="132" spans="2:9" x14ac:dyDescent="0.15">
      <c r="D132" s="28" t="s">
        <v>75</v>
      </c>
      <c r="E132" s="28"/>
      <c r="F132" s="28"/>
      <c r="G132" s="28" t="s">
        <v>79</v>
      </c>
      <c r="H132" s="28"/>
    </row>
    <row r="133" spans="2:9" x14ac:dyDescent="0.15">
      <c r="D133" s="28"/>
      <c r="E133" s="8">
        <f>ROUNDUP((E87-H130)/E127,0)</f>
        <v>20</v>
      </c>
      <c r="F133" s="28"/>
      <c r="G133" s="28"/>
      <c r="H133" s="30">
        <f>E133*F87-E110</f>
        <v>3326.5249999999996</v>
      </c>
    </row>
    <row r="134" spans="2:9" s="45" customFormat="1" x14ac:dyDescent="0.15"/>
    <row r="135" spans="2:9" x14ac:dyDescent="0.15">
      <c r="B135" s="1" t="s">
        <v>84</v>
      </c>
    </row>
    <row r="136" spans="2:9" x14ac:dyDescent="0.15">
      <c r="B136" s="31" t="s">
        <v>83</v>
      </c>
    </row>
    <row r="137" spans="2:9" x14ac:dyDescent="0.15">
      <c r="C137" s="31" t="s">
        <v>105</v>
      </c>
      <c r="D137" s="23"/>
      <c r="E137" s="23"/>
      <c r="F137" s="23"/>
      <c r="G137" s="23"/>
      <c r="H137" s="23"/>
      <c r="I137" s="23"/>
    </row>
    <row r="138" spans="2:9" x14ac:dyDescent="0.15">
      <c r="C138" s="23"/>
      <c r="D138" s="17" t="s">
        <v>85</v>
      </c>
      <c r="E138" s="17" t="s">
        <v>86</v>
      </c>
      <c r="F138" s="17" t="s">
        <v>87</v>
      </c>
      <c r="G138" s="17" t="s">
        <v>7</v>
      </c>
      <c r="H138" s="17" t="s">
        <v>6</v>
      </c>
      <c r="I138" s="18" t="s">
        <v>88</v>
      </c>
    </row>
    <row r="139" spans="2:9" x14ac:dyDescent="0.15">
      <c r="C139" s="23"/>
      <c r="D139" s="23">
        <v>4952</v>
      </c>
      <c r="E139" s="23">
        <v>523</v>
      </c>
      <c r="F139" s="23">
        <v>436</v>
      </c>
      <c r="G139" s="23">
        <v>800</v>
      </c>
      <c r="H139" s="23">
        <v>622</v>
      </c>
      <c r="I139" s="23"/>
    </row>
    <row r="141" spans="2:9" x14ac:dyDescent="0.15">
      <c r="C141" s="28" t="s">
        <v>106</v>
      </c>
    </row>
    <row r="142" spans="2:9" s="28" customFormat="1" x14ac:dyDescent="0.15">
      <c r="D142" s="17" t="s">
        <v>85</v>
      </c>
      <c r="E142" s="17" t="s">
        <v>86</v>
      </c>
      <c r="F142" s="17" t="s">
        <v>87</v>
      </c>
      <c r="G142" s="17" t="s">
        <v>7</v>
      </c>
      <c r="H142" s="17" t="s">
        <v>6</v>
      </c>
      <c r="I142" s="18" t="s">
        <v>88</v>
      </c>
    </row>
    <row r="143" spans="2:9" s="28" customFormat="1" x14ac:dyDescent="0.15">
      <c r="D143" s="23">
        <f>D139*E156</f>
        <v>11155.433174559759</v>
      </c>
      <c r="E143" s="23">
        <f>E139*I156</f>
        <v>2092</v>
      </c>
      <c r="F143" s="23">
        <f>F139*I156</f>
        <v>1744</v>
      </c>
      <c r="G143" s="23">
        <f>G139</f>
        <v>800</v>
      </c>
      <c r="H143" s="23">
        <v>622</v>
      </c>
      <c r="I143" s="23" t="s">
        <v>107</v>
      </c>
    </row>
    <row r="145" spans="4:18" x14ac:dyDescent="0.15">
      <c r="D145" s="2" t="s">
        <v>44</v>
      </c>
      <c r="E145" s="3"/>
      <c r="F145" s="3"/>
      <c r="G145" s="3"/>
      <c r="H145" s="4"/>
      <c r="J145" s="9" t="s">
        <v>11</v>
      </c>
      <c r="K145" s="9"/>
      <c r="L145" s="9"/>
      <c r="M145" s="9"/>
      <c r="N145" s="9"/>
      <c r="O145" s="28"/>
    </row>
    <row r="146" spans="4:18" x14ac:dyDescent="0.15">
      <c r="D146" s="5" t="s">
        <v>4</v>
      </c>
      <c r="E146" s="5" t="s">
        <v>90</v>
      </c>
      <c r="F146" s="5" t="s">
        <v>6</v>
      </c>
      <c r="G146" s="5" t="s">
        <v>7</v>
      </c>
      <c r="H146" s="5" t="s">
        <v>8</v>
      </c>
      <c r="J146" s="29" t="s">
        <v>12</v>
      </c>
      <c r="K146" s="29" t="s">
        <v>13</v>
      </c>
      <c r="L146" s="29" t="s">
        <v>14</v>
      </c>
      <c r="M146" s="29" t="s">
        <v>15</v>
      </c>
      <c r="N146" s="29" t="s">
        <v>91</v>
      </c>
      <c r="O146" s="29" t="s">
        <v>16</v>
      </c>
    </row>
    <row r="147" spans="4:18" x14ac:dyDescent="0.15">
      <c r="D147" s="5">
        <v>6933</v>
      </c>
      <c r="E147" s="5">
        <v>544</v>
      </c>
      <c r="F147" s="5">
        <v>622</v>
      </c>
      <c r="G147" s="5">
        <v>544</v>
      </c>
      <c r="H147" s="5">
        <v>0.77149155033063932</v>
      </c>
      <c r="J147" s="11">
        <v>0.3</v>
      </c>
      <c r="K147" s="11">
        <v>0.3</v>
      </c>
      <c r="L147" s="11">
        <v>0.1</v>
      </c>
      <c r="M147" s="11">
        <v>0.3</v>
      </c>
      <c r="N147" s="11">
        <v>1</v>
      </c>
      <c r="O147" s="12">
        <v>9</v>
      </c>
    </row>
    <row r="151" spans="4:18" x14ac:dyDescent="0.15">
      <c r="D151" s="2" t="s">
        <v>44</v>
      </c>
      <c r="E151" s="3"/>
      <c r="F151" s="3"/>
      <c r="G151" s="3"/>
      <c r="H151" s="4"/>
      <c r="I151" s="2" t="s">
        <v>45</v>
      </c>
      <c r="J151" s="3"/>
      <c r="K151" s="3"/>
      <c r="L151" s="3"/>
      <c r="M151" s="4"/>
      <c r="N151" s="2" t="s">
        <v>3</v>
      </c>
      <c r="O151" s="3"/>
      <c r="P151" s="3"/>
      <c r="Q151" s="3"/>
      <c r="R151" s="4"/>
    </row>
    <row r="152" spans="4:18" x14ac:dyDescent="0.15">
      <c r="D152" s="5" t="s">
        <v>4</v>
      </c>
      <c r="E152" s="5" t="s">
        <v>5</v>
      </c>
      <c r="F152" s="5" t="s">
        <v>6</v>
      </c>
      <c r="G152" s="5" t="s">
        <v>7</v>
      </c>
      <c r="H152" s="5" t="s">
        <v>8</v>
      </c>
      <c r="I152" s="5" t="s">
        <v>4</v>
      </c>
      <c r="J152" s="5" t="s">
        <v>5</v>
      </c>
      <c r="K152" s="5" t="s">
        <v>6</v>
      </c>
      <c r="L152" s="5" t="s">
        <v>7</v>
      </c>
      <c r="M152" s="5" t="s">
        <v>8</v>
      </c>
      <c r="N152" s="5" t="s">
        <v>4</v>
      </c>
      <c r="O152" s="5" t="s">
        <v>5</v>
      </c>
      <c r="P152" s="5" t="s">
        <v>6</v>
      </c>
      <c r="Q152" s="5" t="s">
        <v>7</v>
      </c>
      <c r="R152" s="5" t="s">
        <v>8</v>
      </c>
    </row>
    <row r="153" spans="4:18" x14ac:dyDescent="0.15">
      <c r="D153" s="5">
        <v>6933</v>
      </c>
      <c r="E153" s="5">
        <v>544</v>
      </c>
      <c r="F153" s="5">
        <v>622</v>
      </c>
      <c r="G153" s="5">
        <v>544</v>
      </c>
      <c r="H153" s="5">
        <v>0.77149155033063932</v>
      </c>
      <c r="I153" s="5">
        <v>3555</v>
      </c>
      <c r="J153" s="5">
        <v>1256</v>
      </c>
      <c r="K153" s="5">
        <v>288</v>
      </c>
      <c r="L153" s="5">
        <v>628</v>
      </c>
      <c r="M153" s="5">
        <v>0.87939698492462304</v>
      </c>
      <c r="N153" s="5">
        <v>4666</v>
      </c>
      <c r="O153" s="5">
        <v>754</v>
      </c>
      <c r="P153" s="5">
        <v>495</v>
      </c>
      <c r="Q153" s="5">
        <v>628</v>
      </c>
      <c r="R153" s="5">
        <v>0.80924855491329473</v>
      </c>
    </row>
    <row r="154" spans="4:18" s="31" customFormat="1" x14ac:dyDescent="0.15"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4:18" s="31" customFormat="1" x14ac:dyDescent="0.15"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4:18" x14ac:dyDescent="0.15">
      <c r="D156" s="1" t="s">
        <v>97</v>
      </c>
      <c r="E156" s="8">
        <f>I167/D147</f>
        <v>2.2527126766073828</v>
      </c>
      <c r="G156" s="28" t="s">
        <v>98</v>
      </c>
      <c r="I156" s="11">
        <v>4</v>
      </c>
      <c r="K156" s="1" t="s">
        <v>99</v>
      </c>
      <c r="L156" s="1">
        <v>0.25</v>
      </c>
      <c r="N156" s="1" t="s">
        <v>104</v>
      </c>
      <c r="O156" s="1">
        <v>2</v>
      </c>
    </row>
    <row r="157" spans="4:18" s="28" customFormat="1" x14ac:dyDescent="0.15"/>
    <row r="158" spans="4:18" x14ac:dyDescent="0.15">
      <c r="D158" s="27" t="s">
        <v>94</v>
      </c>
      <c r="E158" s="27"/>
      <c r="F158" s="27"/>
    </row>
    <row r="159" spans="4:18" x14ac:dyDescent="0.15">
      <c r="D159" s="27"/>
      <c r="E159" s="27" t="s">
        <v>56</v>
      </c>
      <c r="F159" s="27" t="s">
        <v>96</v>
      </c>
    </row>
    <row r="160" spans="4:18" x14ac:dyDescent="0.15">
      <c r="D160" s="27"/>
      <c r="E160" s="39">
        <f>D153/H153+I153/M153+N153/R153</f>
        <v>18794.874285714286</v>
      </c>
      <c r="F160" s="39">
        <f>E153*G153/G147+J153*L153/G139+O153*Q153/G139</f>
        <v>2121.85</v>
      </c>
    </row>
    <row r="161" spans="1:18" x14ac:dyDescent="0.15">
      <c r="D161" s="27" t="s">
        <v>95</v>
      </c>
      <c r="E161" s="46">
        <v>5000</v>
      </c>
      <c r="F161" s="27"/>
      <c r="G161" s="1" t="s">
        <v>100</v>
      </c>
      <c r="I161" s="1">
        <f>E161/F160*E147*I156</f>
        <v>5127.6009142964867</v>
      </c>
    </row>
    <row r="162" spans="1:18" x14ac:dyDescent="0.15">
      <c r="E162" s="27"/>
      <c r="F162" s="27"/>
    </row>
    <row r="163" spans="1:18" x14ac:dyDescent="0.15">
      <c r="D163" s="27" t="s">
        <v>101</v>
      </c>
      <c r="E163" s="27">
        <f>E160-I161</f>
        <v>13667.273371417799</v>
      </c>
      <c r="F163" s="27"/>
    </row>
    <row r="165" spans="1:18" x14ac:dyDescent="0.15">
      <c r="D165" s="1" t="s">
        <v>102</v>
      </c>
      <c r="E165" s="1">
        <f>E163/(E147*I156)</f>
        <v>6.2809160714236212</v>
      </c>
      <c r="G165" s="1" t="s">
        <v>103</v>
      </c>
      <c r="I165" s="1">
        <f>E165*F160*O156</f>
        <v>26654.323532300419</v>
      </c>
    </row>
    <row r="167" spans="1:18" x14ac:dyDescent="0.15">
      <c r="D167" s="1" t="s">
        <v>108</v>
      </c>
      <c r="E167" s="1">
        <f>E160/(I156*E147)*F160*L156</f>
        <v>4581.7904415375524</v>
      </c>
      <c r="G167" s="1" t="s">
        <v>109</v>
      </c>
      <c r="I167" s="1">
        <f>(E167+I165)/2</f>
        <v>15618.056986918986</v>
      </c>
    </row>
    <row r="170" spans="1:18" s="45" customFormat="1" x14ac:dyDescent="0.15"/>
    <row r="171" spans="1:18" x14ac:dyDescent="0.15">
      <c r="A171" s="1" t="s">
        <v>110</v>
      </c>
    </row>
    <row r="172" spans="1:18" x14ac:dyDescent="0.15">
      <c r="B172" s="28" t="s">
        <v>111</v>
      </c>
    </row>
    <row r="173" spans="1:18" s="28" customFormat="1" x14ac:dyDescent="0.15">
      <c r="C173" s="28" t="s">
        <v>112</v>
      </c>
      <c r="L173" s="28" t="s">
        <v>124</v>
      </c>
      <c r="M173" s="28" t="s">
        <v>125</v>
      </c>
      <c r="N173" s="28" t="s">
        <v>121</v>
      </c>
      <c r="P173" s="28" t="s">
        <v>122</v>
      </c>
      <c r="Q173" s="28">
        <v>1</v>
      </c>
      <c r="R173" s="28" t="s">
        <v>138</v>
      </c>
    </row>
    <row r="174" spans="1:18" s="28" customFormat="1" x14ac:dyDescent="0.15">
      <c r="D174" s="28" t="s">
        <v>116</v>
      </c>
      <c r="E174" s="8">
        <v>0.9</v>
      </c>
      <c r="F174" s="28" t="s">
        <v>115</v>
      </c>
      <c r="G174" s="8">
        <f>1-E174</f>
        <v>9.9999999999999978E-2</v>
      </c>
      <c r="K174" s="28" t="s">
        <v>117</v>
      </c>
      <c r="L174" s="8">
        <f>L177*4</f>
        <v>2</v>
      </c>
      <c r="M174" s="8">
        <v>3</v>
      </c>
      <c r="N174" s="8">
        <f>L174*M174</f>
        <v>6</v>
      </c>
      <c r="R174" s="28">
        <v>0.1</v>
      </c>
    </row>
    <row r="175" spans="1:18" s="28" customFormat="1" x14ac:dyDescent="0.15">
      <c r="D175" s="23" t="s">
        <v>117</v>
      </c>
      <c r="F175" s="23" t="s">
        <v>114</v>
      </c>
      <c r="H175" s="23" t="s">
        <v>113</v>
      </c>
      <c r="I175" s="23">
        <v>3</v>
      </c>
      <c r="K175" s="28" t="s">
        <v>118</v>
      </c>
      <c r="L175" s="8">
        <f>L177*3</f>
        <v>1.5</v>
      </c>
      <c r="M175" s="8">
        <v>3</v>
      </c>
      <c r="N175" s="8">
        <f t="shared" ref="N175:N177" si="0">L175*M175</f>
        <v>4.5</v>
      </c>
    </row>
    <row r="176" spans="1:18" s="28" customFormat="1" x14ac:dyDescent="0.15">
      <c r="D176" s="23" t="s">
        <v>117</v>
      </c>
      <c r="F176" s="23" t="s">
        <v>114</v>
      </c>
      <c r="H176" s="23"/>
      <c r="I176" s="23">
        <v>2</v>
      </c>
      <c r="K176" s="28" t="s">
        <v>119</v>
      </c>
      <c r="L176" s="8">
        <f>L177*2</f>
        <v>1</v>
      </c>
      <c r="M176" s="8">
        <v>3</v>
      </c>
      <c r="N176" s="8">
        <f t="shared" si="0"/>
        <v>3</v>
      </c>
    </row>
    <row r="177" spans="3:18" s="28" customFormat="1" x14ac:dyDescent="0.15">
      <c r="D177" s="23" t="s">
        <v>117</v>
      </c>
      <c r="F177" s="23" t="s">
        <v>114</v>
      </c>
      <c r="H177" s="23"/>
      <c r="I177" s="23">
        <v>1</v>
      </c>
      <c r="K177" s="28" t="s">
        <v>120</v>
      </c>
      <c r="L177" s="11">
        <v>0.5</v>
      </c>
      <c r="M177" s="8">
        <v>3</v>
      </c>
      <c r="N177" s="8">
        <f t="shared" si="0"/>
        <v>1.5</v>
      </c>
    </row>
    <row r="178" spans="3:18" s="28" customFormat="1" x14ac:dyDescent="0.15">
      <c r="D178" s="23" t="s">
        <v>117</v>
      </c>
      <c r="F178" s="23" t="s">
        <v>114</v>
      </c>
      <c r="H178" s="23"/>
      <c r="I178" s="23">
        <v>0</v>
      </c>
      <c r="L178" s="28" t="s">
        <v>124</v>
      </c>
      <c r="M178" s="28" t="s">
        <v>125</v>
      </c>
      <c r="N178" s="28" t="s">
        <v>126</v>
      </c>
      <c r="O178" s="28" t="s">
        <v>127</v>
      </c>
      <c r="P178" s="28" t="s">
        <v>121</v>
      </c>
    </row>
    <row r="179" spans="3:18" s="28" customFormat="1" ht="17.25" thickBot="1" x14ac:dyDescent="0.2">
      <c r="D179" s="48" t="s">
        <v>128</v>
      </c>
      <c r="E179" s="48"/>
      <c r="F179" s="48"/>
      <c r="G179" s="48"/>
      <c r="K179" s="28" t="s">
        <v>114</v>
      </c>
      <c r="L179" s="11">
        <v>2</v>
      </c>
      <c r="M179" s="8">
        <v>3</v>
      </c>
      <c r="N179" s="11">
        <v>0.1</v>
      </c>
      <c r="O179" s="28">
        <v>1</v>
      </c>
      <c r="P179" s="8">
        <f>L179*M179+N179*O179*M179</f>
        <v>6.3</v>
      </c>
    </row>
    <row r="180" spans="3:18" s="28" customFormat="1" x14ac:dyDescent="0.15">
      <c r="D180" s="28">
        <f>(E174*N174+G174*P179)*4/5</f>
        <v>4.8239999999999998</v>
      </c>
      <c r="L180" s="28" t="s">
        <v>124</v>
      </c>
      <c r="M180" s="28" t="s">
        <v>125</v>
      </c>
      <c r="N180" s="28" t="s">
        <v>121</v>
      </c>
    </row>
    <row r="181" spans="3:18" s="28" customFormat="1" x14ac:dyDescent="0.15">
      <c r="K181" s="28" t="s">
        <v>123</v>
      </c>
      <c r="L181" s="11">
        <v>0.5</v>
      </c>
      <c r="M181" s="28">
        <v>1</v>
      </c>
      <c r="N181" s="8">
        <v>1</v>
      </c>
    </row>
    <row r="182" spans="3:18" s="28" customFormat="1" x14ac:dyDescent="0.15">
      <c r="C182" s="28" t="s">
        <v>129</v>
      </c>
    </row>
    <row r="183" spans="3:18" s="28" customFormat="1" x14ac:dyDescent="0.15">
      <c r="D183" s="28" t="s">
        <v>116</v>
      </c>
      <c r="E183" s="8">
        <v>0.9</v>
      </c>
      <c r="F183" s="28" t="s">
        <v>115</v>
      </c>
      <c r="G183" s="8">
        <f>1-E183</f>
        <v>9.9999999999999978E-2</v>
      </c>
    </row>
    <row r="184" spans="3:18" s="28" customFormat="1" x14ac:dyDescent="0.15">
      <c r="D184" s="23" t="s">
        <v>130</v>
      </c>
      <c r="F184" s="23" t="s">
        <v>114</v>
      </c>
    </row>
    <row r="185" spans="3:18" s="28" customFormat="1" x14ac:dyDescent="0.15">
      <c r="D185" s="23" t="s">
        <v>130</v>
      </c>
      <c r="F185" s="23" t="s">
        <v>114</v>
      </c>
    </row>
    <row r="186" spans="3:18" s="28" customFormat="1" x14ac:dyDescent="0.15">
      <c r="D186" s="23" t="s">
        <v>131</v>
      </c>
      <c r="F186" s="23" t="s">
        <v>114</v>
      </c>
    </row>
    <row r="187" spans="3:18" s="28" customFormat="1" x14ac:dyDescent="0.15">
      <c r="D187" s="23" t="s">
        <v>118</v>
      </c>
      <c r="F187" s="23" t="s">
        <v>114</v>
      </c>
    </row>
    <row r="188" spans="3:18" s="28" customFormat="1" ht="17.25" thickBot="1" x14ac:dyDescent="0.2">
      <c r="D188" s="48" t="s">
        <v>132</v>
      </c>
      <c r="E188" s="48"/>
      <c r="F188" s="48"/>
      <c r="G188" s="48"/>
      <c r="P188" s="28" t="s">
        <v>122</v>
      </c>
      <c r="Q188" s="28">
        <v>1</v>
      </c>
    </row>
    <row r="189" spans="3:18" s="28" customFormat="1" x14ac:dyDescent="0.15">
      <c r="D189" s="28">
        <f>(E183*N175+G183*P179)*4/5</f>
        <v>3.7439999999999998</v>
      </c>
      <c r="R189" s="28">
        <f>0.5*0.1+0.5*0.05</f>
        <v>7.5000000000000011E-2</v>
      </c>
    </row>
    <row r="190" spans="3:18" s="28" customFormat="1" x14ac:dyDescent="0.15"/>
    <row r="191" spans="3:18" s="28" customFormat="1" x14ac:dyDescent="0.15">
      <c r="C191" s="28" t="s">
        <v>133</v>
      </c>
    </row>
    <row r="192" spans="3:18" s="28" customFormat="1" x14ac:dyDescent="0.15">
      <c r="D192" s="28" t="s">
        <v>116</v>
      </c>
      <c r="E192" s="8">
        <v>0.9</v>
      </c>
      <c r="F192" s="28" t="s">
        <v>115</v>
      </c>
      <c r="G192" s="8">
        <f>1-E192</f>
        <v>9.9999999999999978E-2</v>
      </c>
    </row>
    <row r="193" spans="3:18" s="28" customFormat="1" x14ac:dyDescent="0.15">
      <c r="D193" s="23" t="s">
        <v>134</v>
      </c>
      <c r="F193" s="23" t="s">
        <v>114</v>
      </c>
    </row>
    <row r="194" spans="3:18" s="28" customFormat="1" x14ac:dyDescent="0.15">
      <c r="D194" s="23" t="s">
        <v>134</v>
      </c>
      <c r="F194" s="23" t="s">
        <v>114</v>
      </c>
    </row>
    <row r="195" spans="3:18" s="28" customFormat="1" x14ac:dyDescent="0.15">
      <c r="D195" s="23" t="s">
        <v>135</v>
      </c>
      <c r="F195" s="23" t="s">
        <v>114</v>
      </c>
    </row>
    <row r="196" spans="3:18" s="28" customFormat="1" x14ac:dyDescent="0.15">
      <c r="D196" s="23" t="s">
        <v>134</v>
      </c>
      <c r="F196" s="23" t="s">
        <v>114</v>
      </c>
    </row>
    <row r="197" spans="3:18" s="28" customFormat="1" ht="17.25" thickBot="1" x14ac:dyDescent="0.2">
      <c r="D197" s="48" t="s">
        <v>132</v>
      </c>
      <c r="E197" s="48"/>
      <c r="F197" s="48"/>
      <c r="G197" s="48"/>
    </row>
    <row r="198" spans="3:18" s="28" customFormat="1" x14ac:dyDescent="0.15">
      <c r="D198" s="28">
        <f>(E192*N176+G192*P179)*4/5</f>
        <v>2.6640000000000001</v>
      </c>
      <c r="P198" s="28" t="s">
        <v>122</v>
      </c>
      <c r="Q198" s="28">
        <v>1</v>
      </c>
    </row>
    <row r="199" spans="3:18" s="28" customFormat="1" x14ac:dyDescent="0.15">
      <c r="R199" s="28">
        <f>0.5*1/3*0.1+0.5*(2/3+2/3)*0.05</f>
        <v>0.05</v>
      </c>
    </row>
    <row r="200" spans="3:18" s="28" customFormat="1" x14ac:dyDescent="0.15">
      <c r="C200" s="28" t="s">
        <v>136</v>
      </c>
    </row>
    <row r="201" spans="3:18" s="28" customFormat="1" x14ac:dyDescent="0.15">
      <c r="D201" s="28" t="s">
        <v>116</v>
      </c>
      <c r="E201" s="8">
        <v>0.9</v>
      </c>
      <c r="F201" s="28" t="s">
        <v>115</v>
      </c>
      <c r="G201" s="8">
        <f>1-E201</f>
        <v>9.9999999999999978E-2</v>
      </c>
    </row>
    <row r="202" spans="3:18" s="28" customFormat="1" x14ac:dyDescent="0.15">
      <c r="D202" s="23" t="s">
        <v>139</v>
      </c>
      <c r="F202" s="23" t="s">
        <v>114</v>
      </c>
    </row>
    <row r="203" spans="3:18" s="28" customFormat="1" x14ac:dyDescent="0.15">
      <c r="D203" s="23" t="s">
        <v>140</v>
      </c>
      <c r="F203" s="23" t="s">
        <v>114</v>
      </c>
    </row>
    <row r="204" spans="3:18" s="28" customFormat="1" x14ac:dyDescent="0.15">
      <c r="D204" s="23" t="s">
        <v>140</v>
      </c>
      <c r="F204" s="23" t="s">
        <v>114</v>
      </c>
    </row>
    <row r="205" spans="3:18" s="28" customFormat="1" x14ac:dyDescent="0.15">
      <c r="D205" s="23" t="s">
        <v>141</v>
      </c>
      <c r="F205" s="23" t="s">
        <v>114</v>
      </c>
      <c r="P205" s="28" t="s">
        <v>122</v>
      </c>
      <c r="Q205" s="28">
        <v>1</v>
      </c>
    </row>
    <row r="206" spans="3:18" s="28" customFormat="1" ht="17.25" thickBot="1" x14ac:dyDescent="0.2">
      <c r="D206" s="48" t="s">
        <v>132</v>
      </c>
      <c r="E206" s="48"/>
      <c r="F206" s="48"/>
      <c r="G206" s="48"/>
      <c r="R206" s="28">
        <f>0.5*0.05</f>
        <v>2.5000000000000001E-2</v>
      </c>
    </row>
    <row r="207" spans="3:18" s="28" customFormat="1" x14ac:dyDescent="0.15">
      <c r="D207" s="28">
        <f>(E201*N177+G201*P179)*4/5</f>
        <v>1.5840000000000001</v>
      </c>
    </row>
    <row r="208" spans="3:18" s="28" customFormat="1" x14ac:dyDescent="0.15"/>
    <row r="209" spans="3:17" s="28" customFormat="1" x14ac:dyDescent="0.15">
      <c r="C209" s="28" t="s">
        <v>137</v>
      </c>
    </row>
    <row r="210" spans="3:17" s="28" customFormat="1" x14ac:dyDescent="0.15">
      <c r="D210" s="28" t="s">
        <v>116</v>
      </c>
      <c r="E210" s="8">
        <v>1</v>
      </c>
      <c r="G210" s="8"/>
    </row>
    <row r="211" spans="3:17" s="28" customFormat="1" x14ac:dyDescent="0.15">
      <c r="D211" s="28" t="s">
        <v>123</v>
      </c>
      <c r="F211" s="23"/>
    </row>
    <row r="212" spans="3:17" s="28" customFormat="1" x14ac:dyDescent="0.15">
      <c r="D212" s="28" t="s">
        <v>123</v>
      </c>
      <c r="F212" s="23"/>
    </row>
    <row r="213" spans="3:17" s="28" customFormat="1" x14ac:dyDescent="0.15">
      <c r="D213" s="28" t="s">
        <v>123</v>
      </c>
      <c r="F213" s="23"/>
    </row>
    <row r="214" spans="3:17" s="28" customFormat="1" x14ac:dyDescent="0.15">
      <c r="D214" s="28" t="s">
        <v>123</v>
      </c>
      <c r="F214" s="23"/>
      <c r="P214" s="28" t="s">
        <v>122</v>
      </c>
      <c r="Q214" s="28">
        <v>1</v>
      </c>
    </row>
    <row r="215" spans="3:17" s="28" customFormat="1" x14ac:dyDescent="0.15"/>
    <row r="216" spans="3:17" s="28" customFormat="1" x14ac:dyDescent="0.15"/>
    <row r="217" spans="3:17" s="28" customFormat="1" x14ac:dyDescent="0.15">
      <c r="D217" s="28" t="s">
        <v>142</v>
      </c>
      <c r="E217" s="28">
        <v>0.5</v>
      </c>
      <c r="G217" s="28" t="s">
        <v>143</v>
      </c>
      <c r="I217" s="28">
        <v>1</v>
      </c>
      <c r="K217" s="28" t="s">
        <v>144</v>
      </c>
      <c r="L217" s="28">
        <v>1</v>
      </c>
    </row>
    <row r="218" spans="3:17" s="28" customFormat="1" x14ac:dyDescent="0.15"/>
    <row r="219" spans="3:17" s="28" customFormat="1" x14ac:dyDescent="0.15"/>
    <row r="220" spans="3:17" s="28" customFormat="1" x14ac:dyDescent="0.15"/>
    <row r="221" spans="3:17" s="28" customFormat="1" x14ac:dyDescent="0.15">
      <c r="C221" s="5" t="s">
        <v>146</v>
      </c>
      <c r="D221" s="5" t="s">
        <v>145</v>
      </c>
      <c r="E221" s="5" t="s">
        <v>9</v>
      </c>
      <c r="F221" s="5" t="s">
        <v>6</v>
      </c>
      <c r="G221" s="5" t="s">
        <v>7</v>
      </c>
      <c r="H221" s="5" t="s">
        <v>8</v>
      </c>
    </row>
    <row r="222" spans="3:17" s="28" customFormat="1" x14ac:dyDescent="0.15">
      <c r="C222" s="21">
        <v>700</v>
      </c>
      <c r="D222" s="38">
        <v>50</v>
      </c>
      <c r="E222" s="21">
        <f>D222</f>
        <v>50</v>
      </c>
      <c r="F222" s="5">
        <v>65</v>
      </c>
      <c r="G222" s="38">
        <f>F227+K227+P227</f>
        <v>235</v>
      </c>
      <c r="H222" s="5">
        <v>0.92896174863387981</v>
      </c>
    </row>
    <row r="223" spans="3:17" s="28" customFormat="1" x14ac:dyDescent="0.15"/>
    <row r="224" spans="3:17" s="28" customFormat="1" x14ac:dyDescent="0.15"/>
    <row r="225" spans="3:17" x14ac:dyDescent="0.15">
      <c r="C225" s="2" t="s">
        <v>44</v>
      </c>
      <c r="D225" s="3"/>
      <c r="E225" s="3"/>
      <c r="F225" s="3"/>
      <c r="G225" s="4"/>
      <c r="H225" s="2" t="s">
        <v>45</v>
      </c>
      <c r="I225" s="3"/>
      <c r="J225" s="3"/>
      <c r="K225" s="3"/>
      <c r="L225" s="4"/>
      <c r="M225" s="2" t="s">
        <v>3</v>
      </c>
      <c r="N225" s="3"/>
      <c r="O225" s="3"/>
      <c r="P225" s="3"/>
      <c r="Q225" s="3"/>
    </row>
    <row r="226" spans="3:17" x14ac:dyDescent="0.15">
      <c r="C226" s="5" t="s">
        <v>4</v>
      </c>
      <c r="D226" s="5" t="s">
        <v>5</v>
      </c>
      <c r="E226" s="5" t="s">
        <v>6</v>
      </c>
      <c r="F226" s="5" t="s">
        <v>7</v>
      </c>
      <c r="G226" s="5" t="s">
        <v>8</v>
      </c>
      <c r="H226" s="5" t="s">
        <v>4</v>
      </c>
      <c r="I226" s="5" t="s">
        <v>5</v>
      </c>
      <c r="J226" s="5" t="s">
        <v>6</v>
      </c>
      <c r="K226" s="5" t="s">
        <v>7</v>
      </c>
      <c r="L226" s="5" t="s">
        <v>8</v>
      </c>
      <c r="M226" s="5" t="s">
        <v>4</v>
      </c>
      <c r="N226" s="5" t="s">
        <v>5</v>
      </c>
      <c r="O226" s="5" t="s">
        <v>6</v>
      </c>
      <c r="P226" s="5" t="s">
        <v>7</v>
      </c>
      <c r="Q226" s="47" t="s">
        <v>8</v>
      </c>
    </row>
    <row r="227" spans="3:17" x14ac:dyDescent="0.15">
      <c r="C227" s="5">
        <v>913</v>
      </c>
      <c r="D227" s="5">
        <v>71</v>
      </c>
      <c r="E227" s="5">
        <v>81</v>
      </c>
      <c r="F227" s="5">
        <v>71</v>
      </c>
      <c r="G227" s="5">
        <v>0.9129967776584319</v>
      </c>
      <c r="H227" s="5">
        <v>468</v>
      </c>
      <c r="I227" s="5">
        <v>165</v>
      </c>
      <c r="J227" s="5">
        <v>38</v>
      </c>
      <c r="K227" s="5">
        <v>82</v>
      </c>
      <c r="L227" s="5">
        <v>0.9572072072072072</v>
      </c>
      <c r="M227" s="5">
        <v>614</v>
      </c>
      <c r="N227" s="5">
        <v>99</v>
      </c>
      <c r="O227" s="5">
        <v>65</v>
      </c>
      <c r="P227" s="5">
        <v>82</v>
      </c>
      <c r="Q227" s="47">
        <v>0.92896174863387981</v>
      </c>
    </row>
    <row r="228" spans="3:17" x14ac:dyDescent="0.15">
      <c r="C228" s="27"/>
      <c r="D228" s="27"/>
      <c r="E228" s="27"/>
      <c r="F228" s="27"/>
    </row>
    <row r="229" spans="3:17" x14ac:dyDescent="0.15">
      <c r="C229" s="27"/>
      <c r="D229" s="27"/>
      <c r="E229" s="27"/>
      <c r="F229" s="27"/>
    </row>
    <row r="230" spans="3:17" x14ac:dyDescent="0.15">
      <c r="C230" s="27" t="s">
        <v>10</v>
      </c>
      <c r="D230" s="27">
        <v>15</v>
      </c>
      <c r="E230" s="27"/>
      <c r="F230" s="27"/>
    </row>
    <row r="231" spans="3:17" x14ac:dyDescent="0.15">
      <c r="C231" s="27" t="s">
        <v>54</v>
      </c>
      <c r="D231" s="27">
        <v>0.01</v>
      </c>
      <c r="E231" s="27"/>
      <c r="F231" s="27"/>
    </row>
    <row r="232" spans="3:17" x14ac:dyDescent="0.15">
      <c r="C232" s="27" t="s">
        <v>94</v>
      </c>
      <c r="D232" s="27"/>
      <c r="E232" s="27"/>
      <c r="F232" s="27"/>
    </row>
    <row r="233" spans="3:17" x14ac:dyDescent="0.15">
      <c r="C233" s="27"/>
      <c r="D233" s="27" t="s">
        <v>56</v>
      </c>
      <c r="E233" s="27" t="s">
        <v>96</v>
      </c>
      <c r="F233" s="27"/>
    </row>
    <row r="234" spans="3:17" x14ac:dyDescent="0.15">
      <c r="C234" s="27"/>
      <c r="D234" s="39">
        <f>C227/G227+H227/L227+M227/Q227</f>
        <v>2149.8788235294114</v>
      </c>
      <c r="E234" s="39">
        <f>D227+I227+N227</f>
        <v>335</v>
      </c>
      <c r="F234" s="27"/>
      <c r="M234" s="1">
        <f>C222/E217</f>
        <v>1400</v>
      </c>
      <c r="O234" s="27">
        <f>SUM(O235:O245)/3</f>
        <v>1005</v>
      </c>
    </row>
    <row r="235" spans="3:17" x14ac:dyDescent="0.15">
      <c r="C235" s="27"/>
      <c r="D235" s="27"/>
      <c r="E235" s="27"/>
      <c r="F235" s="27">
        <f>SUM(F237:F247)/3</f>
        <v>965.70833333333337</v>
      </c>
      <c r="I235" s="1" t="s">
        <v>149</v>
      </c>
      <c r="L235" s="1">
        <v>1</v>
      </c>
      <c r="M235" s="1">
        <f>E234</f>
        <v>335</v>
      </c>
      <c r="O235" s="8">
        <f>(E174*N174+G174*P179)*D222*3</f>
        <v>904.5</v>
      </c>
    </row>
    <row r="236" spans="3:17" x14ac:dyDescent="0.15">
      <c r="C236" s="1" t="s">
        <v>147</v>
      </c>
      <c r="F236" s="1" t="s">
        <v>148</v>
      </c>
      <c r="I236" s="34" t="s">
        <v>117</v>
      </c>
      <c r="L236" s="1">
        <v>2</v>
      </c>
      <c r="M236" s="1">
        <f>M235*0.9</f>
        <v>301.5</v>
      </c>
      <c r="O236" s="1">
        <f>(E174*N174+G174*P179)*D222*2</f>
        <v>603</v>
      </c>
    </row>
    <row r="237" spans="3:17" x14ac:dyDescent="0.15">
      <c r="C237" s="1" t="s">
        <v>151</v>
      </c>
      <c r="D237" s="11">
        <v>300</v>
      </c>
      <c r="F237" s="8">
        <f>(E174*N174+G174*P179)*D222*3</f>
        <v>904.5</v>
      </c>
      <c r="I237" s="34" t="s">
        <v>117</v>
      </c>
      <c r="L237" s="1">
        <v>3</v>
      </c>
      <c r="M237" s="28">
        <f>M236</f>
        <v>301.5</v>
      </c>
      <c r="O237" s="8">
        <f>(E174*N174+G174*P179)*D222*3</f>
        <v>904.5</v>
      </c>
    </row>
    <row r="238" spans="3:17" ht="17.25" thickBot="1" x14ac:dyDescent="0.2">
      <c r="I238" s="54" t="s">
        <v>117</v>
      </c>
      <c r="L238" s="1">
        <v>4</v>
      </c>
      <c r="M238" s="28">
        <f>M237</f>
        <v>301.5</v>
      </c>
      <c r="O238" s="1">
        <f>(E174*N174+G174*P179)*D222*2</f>
        <v>603</v>
      </c>
      <c r="P238" s="1" t="s">
        <v>160</v>
      </c>
    </row>
    <row r="239" spans="3:17" x14ac:dyDescent="0.15">
      <c r="C239" s="28" t="s">
        <v>150</v>
      </c>
      <c r="D239" s="11">
        <v>300</v>
      </c>
      <c r="F239" s="8">
        <f>D222*(N175*E183+G183*P179)+(N176*E192+G192*P179)*D222*(1-R189)</f>
        <v>388.01250000000005</v>
      </c>
      <c r="I239" s="55" t="s">
        <v>130</v>
      </c>
    </row>
    <row r="240" spans="3:17" x14ac:dyDescent="0.15">
      <c r="I240" s="49" t="s">
        <v>132</v>
      </c>
    </row>
    <row r="241" spans="3:9" ht="17.25" thickBot="1" x14ac:dyDescent="0.2">
      <c r="C241" s="28" t="s">
        <v>152</v>
      </c>
      <c r="D241" s="11">
        <v>300</v>
      </c>
      <c r="F241" s="8">
        <f>(N176*E192+G192*P179)*D222*(1-R189)*3</f>
        <v>462.03750000000002</v>
      </c>
      <c r="G241" s="1" t="s">
        <v>154</v>
      </c>
      <c r="I241" s="50" t="s">
        <v>134</v>
      </c>
    </row>
    <row r="242" spans="3:9" x14ac:dyDescent="0.15">
      <c r="I242" s="56" t="s">
        <v>134</v>
      </c>
    </row>
    <row r="243" spans="3:9" x14ac:dyDescent="0.15">
      <c r="C243" s="28" t="s">
        <v>155</v>
      </c>
      <c r="D243" s="11">
        <v>300</v>
      </c>
      <c r="F243" s="8">
        <f>(N177*E201+G201*P179)*D222*(1-R206)*3</f>
        <v>289.57499999999999</v>
      </c>
      <c r="G243" s="28" t="s">
        <v>158</v>
      </c>
      <c r="I243" s="51" t="s">
        <v>134</v>
      </c>
    </row>
    <row r="244" spans="3:9" ht="17.25" thickBot="1" x14ac:dyDescent="0.2">
      <c r="I244" s="52" t="s">
        <v>134</v>
      </c>
    </row>
    <row r="245" spans="3:9" x14ac:dyDescent="0.15">
      <c r="C245" s="1" t="s">
        <v>159</v>
      </c>
      <c r="D245" s="1">
        <f>E234*2</f>
        <v>670</v>
      </c>
      <c r="F245" s="1">
        <f>N181*D222*5</f>
        <v>250</v>
      </c>
      <c r="I245" s="57" t="s">
        <v>153</v>
      </c>
    </row>
    <row r="246" spans="3:9" x14ac:dyDescent="0.15">
      <c r="I246" s="35" t="s">
        <v>156</v>
      </c>
    </row>
    <row r="247" spans="3:9" ht="17.25" thickBot="1" x14ac:dyDescent="0.2">
      <c r="D247" s="1">
        <f>(I227+N227)*E217</f>
        <v>132</v>
      </c>
      <c r="F247" s="28">
        <f>(E174*N174+G174*P179)*D222*2</f>
        <v>603</v>
      </c>
      <c r="I247" s="53" t="s">
        <v>157</v>
      </c>
    </row>
    <row r="248" spans="3:9" x14ac:dyDescent="0.15">
      <c r="I248" s="28" t="s">
        <v>123</v>
      </c>
    </row>
    <row r="249" spans="3:9" x14ac:dyDescent="0.15">
      <c r="I249" s="28" t="s">
        <v>123</v>
      </c>
    </row>
    <row r="250" spans="3:9" x14ac:dyDescent="0.15">
      <c r="I250" s="28" t="s">
        <v>123</v>
      </c>
    </row>
    <row r="251" spans="3:9" x14ac:dyDescent="0.15">
      <c r="I251" s="28" t="s">
        <v>123</v>
      </c>
    </row>
    <row r="252" spans="3:9" x14ac:dyDescent="0.15">
      <c r="I252" s="28" t="s">
        <v>123</v>
      </c>
    </row>
    <row r="253" spans="3:9" x14ac:dyDescent="0.15">
      <c r="I253" s="34" t="s">
        <v>117</v>
      </c>
    </row>
    <row r="254" spans="3:9" x14ac:dyDescent="0.15">
      <c r="I254" s="34" t="s">
        <v>117</v>
      </c>
    </row>
    <row r="255" spans="3:9" ht="17.25" thickBot="1" x14ac:dyDescent="0.2">
      <c r="I255" s="54" t="s">
        <v>117</v>
      </c>
    </row>
    <row r="258" spans="2:18" s="45" customFormat="1" x14ac:dyDescent="0.15"/>
    <row r="259" spans="2:18" x14ac:dyDescent="0.15">
      <c r="B259" s="31" t="s">
        <v>161</v>
      </c>
    </row>
    <row r="260" spans="2:18" x14ac:dyDescent="0.15">
      <c r="C260" s="1" t="s">
        <v>162</v>
      </c>
      <c r="N260" s="28" t="s">
        <v>124</v>
      </c>
      <c r="O260" s="28" t="s">
        <v>125</v>
      </c>
      <c r="P260" s="1" t="s">
        <v>166</v>
      </c>
      <c r="Q260" s="1" t="s">
        <v>168</v>
      </c>
    </row>
    <row r="261" spans="2:18" x14ac:dyDescent="0.15">
      <c r="D261" s="5" t="s">
        <v>146</v>
      </c>
      <c r="E261" s="5" t="s">
        <v>145</v>
      </c>
      <c r="F261" s="5" t="s">
        <v>9</v>
      </c>
      <c r="G261" s="5" t="s">
        <v>6</v>
      </c>
      <c r="H261" s="5" t="s">
        <v>7</v>
      </c>
      <c r="I261" s="5" t="s">
        <v>8</v>
      </c>
      <c r="M261" s="28" t="s">
        <v>164</v>
      </c>
      <c r="N261" s="1">
        <v>2</v>
      </c>
      <c r="O261" s="1">
        <v>1</v>
      </c>
      <c r="P261" s="1">
        <f>N261*O261</f>
        <v>2</v>
      </c>
      <c r="Q261" s="1">
        <v>0.2</v>
      </c>
    </row>
    <row r="262" spans="2:18" x14ac:dyDescent="0.15">
      <c r="D262" s="21">
        <v>1000</v>
      </c>
      <c r="E262" s="38">
        <v>1000</v>
      </c>
      <c r="F262" s="21">
        <f>E262</f>
        <v>1000</v>
      </c>
      <c r="G262" s="5">
        <v>288</v>
      </c>
      <c r="H262" s="58">
        <v>600</v>
      </c>
      <c r="I262" s="5">
        <v>0.87939698492462304</v>
      </c>
      <c r="M262" s="28" t="s">
        <v>165</v>
      </c>
      <c r="N262" s="1">
        <v>1</v>
      </c>
      <c r="O262" s="1">
        <v>3</v>
      </c>
      <c r="P262" s="28">
        <f>N262*O262</f>
        <v>3</v>
      </c>
      <c r="Q262" s="1">
        <v>0.8</v>
      </c>
    </row>
    <row r="264" spans="2:18" x14ac:dyDescent="0.15">
      <c r="C264" s="1" t="s">
        <v>167</v>
      </c>
      <c r="E264" s="1" t="s">
        <v>176</v>
      </c>
      <c r="F264" s="1">
        <v>2</v>
      </c>
      <c r="I264" s="1">
        <f>E298+J298+O298</f>
        <v>2554</v>
      </c>
      <c r="J264" s="1">
        <v>0.05</v>
      </c>
      <c r="K264" s="1">
        <f>I264*J264</f>
        <v>127.7</v>
      </c>
    </row>
    <row r="265" spans="2:18" x14ac:dyDescent="0.15">
      <c r="D265" s="1">
        <v>2000</v>
      </c>
      <c r="I265" s="1" t="s">
        <v>169</v>
      </c>
      <c r="J265" s="1">
        <f>K264/D262*2</f>
        <v>0.25540000000000002</v>
      </c>
    </row>
    <row r="267" spans="2:18" x14ac:dyDescent="0.15">
      <c r="D267" s="1" t="s">
        <v>170</v>
      </c>
    </row>
    <row r="268" spans="2:18" x14ac:dyDescent="0.15">
      <c r="D268" s="2" t="s">
        <v>44</v>
      </c>
      <c r="E268" s="3"/>
      <c r="F268" s="3"/>
      <c r="G268" s="3"/>
      <c r="H268" s="4"/>
      <c r="I268" s="2" t="s">
        <v>45</v>
      </c>
      <c r="J268" s="3"/>
      <c r="K268" s="3"/>
      <c r="L268" s="3"/>
      <c r="M268" s="4"/>
      <c r="N268" s="2" t="s">
        <v>3</v>
      </c>
      <c r="O268" s="3"/>
      <c r="P268" s="3"/>
      <c r="Q268" s="3"/>
      <c r="R268" s="4"/>
    </row>
    <row r="269" spans="2:18" x14ac:dyDescent="0.15">
      <c r="D269" s="5" t="s">
        <v>4</v>
      </c>
      <c r="E269" s="5" t="s">
        <v>5</v>
      </c>
      <c r="F269" s="5" t="s">
        <v>6</v>
      </c>
      <c r="G269" s="5" t="s">
        <v>7</v>
      </c>
      <c r="H269" s="5" t="s">
        <v>8</v>
      </c>
      <c r="I269" s="5" t="s">
        <v>4</v>
      </c>
      <c r="J269" s="5" t="s">
        <v>5</v>
      </c>
      <c r="K269" s="5" t="s">
        <v>6</v>
      </c>
      <c r="L269" s="5" t="s">
        <v>7</v>
      </c>
      <c r="M269" s="5" t="s">
        <v>8</v>
      </c>
      <c r="N269" s="5" t="s">
        <v>4</v>
      </c>
      <c r="O269" s="5" t="s">
        <v>5</v>
      </c>
      <c r="P269" s="5" t="s">
        <v>6</v>
      </c>
      <c r="Q269" s="5" t="s">
        <v>7</v>
      </c>
      <c r="R269" s="5" t="s">
        <v>8</v>
      </c>
    </row>
    <row r="270" spans="2:18" x14ac:dyDescent="0.15">
      <c r="D270" s="5">
        <v>5933</v>
      </c>
      <c r="E270" s="5">
        <v>544</v>
      </c>
      <c r="F270" s="5">
        <v>622</v>
      </c>
      <c r="G270" s="5">
        <v>544</v>
      </c>
      <c r="H270" s="5">
        <v>0.77149155033063932</v>
      </c>
      <c r="I270" s="5">
        <v>555</v>
      </c>
      <c r="J270" s="5">
        <v>1256</v>
      </c>
      <c r="K270" s="5">
        <v>288</v>
      </c>
      <c r="L270" s="5">
        <v>628</v>
      </c>
      <c r="M270" s="5">
        <v>0.87939698492462304</v>
      </c>
      <c r="N270" s="5">
        <v>3666</v>
      </c>
      <c r="O270" s="5">
        <v>754</v>
      </c>
      <c r="P270" s="5">
        <v>495</v>
      </c>
      <c r="Q270" s="5">
        <v>628</v>
      </c>
      <c r="R270" s="5">
        <v>0.80924855491329473</v>
      </c>
    </row>
    <row r="274" spans="3:18" x14ac:dyDescent="0.15">
      <c r="C274" s="28" t="s">
        <v>163</v>
      </c>
    </row>
    <row r="275" spans="3:18" x14ac:dyDescent="0.15">
      <c r="D275" s="5" t="s">
        <v>146</v>
      </c>
      <c r="E275" s="5" t="s">
        <v>145</v>
      </c>
      <c r="F275" s="5" t="s">
        <v>9</v>
      </c>
      <c r="G275" s="5" t="s">
        <v>6</v>
      </c>
      <c r="H275" s="5" t="s">
        <v>7</v>
      </c>
      <c r="I275" s="5" t="s">
        <v>8</v>
      </c>
      <c r="N275" s="28" t="s">
        <v>124</v>
      </c>
      <c r="O275" s="28" t="s">
        <v>125</v>
      </c>
      <c r="P275" s="1" t="s">
        <v>175</v>
      </c>
      <c r="Q275" s="28" t="s">
        <v>166</v>
      </c>
      <c r="R275" s="28"/>
    </row>
    <row r="276" spans="3:18" x14ac:dyDescent="0.15">
      <c r="D276" s="38">
        <v>7000</v>
      </c>
      <c r="E276" s="38">
        <v>900</v>
      </c>
      <c r="F276" s="38">
        <v>500</v>
      </c>
      <c r="G276" s="5">
        <v>288</v>
      </c>
      <c r="H276" s="19">
        <v>1200</v>
      </c>
      <c r="I276" s="5">
        <v>0.87939698492462304</v>
      </c>
      <c r="M276" s="28" t="s">
        <v>171</v>
      </c>
      <c r="N276" s="1">
        <v>1</v>
      </c>
      <c r="O276" s="1">
        <v>3</v>
      </c>
      <c r="Q276" s="1">
        <f>N276*O276</f>
        <v>3</v>
      </c>
      <c r="R276" s="1">
        <v>0.9</v>
      </c>
    </row>
    <row r="277" spans="3:18" x14ac:dyDescent="0.15">
      <c r="G277" s="1">
        <f>SUM(G279,G282)/3</f>
        <v>2520</v>
      </c>
      <c r="M277" s="28" t="s">
        <v>172</v>
      </c>
      <c r="N277" s="1">
        <v>1.5</v>
      </c>
      <c r="O277" s="1">
        <v>1</v>
      </c>
      <c r="P277" s="1">
        <v>1</v>
      </c>
      <c r="Q277" s="28">
        <f>N277*O277+P277</f>
        <v>2.5</v>
      </c>
      <c r="R277" s="1">
        <v>0.1</v>
      </c>
    </row>
    <row r="278" spans="3:18" ht="17.25" x14ac:dyDescent="0.15">
      <c r="D278" s="1" t="s">
        <v>176</v>
      </c>
      <c r="E278" s="1">
        <v>0.15</v>
      </c>
      <c r="G278" s="28" t="s">
        <v>148</v>
      </c>
      <c r="I278" s="1" t="s">
        <v>179</v>
      </c>
      <c r="M278" s="32" t="s">
        <v>173</v>
      </c>
      <c r="N278" s="1">
        <v>0.4</v>
      </c>
      <c r="O278" s="1">
        <v>3</v>
      </c>
      <c r="Q278" s="28">
        <f>N278*O278</f>
        <v>1.2000000000000002</v>
      </c>
      <c r="R278" s="28">
        <v>0.9</v>
      </c>
    </row>
    <row r="279" spans="3:18" ht="17.25" x14ac:dyDescent="0.15">
      <c r="D279" s="1" t="s">
        <v>177</v>
      </c>
      <c r="E279" s="1">
        <f>E278*E280</f>
        <v>330</v>
      </c>
      <c r="G279" s="1">
        <f>(Q276*E276)*2</f>
        <v>5400</v>
      </c>
      <c r="H279" s="28">
        <f>(Q277*F276)*2</f>
        <v>2500</v>
      </c>
      <c r="I279" s="1">
        <f>Q276*E276</f>
        <v>2700</v>
      </c>
      <c r="J279" s="1">
        <f>(Q277*F276)</f>
        <v>1250</v>
      </c>
      <c r="M279" s="32" t="s">
        <v>174</v>
      </c>
      <c r="N279" s="1">
        <v>0.7</v>
      </c>
      <c r="O279" s="1">
        <v>1</v>
      </c>
      <c r="Q279" s="28">
        <f>N279*O279</f>
        <v>0.7</v>
      </c>
      <c r="R279" s="28">
        <v>0.1</v>
      </c>
    </row>
    <row r="280" spans="3:18" x14ac:dyDescent="0.15">
      <c r="E280" s="11">
        <f>2200</f>
        <v>2200</v>
      </c>
      <c r="G280" s="1">
        <f>R276*R276</f>
        <v>0.81</v>
      </c>
      <c r="H280" s="1">
        <f>R277*R277</f>
        <v>1.0000000000000002E-2</v>
      </c>
      <c r="I280" s="59">
        <f>R276*R277*2</f>
        <v>0.18000000000000002</v>
      </c>
      <c r="J280" s="59"/>
    </row>
    <row r="282" spans="3:18" x14ac:dyDescent="0.15">
      <c r="D282" s="28" t="s">
        <v>178</v>
      </c>
      <c r="E282" s="28">
        <f>E278*E283</f>
        <v>330</v>
      </c>
      <c r="G282" s="28">
        <f>(Q278*E276)*2</f>
        <v>2160.0000000000005</v>
      </c>
      <c r="H282" s="1">
        <f>(Q277*F276)*2</f>
        <v>2500</v>
      </c>
      <c r="I282" s="1">
        <f>Q278*E276</f>
        <v>1080.0000000000002</v>
      </c>
      <c r="J282" s="1">
        <f>Q277*F276</f>
        <v>1250</v>
      </c>
    </row>
    <row r="283" spans="3:18" x14ac:dyDescent="0.15">
      <c r="E283" s="11">
        <v>2200</v>
      </c>
      <c r="G283" s="28">
        <f>R278*R278</f>
        <v>0.81</v>
      </c>
      <c r="H283" s="1">
        <f>R277*R277</f>
        <v>1.0000000000000002E-2</v>
      </c>
      <c r="I283" s="59">
        <f>R278*R277*2</f>
        <v>0.18000000000000002</v>
      </c>
      <c r="J283" s="59"/>
    </row>
    <row r="285" spans="3:18" x14ac:dyDescent="0.15">
      <c r="D285" s="2" t="s">
        <v>44</v>
      </c>
      <c r="E285" s="3"/>
      <c r="F285" s="3"/>
      <c r="G285" s="3"/>
      <c r="H285" s="4"/>
      <c r="I285" s="2" t="s">
        <v>45</v>
      </c>
      <c r="J285" s="3"/>
      <c r="K285" s="3"/>
      <c r="L285" s="3"/>
      <c r="M285" s="4"/>
      <c r="N285" s="2" t="s">
        <v>3</v>
      </c>
      <c r="O285" s="3"/>
      <c r="P285" s="3"/>
      <c r="Q285" s="3"/>
      <c r="R285" s="4"/>
    </row>
    <row r="286" spans="3:18" x14ac:dyDescent="0.15">
      <c r="D286" s="5" t="s">
        <v>4</v>
      </c>
      <c r="E286" s="5" t="s">
        <v>5</v>
      </c>
      <c r="F286" s="5" t="s">
        <v>6</v>
      </c>
      <c r="G286" s="5" t="s">
        <v>7</v>
      </c>
      <c r="H286" s="5" t="s">
        <v>8</v>
      </c>
      <c r="I286" s="5" t="s">
        <v>4</v>
      </c>
      <c r="J286" s="5" t="s">
        <v>5</v>
      </c>
      <c r="K286" s="5" t="s">
        <v>6</v>
      </c>
      <c r="L286" s="5" t="s">
        <v>7</v>
      </c>
      <c r="M286" s="5" t="s">
        <v>8</v>
      </c>
      <c r="N286" s="5" t="s">
        <v>4</v>
      </c>
      <c r="O286" s="5" t="s">
        <v>5</v>
      </c>
      <c r="P286" s="5" t="s">
        <v>6</v>
      </c>
      <c r="Q286" s="5" t="s">
        <v>7</v>
      </c>
      <c r="R286" s="5" t="s">
        <v>8</v>
      </c>
    </row>
    <row r="287" spans="3:18" x14ac:dyDescent="0.15">
      <c r="D287" s="5">
        <f>D270-G277</f>
        <v>3413</v>
      </c>
      <c r="E287" s="5">
        <v>544</v>
      </c>
      <c r="F287" s="5">
        <v>622</v>
      </c>
      <c r="G287" s="5">
        <v>544</v>
      </c>
      <c r="H287" s="5">
        <v>0.77149155033063932</v>
      </c>
      <c r="I287" s="5">
        <f>I298-G277+G279/6</f>
        <v>1935</v>
      </c>
      <c r="J287" s="5">
        <v>1256</v>
      </c>
      <c r="K287" s="5">
        <v>288</v>
      </c>
      <c r="L287" s="5">
        <v>628</v>
      </c>
      <c r="M287" s="5">
        <v>0.87939698492462304</v>
      </c>
      <c r="N287" s="5">
        <f>N270-G277</f>
        <v>1146</v>
      </c>
      <c r="O287" s="5">
        <v>754</v>
      </c>
      <c r="P287" s="5">
        <v>495</v>
      </c>
      <c r="Q287" s="5">
        <v>628</v>
      </c>
      <c r="R287" s="5">
        <v>0.80924855491329473</v>
      </c>
    </row>
    <row r="289" spans="4:18" s="28" customFormat="1" x14ac:dyDescent="0.15">
      <c r="G289" s="28">
        <f>SUM(G290,G292,G294)/3</f>
        <v>2160.0000000000005</v>
      </c>
    </row>
    <row r="290" spans="4:18" s="28" customFormat="1" x14ac:dyDescent="0.15">
      <c r="D290" s="28" t="s">
        <v>109</v>
      </c>
      <c r="E290" s="28">
        <v>2200</v>
      </c>
      <c r="G290" s="28">
        <f>(Q278*E276)*2</f>
        <v>2160.0000000000005</v>
      </c>
    </row>
    <row r="291" spans="4:18" s="28" customFormat="1" x14ac:dyDescent="0.15"/>
    <row r="292" spans="4:18" s="28" customFormat="1" x14ac:dyDescent="0.15">
      <c r="E292" s="28">
        <v>2200</v>
      </c>
      <c r="G292" s="28">
        <f>(Q278*E276)*2</f>
        <v>2160.0000000000005</v>
      </c>
      <c r="H292" s="28" t="s">
        <v>180</v>
      </c>
    </row>
    <row r="293" spans="4:18" s="28" customFormat="1" x14ac:dyDescent="0.15"/>
    <row r="294" spans="4:18" x14ac:dyDescent="0.15">
      <c r="E294" s="1">
        <v>2200</v>
      </c>
      <c r="G294" s="28">
        <f>(Q278*E276)*2</f>
        <v>2160.0000000000005</v>
      </c>
      <c r="H294" s="28" t="s">
        <v>181</v>
      </c>
    </row>
    <row r="296" spans="4:18" x14ac:dyDescent="0.15">
      <c r="D296" s="2" t="s">
        <v>44</v>
      </c>
      <c r="E296" s="3"/>
      <c r="F296" s="3"/>
      <c r="G296" s="3"/>
      <c r="H296" s="4"/>
      <c r="I296" s="2" t="s">
        <v>45</v>
      </c>
      <c r="J296" s="3"/>
      <c r="K296" s="3"/>
      <c r="L296" s="3"/>
      <c r="M296" s="4"/>
      <c r="N296" s="2" t="s">
        <v>3</v>
      </c>
      <c r="O296" s="3"/>
      <c r="P296" s="3"/>
      <c r="Q296" s="3"/>
      <c r="R296" s="4"/>
    </row>
    <row r="297" spans="4:18" x14ac:dyDescent="0.15">
      <c r="D297" s="5" t="s">
        <v>4</v>
      </c>
      <c r="E297" s="5" t="s">
        <v>5</v>
      </c>
      <c r="F297" s="5" t="s">
        <v>6</v>
      </c>
      <c r="G297" s="5" t="s">
        <v>7</v>
      </c>
      <c r="H297" s="5" t="s">
        <v>8</v>
      </c>
      <c r="I297" s="5" t="s">
        <v>4</v>
      </c>
      <c r="J297" s="5" t="s">
        <v>5</v>
      </c>
      <c r="K297" s="5" t="s">
        <v>6</v>
      </c>
      <c r="L297" s="5" t="s">
        <v>7</v>
      </c>
      <c r="M297" s="5" t="s">
        <v>8</v>
      </c>
      <c r="N297" s="5" t="s">
        <v>4</v>
      </c>
      <c r="O297" s="5" t="s">
        <v>5</v>
      </c>
      <c r="P297" s="5" t="s">
        <v>6</v>
      </c>
      <c r="Q297" s="5" t="s">
        <v>7</v>
      </c>
      <c r="R297" s="5" t="s">
        <v>8</v>
      </c>
    </row>
    <row r="298" spans="4:18" x14ac:dyDescent="0.15">
      <c r="D298" s="5">
        <v>6933</v>
      </c>
      <c r="E298" s="5">
        <v>544</v>
      </c>
      <c r="F298" s="5">
        <v>622</v>
      </c>
      <c r="G298" s="5">
        <v>544</v>
      </c>
      <c r="H298" s="5">
        <v>0.77149155033063932</v>
      </c>
      <c r="I298" s="5">
        <v>3555</v>
      </c>
      <c r="J298" s="5">
        <v>1256</v>
      </c>
      <c r="K298" s="5">
        <v>288</v>
      </c>
      <c r="L298" s="5">
        <v>628</v>
      </c>
      <c r="M298" s="5">
        <v>0.87939698492462304</v>
      </c>
      <c r="N298" s="5">
        <v>4666</v>
      </c>
      <c r="O298" s="5">
        <v>754</v>
      </c>
      <c r="P298" s="5">
        <v>495</v>
      </c>
      <c r="Q298" s="5">
        <v>628</v>
      </c>
      <c r="R298" s="5">
        <v>0.80924855491329473</v>
      </c>
    </row>
  </sheetData>
  <mergeCells count="24">
    <mergeCell ref="N268:R268"/>
    <mergeCell ref="I280:J280"/>
    <mergeCell ref="I283:J283"/>
    <mergeCell ref="D285:H285"/>
    <mergeCell ref="I285:M285"/>
    <mergeCell ref="N285:R285"/>
    <mergeCell ref="C225:G225"/>
    <mergeCell ref="H225:L225"/>
    <mergeCell ref="M225:Q225"/>
    <mergeCell ref="D296:H296"/>
    <mergeCell ref="I296:M296"/>
    <mergeCell ref="N296:R296"/>
    <mergeCell ref="D268:H268"/>
    <mergeCell ref="I268:M268"/>
    <mergeCell ref="D151:H151"/>
    <mergeCell ref="I151:M151"/>
    <mergeCell ref="N151:R151"/>
    <mergeCell ref="D145:H145"/>
    <mergeCell ref="J145:N145"/>
    <mergeCell ref="K13:N13"/>
    <mergeCell ref="D74:G74"/>
    <mergeCell ref="D78:H78"/>
    <mergeCell ref="I78:M78"/>
    <mergeCell ref="N78:R7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2015-08-12T08:08:28Z</dcterms:created>
  <dcterms:modified xsi:type="dcterms:W3CDTF">2015-08-13T15:03:20Z</dcterms:modified>
</cp:coreProperties>
</file>