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360" yWindow="90" windowWidth="28035" windowHeight="12330"/>
  </bookViews>
  <sheets>
    <sheet name="职业定位属性配比" sheetId="1" r:id="rId1"/>
    <sheet name="AI" sheetId="2" r:id="rId2"/>
    <sheet name="技能实现" sheetId="3" r:id="rId3"/>
  </sheets>
  <calcPr calcId="152511"/>
</workbook>
</file>

<file path=xl/calcChain.xml><?xml version="1.0" encoding="utf-8"?>
<calcChain xmlns="http://schemas.openxmlformats.org/spreadsheetml/2006/main">
  <c r="E66" i="3" l="1"/>
  <c r="E67" i="3"/>
  <c r="E65" i="3"/>
  <c r="E22" i="3" l="1"/>
  <c r="D62" i="3"/>
  <c r="E48" i="3"/>
  <c r="E49" i="3"/>
  <c r="E47" i="3"/>
  <c r="G45" i="3"/>
  <c r="G44" i="3"/>
  <c r="G43" i="3"/>
  <c r="G42" i="3"/>
  <c r="H43" i="3" s="1"/>
  <c r="I43" i="3" s="1"/>
  <c r="H40" i="3"/>
  <c r="G40" i="3"/>
  <c r="H41" i="3" s="1"/>
  <c r="I41" i="3" s="1"/>
  <c r="G41" i="3"/>
  <c r="H42" i="3" s="1"/>
  <c r="I42" i="3" s="1"/>
  <c r="U55" i="1"/>
  <c r="H44" i="3" l="1"/>
  <c r="I44" i="3" s="1"/>
  <c r="H45" i="3"/>
  <c r="I45" i="3" s="1"/>
  <c r="J10" i="3" l="1"/>
  <c r="I10" i="3"/>
  <c r="G10" i="3"/>
  <c r="E10" i="3"/>
  <c r="D10" i="3"/>
  <c r="J9" i="3"/>
  <c r="I9" i="3"/>
  <c r="H9" i="3"/>
  <c r="G9" i="3"/>
  <c r="F9" i="3"/>
  <c r="E9" i="3"/>
  <c r="D9" i="3"/>
  <c r="D4" i="3"/>
  <c r="D5" i="3"/>
  <c r="D3" i="3"/>
  <c r="C28" i="3"/>
  <c r="E34" i="3" s="1"/>
  <c r="D28" i="3"/>
  <c r="C29" i="3"/>
  <c r="E35" i="3" s="1"/>
  <c r="D29" i="3"/>
  <c r="D27" i="3"/>
  <c r="C27" i="3"/>
  <c r="E33" i="3" s="1"/>
  <c r="H67" i="1"/>
  <c r="D66" i="1"/>
  <c r="D65" i="1"/>
  <c r="E65" i="1"/>
  <c r="E66" i="1"/>
  <c r="H65" i="1"/>
  <c r="H66" i="1"/>
  <c r="J66" i="1"/>
  <c r="I65" i="1"/>
  <c r="I67" i="1"/>
  <c r="D67" i="1"/>
  <c r="G64" i="1"/>
  <c r="D10" i="1"/>
  <c r="D9" i="1"/>
  <c r="H9" i="1"/>
  <c r="C4" i="1"/>
  <c r="C3" i="1"/>
  <c r="H46" i="1"/>
  <c r="AA53" i="1"/>
  <c r="AA51" i="1"/>
  <c r="AA49" i="1"/>
  <c r="E15" i="3" l="1"/>
  <c r="F15" i="3"/>
  <c r="D15" i="3"/>
  <c r="G15" i="3" s="1"/>
  <c r="D16" i="3"/>
  <c r="G16" i="3" s="1"/>
  <c r="E23" i="3" s="1"/>
  <c r="E16" i="3"/>
  <c r="F16" i="3"/>
  <c r="F20" i="3"/>
  <c r="E20" i="3"/>
  <c r="G20" i="3"/>
  <c r="H20" i="3"/>
  <c r="C5" i="1"/>
  <c r="D5" i="1" s="1"/>
  <c r="E58" i="1"/>
  <c r="D58" i="1"/>
  <c r="C58" i="1"/>
  <c r="H10" i="1"/>
  <c r="H11" i="1"/>
  <c r="C57" i="1" l="1"/>
  <c r="D57" i="1"/>
  <c r="E57" i="1"/>
  <c r="D56" i="1"/>
  <c r="E56" i="1"/>
  <c r="C56" i="1"/>
  <c r="D70" i="1" l="1"/>
  <c r="J74" i="1"/>
  <c r="I74" i="1"/>
  <c r="H74" i="1"/>
  <c r="G74" i="1"/>
  <c r="F74" i="1"/>
  <c r="E74" i="1"/>
  <c r="D74" i="1"/>
  <c r="J70" i="1"/>
  <c r="I70" i="1"/>
  <c r="H70" i="1"/>
  <c r="G70" i="1"/>
  <c r="F70" i="1"/>
  <c r="E70" i="1"/>
  <c r="J64" i="1"/>
  <c r="I64" i="1"/>
  <c r="H64" i="1"/>
  <c r="F64" i="1"/>
  <c r="E64" i="1"/>
  <c r="D64" i="1"/>
  <c r="E71" i="1" l="1"/>
  <c r="I71" i="1"/>
  <c r="J57" i="1" s="1"/>
  <c r="U56" i="1" s="1"/>
  <c r="D83" i="1" s="1"/>
  <c r="D71" i="1"/>
  <c r="G71" i="1"/>
  <c r="D75" i="1"/>
  <c r="I75" i="1"/>
  <c r="K57" i="1" s="1"/>
  <c r="V56" i="1" s="1"/>
  <c r="E75" i="1"/>
  <c r="G75" i="1"/>
  <c r="J75" i="1"/>
  <c r="J71" i="1"/>
  <c r="C59" i="1"/>
  <c r="K56" i="1" l="1"/>
  <c r="J56" i="1"/>
  <c r="C60" i="1"/>
  <c r="E59" i="1"/>
  <c r="E83" i="1" s="1"/>
  <c r="E81" i="1" s="1"/>
  <c r="D59" i="1"/>
  <c r="D60" i="1"/>
  <c r="E60" i="1"/>
  <c r="J58" i="1" l="1"/>
  <c r="K58" i="1"/>
  <c r="V55" i="1"/>
  <c r="D81" i="1"/>
  <c r="D80" i="1"/>
  <c r="E80" i="1"/>
  <c r="D11" i="1"/>
  <c r="V57" i="1" l="1"/>
  <c r="E82" i="1"/>
  <c r="E84" i="1" s="1"/>
  <c r="U57" i="1"/>
  <c r="D82" i="1"/>
  <c r="D84" i="1" s="1"/>
  <c r="AF10" i="1" l="1"/>
  <c r="AE10" i="1"/>
  <c r="AD10" i="1"/>
  <c r="AF9" i="1"/>
  <c r="AE9" i="1"/>
  <c r="AD9" i="1"/>
  <c r="Y10" i="1"/>
  <c r="X10" i="1"/>
  <c r="W10" i="1"/>
  <c r="Y9" i="1"/>
  <c r="X9" i="1"/>
  <c r="W9" i="1"/>
  <c r="Q10" i="1"/>
  <c r="R10" i="1"/>
  <c r="P10" i="1"/>
  <c r="Q9" i="1"/>
  <c r="R9" i="1"/>
  <c r="P9" i="1"/>
  <c r="AD12" i="1" l="1"/>
  <c r="AF11" i="1"/>
  <c r="AE11" i="1"/>
  <c r="AE13" i="1" s="1"/>
  <c r="AD11" i="1"/>
  <c r="AD13" i="1" s="1"/>
  <c r="AF12" i="1"/>
  <c r="AE12" i="1"/>
  <c r="C12" i="1"/>
  <c r="Y11" i="1"/>
  <c r="X11" i="1"/>
  <c r="W11" i="1"/>
  <c r="AR10" i="1"/>
  <c r="AR11" i="1"/>
  <c r="AR9" i="1"/>
  <c r="AQ10" i="1"/>
  <c r="AQ11" i="1"/>
  <c r="AQ9" i="1"/>
  <c r="AP10" i="1"/>
  <c r="AP11" i="1"/>
  <c r="AP9" i="1"/>
  <c r="AM10" i="1"/>
  <c r="AM11" i="1"/>
  <c r="AM9" i="1"/>
  <c r="AK10" i="1"/>
  <c r="AK11" i="1"/>
  <c r="AK9" i="1"/>
  <c r="AL10" i="1"/>
  <c r="AL11" i="1"/>
  <c r="AL9" i="1"/>
  <c r="Q11" i="1"/>
  <c r="R11" i="1"/>
  <c r="P11" i="1"/>
  <c r="J11" i="1"/>
  <c r="K11" i="1"/>
  <c r="I11" i="1"/>
  <c r="I10" i="1"/>
  <c r="J10" i="1"/>
  <c r="K10" i="1"/>
  <c r="J9" i="1"/>
  <c r="K9" i="1"/>
  <c r="I9" i="1"/>
  <c r="F12" i="1"/>
  <c r="G12" i="1"/>
  <c r="E12" i="1"/>
  <c r="E13" i="1"/>
  <c r="F13" i="1"/>
  <c r="G13" i="1"/>
  <c r="C13" i="1"/>
  <c r="AF13" i="1" l="1"/>
  <c r="AG13" i="1" s="1"/>
  <c r="AF19" i="1"/>
  <c r="AE18" i="1"/>
  <c r="AF20" i="1"/>
  <c r="AE19" i="1"/>
  <c r="AD18" i="1"/>
  <c r="AF18" i="1"/>
  <c r="AE20" i="1"/>
  <c r="AD19" i="1"/>
  <c r="AD20" i="1"/>
  <c r="AF17" i="1"/>
  <c r="AE17" i="1"/>
  <c r="AD17" i="1"/>
  <c r="AL13" i="1"/>
  <c r="AQ13" i="1"/>
  <c r="AM13" i="1"/>
  <c r="AK13" i="1"/>
  <c r="Y12" i="1"/>
  <c r="AR13" i="1"/>
  <c r="AL12" i="1"/>
  <c r="AP13" i="1"/>
  <c r="AR12" i="1"/>
  <c r="AP12" i="1"/>
  <c r="Q12" i="1"/>
  <c r="Q17" i="1" s="1"/>
  <c r="R12" i="1"/>
  <c r="Y13" i="1"/>
  <c r="W13" i="1"/>
  <c r="W12" i="1"/>
  <c r="X13" i="1"/>
  <c r="X12" i="1"/>
  <c r="AQ12" i="1"/>
  <c r="AM12" i="1"/>
  <c r="AK12" i="1"/>
  <c r="J12" i="1"/>
  <c r="J17" i="1" s="1"/>
  <c r="K12" i="1"/>
  <c r="M17" i="1" s="1"/>
  <c r="Q13" i="1"/>
  <c r="I12" i="1"/>
  <c r="P12" i="1"/>
  <c r="I13" i="1"/>
  <c r="K13" i="1"/>
  <c r="J13" i="1"/>
  <c r="R13" i="1"/>
  <c r="P13" i="1"/>
  <c r="K17" i="1" l="1"/>
  <c r="I17" i="1"/>
  <c r="J20" i="1"/>
  <c r="C38" i="1"/>
  <c r="AF14" i="1"/>
  <c r="X14" i="1"/>
  <c r="Y14" i="1"/>
  <c r="K20" i="1"/>
  <c r="K22" i="1"/>
  <c r="K21" i="1"/>
  <c r="I22" i="1"/>
  <c r="J22" i="1"/>
  <c r="J21" i="1"/>
  <c r="AI17" i="1"/>
  <c r="I20" i="1"/>
  <c r="K18" i="1"/>
  <c r="AI19" i="1"/>
  <c r="AI18" i="1"/>
  <c r="X20" i="1"/>
  <c r="W19" i="1"/>
  <c r="W17" i="1"/>
  <c r="Y19" i="1"/>
  <c r="X18" i="1"/>
  <c r="X19" i="1"/>
  <c r="W20" i="1"/>
  <c r="Y18" i="1"/>
  <c r="Y17" i="1"/>
  <c r="X17" i="1"/>
  <c r="Y20" i="1"/>
  <c r="W18" i="1"/>
  <c r="P19" i="1"/>
  <c r="P18" i="1"/>
  <c r="R19" i="1"/>
  <c r="R18" i="1"/>
  <c r="R20" i="1"/>
  <c r="P20" i="1"/>
  <c r="Q20" i="1"/>
  <c r="Q18" i="1"/>
  <c r="Q19" i="1"/>
  <c r="AI20" i="1"/>
  <c r="R17" i="1"/>
  <c r="P17" i="1"/>
  <c r="J19" i="1"/>
  <c r="L17" i="1"/>
  <c r="J18" i="1"/>
  <c r="I18" i="1"/>
  <c r="K19" i="1"/>
  <c r="I19" i="1"/>
  <c r="I21" i="1"/>
  <c r="AN13" i="1"/>
  <c r="L13" i="1"/>
  <c r="K14" i="1" s="1"/>
  <c r="S13" i="1"/>
  <c r="R14" i="1" s="1"/>
  <c r="Z13" i="1"/>
  <c r="AP21" i="1"/>
  <c r="N20" i="1" l="1"/>
  <c r="G29" i="1" s="1"/>
  <c r="N17" i="1"/>
  <c r="N21" i="1"/>
  <c r="E67" i="1"/>
  <c r="I57" i="1"/>
  <c r="U19" i="1"/>
  <c r="I27" i="1" s="1"/>
  <c r="AB20" i="1"/>
  <c r="J28" i="1" s="1"/>
  <c r="N22" i="1"/>
  <c r="U18" i="1"/>
  <c r="U20" i="1"/>
  <c r="J27" i="1" s="1"/>
  <c r="AB17" i="1"/>
  <c r="AB19" i="1"/>
  <c r="AB18" i="1"/>
  <c r="N19" i="1"/>
  <c r="I26" i="1" s="1"/>
  <c r="U17" i="1"/>
  <c r="N18" i="1"/>
  <c r="I56" i="1" l="1"/>
  <c r="T56" i="1"/>
  <c r="C83" i="1" s="1"/>
  <c r="C80" i="1" s="1"/>
  <c r="G27" i="1"/>
  <c r="J26" i="1"/>
  <c r="I58" i="1"/>
  <c r="I29" i="1"/>
  <c r="H28" i="1"/>
  <c r="H26" i="1"/>
  <c r="G28" i="1"/>
  <c r="H29" i="1"/>
  <c r="T55" i="1" l="1"/>
  <c r="C81" i="1"/>
  <c r="T57" i="1" l="1"/>
  <c r="C82" i="1"/>
  <c r="C84" i="1" s="1"/>
</calcChain>
</file>

<file path=xl/comments1.xml><?xml version="1.0" encoding="utf-8"?>
<comments xmlns="http://schemas.openxmlformats.org/spreadsheetml/2006/main">
  <authors>
    <author>mtong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辛炜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>增益效果去除，平衡技能在考虑是对</t>
        </r>
        <r>
          <rPr>
            <sz val="9"/>
            <color indexed="81"/>
            <rFont val="Tahoma"/>
            <family val="2"/>
          </rPr>
          <t>A</t>
        </r>
        <r>
          <rPr>
            <sz val="9"/>
            <color indexed="81"/>
            <rFont val="宋体"/>
            <family val="3"/>
            <charset val="134"/>
          </rPr>
          <t>的效果，还是对</t>
        </r>
        <r>
          <rPr>
            <sz val="9"/>
            <color indexed="81"/>
            <rFont val="Tahoma"/>
            <family val="2"/>
          </rPr>
          <t>H,</t>
        </r>
        <r>
          <rPr>
            <sz val="9"/>
            <color indexed="81"/>
            <rFont val="宋体"/>
            <family val="3"/>
            <charset val="134"/>
          </rPr>
          <t>做属性削减即可（这样，技能时突出了倾向性，会对战斗时间有一定影响，战力平衡则不会变化）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<sst xmlns="http://schemas.openxmlformats.org/spreadsheetml/2006/main" count="299" uniqueCount="176">
  <si>
    <t>血</t>
    <phoneticPr fontId="1" type="noConversion"/>
  </si>
  <si>
    <t>攻</t>
    <phoneticPr fontId="1" type="noConversion"/>
  </si>
  <si>
    <t>防御</t>
    <phoneticPr fontId="1" type="noConversion"/>
  </si>
  <si>
    <t>T</t>
    <phoneticPr fontId="1" type="noConversion"/>
  </si>
  <si>
    <t>D</t>
    <phoneticPr fontId="1" type="noConversion"/>
  </si>
  <si>
    <t>S</t>
    <phoneticPr fontId="1" type="noConversion"/>
  </si>
  <si>
    <t>生命</t>
    <phoneticPr fontId="1" type="noConversion"/>
  </si>
  <si>
    <t>S攻</t>
    <phoneticPr fontId="1" type="noConversion"/>
  </si>
  <si>
    <t>S防</t>
    <phoneticPr fontId="1" type="noConversion"/>
  </si>
  <si>
    <t>攻增</t>
    <phoneticPr fontId="1" type="noConversion"/>
  </si>
  <si>
    <t>防增</t>
    <phoneticPr fontId="1" type="noConversion"/>
  </si>
  <si>
    <t>需要重要目标血量刨除刺杀型技能伤害（不受嘲讽影响的）</t>
    <phoneticPr fontId="1" type="noConversion"/>
  </si>
  <si>
    <t>先倒T，在倒D，最后S</t>
    <phoneticPr fontId="1" type="noConversion"/>
  </si>
  <si>
    <t>3人</t>
    <phoneticPr fontId="1" type="noConversion"/>
  </si>
  <si>
    <t>5人</t>
    <phoneticPr fontId="1" type="noConversion"/>
  </si>
  <si>
    <t>T，D，T，D，S</t>
    <phoneticPr fontId="1" type="noConversion"/>
  </si>
  <si>
    <t>攻增VS攻增</t>
    <phoneticPr fontId="1" type="noConversion"/>
  </si>
  <si>
    <t>防增VS防增</t>
    <phoneticPr fontId="1" type="noConversion"/>
  </si>
  <si>
    <t>战力</t>
    <phoneticPr fontId="1" type="noConversion"/>
  </si>
  <si>
    <t>纯防</t>
    <phoneticPr fontId="1" type="noConversion"/>
  </si>
  <si>
    <t>伤害吸引</t>
    <phoneticPr fontId="1" type="noConversion"/>
  </si>
  <si>
    <t>防增VS攻增</t>
    <phoneticPr fontId="1" type="noConversion"/>
  </si>
  <si>
    <t>纯DVS攻增</t>
    <phoneticPr fontId="1" type="noConversion"/>
  </si>
  <si>
    <t>攻增VS防增</t>
    <phoneticPr fontId="1" type="noConversion"/>
  </si>
  <si>
    <t>S加成</t>
    <phoneticPr fontId="1" type="noConversion"/>
  </si>
  <si>
    <t>DSS VS DSS</t>
    <phoneticPr fontId="1" type="noConversion"/>
  </si>
  <si>
    <t>DSSVS攻增</t>
    <phoneticPr fontId="1" type="noConversion"/>
  </si>
  <si>
    <t>纯攻</t>
    <phoneticPr fontId="1" type="noConversion"/>
  </si>
  <si>
    <t>DSS</t>
    <phoneticPr fontId="1" type="noConversion"/>
  </si>
  <si>
    <t>攻增VSDSS</t>
    <phoneticPr fontId="1" type="noConversion"/>
  </si>
  <si>
    <t>防增VSDSS</t>
    <phoneticPr fontId="1" type="noConversion"/>
  </si>
  <si>
    <t>纯D VS DSS</t>
    <phoneticPr fontId="1" type="noConversion"/>
  </si>
  <si>
    <t>纯防VS DSS</t>
    <phoneticPr fontId="1" type="noConversion"/>
  </si>
  <si>
    <t>纯防VS防增</t>
    <phoneticPr fontId="1" type="noConversion"/>
  </si>
  <si>
    <t>纯DVS防增</t>
    <phoneticPr fontId="1" type="noConversion"/>
  </si>
  <si>
    <t>纯防VS攻增</t>
    <phoneticPr fontId="1" type="noConversion"/>
  </si>
  <si>
    <t>攻增VS纯攻</t>
    <phoneticPr fontId="1" type="noConversion"/>
  </si>
  <si>
    <t>防增VS纯攻</t>
    <phoneticPr fontId="1" type="noConversion"/>
  </si>
  <si>
    <t>纯D VS 纯攻</t>
    <phoneticPr fontId="1" type="noConversion"/>
  </si>
  <si>
    <t>纯防VS 纯攻</t>
    <phoneticPr fontId="1" type="noConversion"/>
  </si>
  <si>
    <t>攻增VS纯防</t>
    <phoneticPr fontId="1" type="noConversion"/>
  </si>
  <si>
    <t>防增VS纯防</t>
    <phoneticPr fontId="1" type="noConversion"/>
  </si>
  <si>
    <t>纯D VS 纯防</t>
    <phoneticPr fontId="1" type="noConversion"/>
  </si>
  <si>
    <t>纯防VS 纯防</t>
    <phoneticPr fontId="1" type="noConversion"/>
  </si>
  <si>
    <t>均基础</t>
    <phoneticPr fontId="1" type="noConversion"/>
  </si>
  <si>
    <t>均团</t>
    <phoneticPr fontId="1" type="noConversion"/>
  </si>
  <si>
    <t>需要整体血量刨除aoe</t>
    <phoneticPr fontId="1" type="noConversion"/>
  </si>
  <si>
    <t>DDS</t>
    <phoneticPr fontId="1" type="noConversion"/>
  </si>
  <si>
    <t>T</t>
    <phoneticPr fontId="1" type="noConversion"/>
  </si>
  <si>
    <t>D</t>
    <phoneticPr fontId="1" type="noConversion"/>
  </si>
  <si>
    <t>S</t>
    <phoneticPr fontId="1" type="noConversion"/>
  </si>
  <si>
    <t>DSSVS防增</t>
    <phoneticPr fontId="1" type="noConversion"/>
  </si>
  <si>
    <t>DDSVS防增</t>
    <phoneticPr fontId="1" type="noConversion"/>
  </si>
  <si>
    <t>DDSVSDSS</t>
    <phoneticPr fontId="1" type="noConversion"/>
  </si>
  <si>
    <t>DSS VS 纯攻</t>
    <phoneticPr fontId="1" type="noConversion"/>
  </si>
  <si>
    <t>DDSVS纯攻</t>
    <phoneticPr fontId="1" type="noConversion"/>
  </si>
  <si>
    <t>DSS VS 纯防</t>
    <phoneticPr fontId="1" type="noConversion"/>
  </si>
  <si>
    <t>DDSVS 纯防</t>
    <phoneticPr fontId="1" type="noConversion"/>
  </si>
  <si>
    <t>DDSVS攻增</t>
    <phoneticPr fontId="1" type="noConversion"/>
  </si>
  <si>
    <t>(纯攻击与纯防御存在明显缺陷，故之后不作考虑)</t>
    <phoneticPr fontId="1" type="noConversion"/>
  </si>
  <si>
    <t>SUM</t>
    <phoneticPr fontId="1" type="noConversion"/>
  </si>
  <si>
    <t>S</t>
    <phoneticPr fontId="1" type="noConversion"/>
  </si>
  <si>
    <t>攻增</t>
    <phoneticPr fontId="1" type="noConversion"/>
  </si>
  <si>
    <t>防增</t>
    <phoneticPr fontId="1" type="noConversion"/>
  </si>
  <si>
    <t>DSS</t>
    <phoneticPr fontId="1" type="noConversion"/>
  </si>
  <si>
    <t>DDS</t>
    <phoneticPr fontId="1" type="noConversion"/>
  </si>
  <si>
    <t>/</t>
    <phoneticPr fontId="1" type="noConversion"/>
  </si>
  <si>
    <t>DDSVSDDS</t>
    <phoneticPr fontId="1" type="noConversion"/>
  </si>
  <si>
    <t>攻增VSDDS</t>
    <phoneticPr fontId="1" type="noConversion"/>
  </si>
  <si>
    <t>防增VSDDS</t>
    <phoneticPr fontId="1" type="noConversion"/>
  </si>
  <si>
    <t>DSS VS DDS</t>
    <phoneticPr fontId="1" type="noConversion"/>
  </si>
  <si>
    <t>1表示为赢</t>
    <phoneticPr fontId="1" type="noConversion"/>
  </si>
  <si>
    <t>0表示为输</t>
    <phoneticPr fontId="1" type="noConversion"/>
  </si>
  <si>
    <t>T吸收伤害的途径</t>
    <phoneticPr fontId="1" type="noConversion"/>
  </si>
  <si>
    <t>1.大招</t>
    <phoneticPr fontId="1" type="noConversion"/>
  </si>
  <si>
    <t>2.被动</t>
    <phoneticPr fontId="1" type="noConversion"/>
  </si>
  <si>
    <t>由上表可以看出目前TDS，S为防御型辅助的阵容为最强，但是这些需要建立在T能够吸收80%伤害的基础上（非AOE的伤害与非刺杀型伤害），由于目前AI自动选择为血量最少的作为目标（小怪自动集火DPS）</t>
    <phoneticPr fontId="1" type="noConversion"/>
  </si>
  <si>
    <t>由于目前AI自动选择为血量最少的作为目标（小怪自动集火DPS），定义为80%为玩家手动集火DPS时，T替DPS分担伤害后，T与DPS同时死</t>
    <phoneticPr fontId="1" type="noConversion"/>
  </si>
  <si>
    <t>物理攻击权重</t>
  </si>
  <si>
    <t>法术攻击权重</t>
  </si>
  <si>
    <t>治疗法术权重，与法术攻击权重互斥</t>
  </si>
  <si>
    <t>增益效果攻击权重</t>
  </si>
  <si>
    <t>减益效果权重，和gainWeight互斥</t>
  </si>
  <si>
    <t>防御效果权重</t>
  </si>
  <si>
    <t>有自身嘲讽buff防御的权重，与防御互斥</t>
  </si>
  <si>
    <t>对应AI系数</t>
    <phoneticPr fontId="1" type="noConversion"/>
  </si>
  <si>
    <t>AI序号</t>
    <phoneticPr fontId="1" type="noConversion"/>
  </si>
  <si>
    <t>单位：行动</t>
    <phoneticPr fontId="1" type="noConversion"/>
  </si>
  <si>
    <t>占比</t>
    <phoneticPr fontId="1" type="noConversion"/>
  </si>
  <si>
    <t>T</t>
    <phoneticPr fontId="1" type="noConversion"/>
  </si>
  <si>
    <t>以上定义的TDS属性分配为总战力分配：包括了属性、技能、AI对总战力的影响，其中技能对于战力的提升定义为固定比例，则AI会决定怪物的属性强弱（属性需要凸显出不同职业的倾向，则需要与AI平衡定）</t>
    <phoneticPr fontId="1" type="noConversion"/>
  </si>
  <si>
    <t>属性与AI占比</t>
    <phoneticPr fontId="1" type="noConversion"/>
  </si>
  <si>
    <t>D</t>
    <phoneticPr fontId="1" type="noConversion"/>
  </si>
  <si>
    <t>S</t>
    <phoneticPr fontId="1" type="noConversion"/>
  </si>
  <si>
    <t>D</t>
    <phoneticPr fontId="1" type="noConversion"/>
  </si>
  <si>
    <t>属性规划</t>
    <phoneticPr fontId="1" type="noConversion"/>
  </si>
  <si>
    <t>最终占比</t>
    <phoneticPr fontId="1" type="noConversion"/>
  </si>
  <si>
    <t>生命</t>
    <phoneticPr fontId="1" type="noConversion"/>
  </si>
  <si>
    <t>均值</t>
    <phoneticPr fontId="1" type="noConversion"/>
  </si>
  <si>
    <t>防御技能</t>
    <phoneticPr fontId="1" type="noConversion"/>
  </si>
  <si>
    <t>攻击技能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</si>
  <si>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</si>
  <si>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</si>
  <si>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</si>
  <si>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物理</t>
    <phoneticPr fontId="1" type="noConversion"/>
  </si>
  <si>
    <t>法术</t>
    <phoneticPr fontId="1" type="noConversion"/>
  </si>
  <si>
    <t>防御技能价值</t>
    <phoneticPr fontId="1" type="noConversion"/>
  </si>
  <si>
    <t>战力</t>
    <phoneticPr fontId="1" type="noConversion"/>
  </si>
  <si>
    <t>减伤</t>
    <phoneticPr fontId="1" type="noConversion"/>
  </si>
  <si>
    <t>DSS</t>
    <phoneticPr fontId="1" type="noConversion"/>
  </si>
  <si>
    <t>DDS（DDD）</t>
    <phoneticPr fontId="1" type="noConversion"/>
  </si>
  <si>
    <t>双S</t>
    <phoneticPr fontId="1" type="noConversion"/>
  </si>
  <si>
    <t>团队增益</t>
    <phoneticPr fontId="1" type="noConversion"/>
  </si>
  <si>
    <t>S先死丧失战力</t>
    <phoneticPr fontId="1" type="noConversion"/>
  </si>
  <si>
    <t>增益效果去除，平衡技能在考虑是对A的效果，还是对H,做属性削减即可（这样，技能时突出了倾向性，会对战斗时间有一定影响，战力平衡则不会变化）</t>
    <phoneticPr fontId="1" type="noConversion"/>
  </si>
  <si>
    <t>DPS大招类型</t>
    <phoneticPr fontId="1" type="noConversion"/>
  </si>
  <si>
    <t>提升A</t>
    <phoneticPr fontId="1" type="noConversion"/>
  </si>
  <si>
    <t>提升H</t>
    <phoneticPr fontId="1" type="noConversion"/>
  </si>
  <si>
    <t>T大招类型</t>
    <phoneticPr fontId="1" type="noConversion"/>
  </si>
  <si>
    <t>S大招类型</t>
    <phoneticPr fontId="1" type="noConversion"/>
  </si>
  <si>
    <t>提升</t>
    <phoneticPr fontId="1" type="noConversion"/>
  </si>
  <si>
    <t>大招综合提升</t>
    <phoneticPr fontId="1" type="noConversion"/>
  </si>
  <si>
    <t>被动综合提升</t>
    <phoneticPr fontId="1" type="noConversion"/>
  </si>
  <si>
    <t>技能总值</t>
    <phoneticPr fontId="1" type="noConversion"/>
  </si>
  <si>
    <t>x+y=1.1</t>
    <phoneticPr fontId="1" type="noConversion"/>
  </si>
  <si>
    <t>x=4y</t>
    <phoneticPr fontId="1" type="noConversion"/>
  </si>
  <si>
    <t>技能系数</t>
    <phoneticPr fontId="1" type="noConversion"/>
  </si>
  <si>
    <t>（需要用减益效果的权重替代增益效果）</t>
    <phoneticPr fontId="1" type="noConversion"/>
  </si>
  <si>
    <t>普通技能技能系数</t>
    <phoneticPr fontId="1" type="noConversion"/>
  </si>
  <si>
    <t>物理</t>
  </si>
  <si>
    <t>物理</t>
    <phoneticPr fontId="1" type="noConversion"/>
  </si>
  <si>
    <t>法术</t>
    <phoneticPr fontId="1" type="noConversion"/>
  </si>
  <si>
    <t>buff提升幅度</t>
    <phoneticPr fontId="1" type="noConversion"/>
  </si>
  <si>
    <t>S的覆盖率</t>
    <phoneticPr fontId="1" type="noConversion"/>
  </si>
  <si>
    <t>Buff覆盖率（团队）</t>
    <phoneticPr fontId="1" type="noConversion"/>
  </si>
  <si>
    <t>持续时间</t>
    <phoneticPr fontId="1" type="noConversion"/>
  </si>
  <si>
    <t>buff覆盖率</t>
    <phoneticPr fontId="1" type="noConversion"/>
  </si>
  <si>
    <t>T</t>
    <phoneticPr fontId="1" type="noConversion"/>
  </si>
  <si>
    <t>提升比例差异</t>
    <phoneticPr fontId="1" type="noConversion"/>
  </si>
  <si>
    <t>单体提升期望</t>
    <phoneticPr fontId="1" type="noConversion"/>
  </si>
  <si>
    <t>防增（只会提升防御力）</t>
    <phoneticPr fontId="1" type="noConversion"/>
  </si>
  <si>
    <t>使用次数</t>
    <phoneticPr fontId="1" type="noConversion"/>
  </si>
  <si>
    <t>使用概率</t>
    <phoneticPr fontId="1" type="noConversion"/>
  </si>
  <si>
    <t>持续时间内，使用buff技能次数与概率</t>
    <phoneticPr fontId="1" type="noConversion"/>
  </si>
  <si>
    <t>攻增</t>
    <phoneticPr fontId="1" type="noConversion"/>
  </si>
  <si>
    <t>buff价值</t>
    <phoneticPr fontId="1" type="noConversion"/>
  </si>
  <si>
    <t>普通技能占比</t>
    <phoneticPr fontId="1" type="noConversion"/>
  </si>
  <si>
    <t>(Buff对技能覆盖暂未考虑)</t>
    <phoneticPr fontId="1" type="noConversion"/>
  </si>
  <si>
    <t>物理技能</t>
    <phoneticPr fontId="1" type="noConversion"/>
  </si>
  <si>
    <t>单伤</t>
  </si>
  <si>
    <t>三连击</t>
    <phoneticPr fontId="1" type="noConversion"/>
  </si>
  <si>
    <t>打断价值</t>
    <phoneticPr fontId="1" type="noConversion"/>
  </si>
  <si>
    <t>物理攻击次数</t>
    <phoneticPr fontId="1" type="noConversion"/>
  </si>
  <si>
    <t>打断概率</t>
    <phoneticPr fontId="1" type="noConversion"/>
  </si>
  <si>
    <t>价值</t>
    <phoneticPr fontId="1" type="noConversion"/>
  </si>
  <si>
    <t>总价值</t>
    <phoneticPr fontId="1" type="noConversion"/>
  </si>
  <si>
    <t>打断概率</t>
    <phoneticPr fontId="1" type="noConversion"/>
  </si>
  <si>
    <t>法术技能</t>
    <phoneticPr fontId="1" type="noConversion"/>
  </si>
  <si>
    <t>根据属性克制状态分布：</t>
  </si>
  <si>
    <t>状态1</t>
  </si>
  <si>
    <t>状态2</t>
  </si>
  <si>
    <t>状态3</t>
  </si>
  <si>
    <t>效率期望</t>
  </si>
  <si>
    <t>稀有度系数</t>
  </si>
  <si>
    <t>投放参考值</t>
  </si>
  <si>
    <t>属性</t>
  </si>
  <si>
    <t>概率</t>
  </si>
  <si>
    <t>效率</t>
  </si>
  <si>
    <t>中间计算过程</t>
  </si>
  <si>
    <t>黑</t>
  </si>
  <si>
    <t>白</t>
  </si>
  <si>
    <t>红</t>
  </si>
  <si>
    <t>绿</t>
  </si>
  <si>
    <t>蓝</t>
  </si>
  <si>
    <t>平均效率</t>
    <phoneticPr fontId="1" type="noConversion"/>
  </si>
  <si>
    <t>系数低了是因为打断有价值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</si>
</sst>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8" tint="0.3999755851924192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9" fontId="2" fillId="2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2" fillId="0" borderId="2" xfId="0" applyFont="1" applyFill="1" applyBorder="1">
      <alignment vertical="center"/>
    </xf>
    <xf numFmtId="0" fontId="2" fillId="0" borderId="1" xfId="0" applyFont="1" applyFill="1" applyBorder="1">
      <alignment vertical="center"/>
    </xf>
    <xf numFmtId="10" fontId="2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10" fontId="5" fillId="0" borderId="0" xfId="0" applyNumberFormat="1" applyFont="1">
      <alignment vertical="center"/>
    </xf>
    <xf numFmtId="0" fontId="6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9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1" applyFont="1" applyFill="1">
      <alignment vertical="center"/>
    </xf>
    <xf numFmtId="0" fontId="2" fillId="3" borderId="0" xfId="0" applyFont="1" applyFill="1">
      <alignment vertical="center"/>
    </xf>
    <xf numFmtId="0" fontId="13" fillId="0" borderId="0" xfId="1" applyFont="1" applyFill="1">
      <alignment vertical="center"/>
    </xf>
    <xf numFmtId="0" fontId="14" fillId="0" borderId="0" xfId="0" applyFont="1">
      <alignment vertical="center"/>
    </xf>
    <xf numFmtId="0" fontId="2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3" fillId="4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638175</xdr:colOff>
      <xdr:row>23</xdr:row>
      <xdr:rowOff>190500</xdr:rowOff>
    </xdr:from>
    <xdr:ext cx="466794" cy="334451"/>
    <xdr:sp macro="" textlink="">
      <xdr:nvSpPr>
        <xdr:cNvPr id="2" name="文本框 1"/>
        <xdr:cNvSpPr txBox="1"/>
      </xdr:nvSpPr>
      <xdr:spPr>
        <a:xfrm>
          <a:off x="4752975" y="48006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攻方</a:t>
          </a:r>
        </a:p>
      </xdr:txBody>
    </xdr:sp>
    <xdr:clientData/>
  </xdr:oneCellAnchor>
  <xdr:oneCellAnchor>
    <xdr:from>
      <xdr:col>5</xdr:col>
      <xdr:colOff>304800</xdr:colOff>
      <xdr:row>23</xdr:row>
      <xdr:rowOff>133350</xdr:rowOff>
    </xdr:from>
    <xdr:ext cx="466794" cy="334451"/>
    <xdr:sp macro="" textlink="">
      <xdr:nvSpPr>
        <xdr:cNvPr id="3" name="文本框 2"/>
        <xdr:cNvSpPr txBox="1"/>
      </xdr:nvSpPr>
      <xdr:spPr>
        <a:xfrm>
          <a:off x="3733800" y="474345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守方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84"/>
  <sheetViews>
    <sheetView tabSelected="1" zoomScale="85" zoomScaleNormal="85" workbookViewId="0">
      <selection activeCell="U71" sqref="U71"/>
    </sheetView>
  </sheetViews>
  <sheetFormatPr defaultRowHeight="16.5" x14ac:dyDescent="0.15"/>
  <cols>
    <col min="1" max="7" width="9" style="1"/>
    <col min="8" max="8" width="11.625" style="1" customWidth="1"/>
    <col min="9" max="9" width="9.625" style="1" bestFit="1" customWidth="1"/>
    <col min="10" max="14" width="9" style="1"/>
    <col min="15" max="15" width="11.75" style="1" bestFit="1" customWidth="1"/>
    <col min="16" max="21" width="9" style="1"/>
    <col min="22" max="22" width="12.625" style="1" bestFit="1" customWidth="1"/>
    <col min="23" max="35" width="9" style="1"/>
    <col min="36" max="36" width="11.75" style="1" bestFit="1" customWidth="1"/>
    <col min="37" max="40" width="9" style="1"/>
    <col min="41" max="41" width="12.875" style="1" bestFit="1" customWidth="1"/>
    <col min="42" max="16384" width="9" style="1"/>
  </cols>
  <sheetData>
    <row r="2" spans="2:44" x14ac:dyDescent="0.15">
      <c r="B2" s="1" t="s">
        <v>24</v>
      </c>
      <c r="D2" s="1" t="s">
        <v>112</v>
      </c>
    </row>
    <row r="3" spans="2:44" x14ac:dyDescent="0.15">
      <c r="B3" s="3" t="s">
        <v>9</v>
      </c>
      <c r="C3" s="4">
        <f>1+D3</f>
        <v>1.3</v>
      </c>
      <c r="D3" s="19">
        <v>0.3</v>
      </c>
    </row>
    <row r="4" spans="2:44" x14ac:dyDescent="0.15">
      <c r="B4" s="3" t="s">
        <v>10</v>
      </c>
      <c r="C4" s="4">
        <f>1+D4</f>
        <v>1.35</v>
      </c>
      <c r="D4" s="19">
        <v>0.35</v>
      </c>
      <c r="W4" s="3"/>
    </row>
    <row r="5" spans="2:44" x14ac:dyDescent="0.15">
      <c r="B5" s="3" t="s">
        <v>111</v>
      </c>
      <c r="C5" s="4">
        <f>C3*C4</f>
        <v>1.7550000000000001</v>
      </c>
      <c r="D5" s="12">
        <f>C5-1</f>
        <v>0.75500000000000012</v>
      </c>
      <c r="W5" s="3"/>
    </row>
    <row r="6" spans="2:44" x14ac:dyDescent="0.15">
      <c r="I6" s="3"/>
      <c r="W6" s="3"/>
    </row>
    <row r="7" spans="2:44" x14ac:dyDescent="0.15">
      <c r="I7" s="21" t="s">
        <v>9</v>
      </c>
      <c r="J7" s="21"/>
      <c r="K7" s="21"/>
      <c r="L7" s="6"/>
      <c r="M7" s="6"/>
      <c r="N7" s="6"/>
      <c r="P7" s="21" t="s">
        <v>10</v>
      </c>
      <c r="Q7" s="21"/>
      <c r="R7" s="21"/>
      <c r="S7" s="6"/>
      <c r="T7" s="6"/>
      <c r="U7" s="6"/>
      <c r="W7" s="21" t="s">
        <v>28</v>
      </c>
      <c r="X7" s="21"/>
      <c r="Y7" s="21"/>
      <c r="Z7" s="6"/>
      <c r="AA7" s="6"/>
      <c r="AB7" s="6"/>
      <c r="AC7" s="6"/>
      <c r="AD7" s="21" t="s">
        <v>47</v>
      </c>
      <c r="AE7" s="21"/>
      <c r="AF7" s="21"/>
      <c r="AG7" s="6"/>
      <c r="AH7" s="6"/>
      <c r="AI7" s="6"/>
      <c r="AK7" s="21" t="s">
        <v>27</v>
      </c>
      <c r="AL7" s="21"/>
      <c r="AM7" s="21"/>
      <c r="AN7" s="6"/>
      <c r="AP7" s="21" t="s">
        <v>19</v>
      </c>
      <c r="AQ7" s="21"/>
      <c r="AR7" s="21"/>
    </row>
    <row r="8" spans="2:44" x14ac:dyDescent="0.15">
      <c r="C8" s="2" t="s">
        <v>44</v>
      </c>
      <c r="D8" s="2" t="s">
        <v>45</v>
      </c>
      <c r="E8" s="2" t="s">
        <v>3</v>
      </c>
      <c r="F8" s="2" t="s">
        <v>4</v>
      </c>
      <c r="G8" s="2" t="s">
        <v>5</v>
      </c>
      <c r="H8" s="2" t="s">
        <v>98</v>
      </c>
      <c r="I8" s="2" t="s">
        <v>3</v>
      </c>
      <c r="J8" s="2" t="s">
        <v>4</v>
      </c>
      <c r="K8" s="2" t="s">
        <v>7</v>
      </c>
      <c r="L8" s="2"/>
      <c r="M8" s="2"/>
      <c r="N8" s="2"/>
      <c r="P8" s="2" t="s">
        <v>3</v>
      </c>
      <c r="Q8" s="2" t="s">
        <v>4</v>
      </c>
      <c r="R8" s="2" t="s">
        <v>8</v>
      </c>
      <c r="S8" s="2"/>
      <c r="T8" s="2"/>
      <c r="U8" s="2"/>
      <c r="V8" s="2"/>
      <c r="W8" s="2" t="s">
        <v>4</v>
      </c>
      <c r="X8" s="2" t="s">
        <v>7</v>
      </c>
      <c r="Y8" s="2" t="s">
        <v>8</v>
      </c>
      <c r="Z8" s="2"/>
      <c r="AA8" s="2"/>
      <c r="AB8" s="2"/>
      <c r="AC8" s="2"/>
      <c r="AD8" s="2" t="s">
        <v>4</v>
      </c>
      <c r="AE8" s="2" t="s">
        <v>4</v>
      </c>
      <c r="AF8" s="2" t="s">
        <v>8</v>
      </c>
      <c r="AG8" s="2"/>
      <c r="AH8" s="2"/>
      <c r="AI8" s="2"/>
      <c r="AK8" s="2" t="s">
        <v>4</v>
      </c>
      <c r="AL8" s="2" t="s">
        <v>4</v>
      </c>
      <c r="AM8" s="2" t="s">
        <v>4</v>
      </c>
      <c r="AN8" s="2"/>
    </row>
    <row r="9" spans="2:44" x14ac:dyDescent="0.15">
      <c r="B9" s="3" t="s">
        <v>0</v>
      </c>
      <c r="C9" s="1">
        <v>4</v>
      </c>
      <c r="D9" s="1">
        <f>C9</f>
        <v>4</v>
      </c>
      <c r="E9" s="17">
        <v>8</v>
      </c>
      <c r="F9" s="17">
        <v>2</v>
      </c>
      <c r="G9" s="17">
        <v>3</v>
      </c>
      <c r="H9" s="20">
        <f>AVERAGE(E9:G9)*3/2</f>
        <v>6.5</v>
      </c>
      <c r="I9" s="4">
        <f>E9</f>
        <v>8</v>
      </c>
      <c r="J9" s="4">
        <f>F9</f>
        <v>2</v>
      </c>
      <c r="K9" s="4">
        <f>G9</f>
        <v>3</v>
      </c>
      <c r="L9" s="4"/>
      <c r="M9" s="5"/>
      <c r="N9" s="5"/>
      <c r="P9" s="4">
        <f>E9</f>
        <v>8</v>
      </c>
      <c r="Q9" s="4">
        <f t="shared" ref="Q9:R9" si="0">F9</f>
        <v>2</v>
      </c>
      <c r="R9" s="4">
        <f t="shared" si="0"/>
        <v>3</v>
      </c>
      <c r="S9" s="4"/>
      <c r="T9" s="5"/>
      <c r="U9" s="5"/>
      <c r="V9" s="5"/>
      <c r="W9" s="4">
        <f>F9</f>
        <v>2</v>
      </c>
      <c r="X9" s="4">
        <f>G9</f>
        <v>3</v>
      </c>
      <c r="Y9" s="4">
        <f>G9</f>
        <v>3</v>
      </c>
      <c r="Z9" s="4"/>
      <c r="AA9" s="5"/>
      <c r="AB9" s="5"/>
      <c r="AC9" s="5"/>
      <c r="AD9" s="4">
        <f>F9</f>
        <v>2</v>
      </c>
      <c r="AE9" s="4">
        <f>F9</f>
        <v>2</v>
      </c>
      <c r="AF9" s="4">
        <f>G9</f>
        <v>3</v>
      </c>
      <c r="AG9" s="4"/>
      <c r="AH9" s="5"/>
      <c r="AI9" s="5"/>
      <c r="AK9" s="4">
        <f>F9</f>
        <v>2</v>
      </c>
      <c r="AL9" s="4">
        <f>F9</f>
        <v>2</v>
      </c>
      <c r="AM9" s="4">
        <f>F9</f>
        <v>2</v>
      </c>
      <c r="AN9" s="4"/>
      <c r="AP9" s="4">
        <f>E9</f>
        <v>8</v>
      </c>
      <c r="AQ9" s="4">
        <f>E9</f>
        <v>8</v>
      </c>
      <c r="AR9" s="4">
        <f>E9</f>
        <v>8</v>
      </c>
    </row>
    <row r="10" spans="2:44" x14ac:dyDescent="0.15">
      <c r="B10" s="3" t="s">
        <v>2</v>
      </c>
      <c r="C10" s="1">
        <v>1.5</v>
      </c>
      <c r="D10" s="1">
        <f>C10*(1+D4)</f>
        <v>2.0250000000000004</v>
      </c>
      <c r="E10" s="17">
        <v>1.5</v>
      </c>
      <c r="F10" s="17">
        <v>1</v>
      </c>
      <c r="G10" s="17">
        <v>1.5</v>
      </c>
      <c r="H10" s="20">
        <f>AVERAGE(E10:G10)*3/2</f>
        <v>2</v>
      </c>
      <c r="I10" s="4">
        <f t="shared" ref="I10" si="1">E10</f>
        <v>1.5</v>
      </c>
      <c r="J10" s="4">
        <f>F10</f>
        <v>1</v>
      </c>
      <c r="K10" s="4">
        <f>G10</f>
        <v>1.5</v>
      </c>
      <c r="L10" s="4"/>
      <c r="M10" s="5"/>
      <c r="N10" s="5"/>
      <c r="P10" s="4">
        <f>E10*(1+$D$4)</f>
        <v>2.0250000000000004</v>
      </c>
      <c r="Q10" s="4">
        <f>F10*(1+$D$4)</f>
        <v>1.35</v>
      </c>
      <c r="R10" s="4">
        <f>G10*(1+$D$4)</f>
        <v>2.0250000000000004</v>
      </c>
      <c r="S10" s="4"/>
      <c r="T10" s="5"/>
      <c r="U10" s="5"/>
      <c r="V10" s="5"/>
      <c r="W10" s="4">
        <f>F10*(1+$D$4)</f>
        <v>1.35</v>
      </c>
      <c r="X10" s="4">
        <f>G10*(1+$D$4)</f>
        <v>2.0250000000000004</v>
      </c>
      <c r="Y10" s="4">
        <f>G10*(1+$D$4)</f>
        <v>2.0250000000000004</v>
      </c>
      <c r="Z10" s="4"/>
      <c r="AA10" s="5"/>
      <c r="AB10" s="5"/>
      <c r="AC10" s="5"/>
      <c r="AD10" s="4">
        <f>F10*(1+$D$4)</f>
        <v>1.35</v>
      </c>
      <c r="AE10" s="4">
        <f>F10*(1+$D$4)</f>
        <v>1.35</v>
      </c>
      <c r="AF10" s="4">
        <f>G10*(1+$D$4)</f>
        <v>2.0250000000000004</v>
      </c>
      <c r="AG10" s="4"/>
      <c r="AH10" s="5"/>
      <c r="AI10" s="5"/>
      <c r="AK10" s="4">
        <f>F10</f>
        <v>1</v>
      </c>
      <c r="AL10" s="4">
        <f>F10</f>
        <v>1</v>
      </c>
      <c r="AM10" s="4">
        <f>F10</f>
        <v>1</v>
      </c>
      <c r="AN10" s="4"/>
      <c r="AP10" s="4">
        <f>E10</f>
        <v>1.5</v>
      </c>
      <c r="AQ10" s="4">
        <f>E10</f>
        <v>1.5</v>
      </c>
      <c r="AR10" s="4">
        <f>E10</f>
        <v>1.5</v>
      </c>
    </row>
    <row r="11" spans="2:44" x14ac:dyDescent="0.15">
      <c r="B11" s="3" t="s">
        <v>1</v>
      </c>
      <c r="C11" s="1">
        <v>1</v>
      </c>
      <c r="D11" s="1">
        <f>C11*D3</f>
        <v>0.3</v>
      </c>
      <c r="E11" s="17">
        <v>0.3</v>
      </c>
      <c r="F11" s="17">
        <v>2.1</v>
      </c>
      <c r="G11" s="17">
        <v>0.2</v>
      </c>
      <c r="H11" s="20">
        <f>AVERAGE(E11:G11)*3/2</f>
        <v>1.3</v>
      </c>
      <c r="I11" s="4">
        <f>E11*(1+$D$3)</f>
        <v>0.39</v>
      </c>
      <c r="J11" s="4">
        <f>F11*(1+$D$3)</f>
        <v>2.7300000000000004</v>
      </c>
      <c r="K11" s="4">
        <f>G11*(1+$D$3)</f>
        <v>0.26</v>
      </c>
      <c r="L11" s="4"/>
      <c r="M11" s="5"/>
      <c r="N11" s="5"/>
      <c r="P11" s="4">
        <f>E11</f>
        <v>0.3</v>
      </c>
      <c r="Q11" s="4">
        <f>F11</f>
        <v>2.1</v>
      </c>
      <c r="R11" s="4">
        <f>G11</f>
        <v>0.2</v>
      </c>
      <c r="S11" s="4"/>
      <c r="T11" s="5"/>
      <c r="U11" s="5"/>
      <c r="V11" s="5"/>
      <c r="W11" s="4">
        <f>F11*(1+$D$3)</f>
        <v>2.7300000000000004</v>
      </c>
      <c r="X11" s="4">
        <f>G11*(1+$D$3)</f>
        <v>0.26</v>
      </c>
      <c r="Y11" s="4">
        <f>G11*(1+$D$3)</f>
        <v>0.26</v>
      </c>
      <c r="Z11" s="4"/>
      <c r="AA11" s="5"/>
      <c r="AB11" s="5"/>
      <c r="AC11" s="5"/>
      <c r="AD11" s="4">
        <f>F11</f>
        <v>2.1</v>
      </c>
      <c r="AE11" s="4">
        <f>F11</f>
        <v>2.1</v>
      </c>
      <c r="AF11" s="4">
        <f>G11</f>
        <v>0.2</v>
      </c>
      <c r="AG11" s="4"/>
      <c r="AH11" s="5"/>
      <c r="AI11" s="5"/>
      <c r="AK11" s="4">
        <f>F11</f>
        <v>2.1</v>
      </c>
      <c r="AL11" s="4">
        <f>F11</f>
        <v>2.1</v>
      </c>
      <c r="AM11" s="4">
        <f>F11</f>
        <v>2.1</v>
      </c>
      <c r="AN11" s="4"/>
      <c r="AP11" s="4">
        <f>E11</f>
        <v>0.3</v>
      </c>
      <c r="AQ11" s="4">
        <f>E11</f>
        <v>0.3</v>
      </c>
      <c r="AR11" s="4">
        <f>E11</f>
        <v>0.3</v>
      </c>
    </row>
    <row r="12" spans="2:44" x14ac:dyDescent="0.15">
      <c r="B12" s="3" t="s">
        <v>6</v>
      </c>
      <c r="C12" s="4">
        <f>C10*C9</f>
        <v>6</v>
      </c>
      <c r="D12" s="4"/>
      <c r="E12" s="4">
        <f>E10*E9</f>
        <v>12</v>
      </c>
      <c r="F12" s="4">
        <f>F10*F9</f>
        <v>2</v>
      </c>
      <c r="G12" s="4">
        <f>G10*G9</f>
        <v>4.5</v>
      </c>
      <c r="I12" s="4">
        <f>I10*I9</f>
        <v>12</v>
      </c>
      <c r="J12" s="4">
        <f>J10*J9</f>
        <v>2</v>
      </c>
      <c r="K12" s="4">
        <f>K10*K9</f>
        <v>4.5</v>
      </c>
      <c r="L12" s="4"/>
      <c r="M12" s="5"/>
      <c r="N12" s="5"/>
      <c r="P12" s="4">
        <f>P10*P9</f>
        <v>16.200000000000003</v>
      </c>
      <c r="Q12" s="4">
        <f>Q10*Q9</f>
        <v>2.7</v>
      </c>
      <c r="R12" s="4">
        <f>R10*R9</f>
        <v>6.0750000000000011</v>
      </c>
      <c r="S12" s="4"/>
      <c r="T12" s="5"/>
      <c r="U12" s="5"/>
      <c r="V12" s="5"/>
      <c r="W12" s="4">
        <f>W10*W9</f>
        <v>2.7</v>
      </c>
      <c r="X12" s="4">
        <f>X10*X9</f>
        <v>6.0750000000000011</v>
      </c>
      <c r="Y12" s="4">
        <f>Y10*Y9</f>
        <v>6.0750000000000011</v>
      </c>
      <c r="Z12" s="4"/>
      <c r="AA12" s="5"/>
      <c r="AB12" s="5"/>
      <c r="AC12" s="5"/>
      <c r="AD12" s="4">
        <f>AD10*AD9</f>
        <v>2.7</v>
      </c>
      <c r="AE12" s="4">
        <f>AE10*AE9</f>
        <v>2.7</v>
      </c>
      <c r="AF12" s="4">
        <f>AF10*AF9</f>
        <v>6.0750000000000011</v>
      </c>
      <c r="AG12" s="4"/>
      <c r="AH12" s="5"/>
      <c r="AI12" s="5"/>
      <c r="AK12" s="4">
        <f>AK10*AK9</f>
        <v>2</v>
      </c>
      <c r="AL12" s="4">
        <f>AL10*AL9</f>
        <v>2</v>
      </c>
      <c r="AM12" s="4">
        <f>AM10*AM9</f>
        <v>2</v>
      </c>
      <c r="AN12" s="4"/>
      <c r="AP12" s="4">
        <f>AP10*AP9</f>
        <v>12</v>
      </c>
      <c r="AQ12" s="4">
        <f>AQ10*AQ9</f>
        <v>12</v>
      </c>
      <c r="AR12" s="4">
        <f>AR10*AR9</f>
        <v>12</v>
      </c>
    </row>
    <row r="13" spans="2:44" x14ac:dyDescent="0.15">
      <c r="B13" s="3" t="s">
        <v>18</v>
      </c>
      <c r="C13" s="4">
        <f>C9*C11*C10</f>
        <v>6</v>
      </c>
      <c r="D13" s="4"/>
      <c r="E13" s="4">
        <f>E9*E11*E10</f>
        <v>3.5999999999999996</v>
      </c>
      <c r="F13" s="4">
        <f>F9*F11*F10</f>
        <v>4.2</v>
      </c>
      <c r="G13" s="4">
        <f>G9*G11*G10</f>
        <v>0.90000000000000013</v>
      </c>
      <c r="I13" s="4">
        <f>I9*I11*I10</f>
        <v>4.68</v>
      </c>
      <c r="J13" s="4">
        <f>J9*J11*J10</f>
        <v>5.4600000000000009</v>
      </c>
      <c r="K13" s="4">
        <f>K9*K11*K10</f>
        <v>1.17</v>
      </c>
      <c r="L13" s="4">
        <f>SUM(I13:K13)</f>
        <v>11.31</v>
      </c>
      <c r="M13" s="5"/>
      <c r="N13" s="5"/>
      <c r="P13" s="4">
        <f>P9*P11*P10</f>
        <v>4.8600000000000003</v>
      </c>
      <c r="Q13" s="4">
        <f>Q9*Q11*Q10</f>
        <v>5.6700000000000008</v>
      </c>
      <c r="R13" s="4">
        <f>R9*R11*R10</f>
        <v>1.2150000000000003</v>
      </c>
      <c r="S13" s="4">
        <f>SUM(P13:R13)</f>
        <v>11.745000000000001</v>
      </c>
      <c r="T13" s="5"/>
      <c r="U13" s="5"/>
      <c r="W13" s="4">
        <f>W9*W11*W10</f>
        <v>7.3710000000000013</v>
      </c>
      <c r="X13" s="4">
        <f>X9*X11*X10</f>
        <v>1.5795000000000003</v>
      </c>
      <c r="Y13" s="4">
        <f>Y9*Y11*Y10</f>
        <v>1.5795000000000003</v>
      </c>
      <c r="Z13" s="4">
        <f>SUM(W13:Y13)</f>
        <v>10.530000000000001</v>
      </c>
      <c r="AA13" s="5"/>
      <c r="AB13" s="5"/>
      <c r="AC13" s="5"/>
      <c r="AD13" s="4">
        <f>AD9*AD11*AD10</f>
        <v>5.6700000000000008</v>
      </c>
      <c r="AE13" s="4">
        <f>AE9*AE11*AE10</f>
        <v>5.6700000000000008</v>
      </c>
      <c r="AF13" s="4">
        <f>AF9*AF11*AF10</f>
        <v>1.2150000000000003</v>
      </c>
      <c r="AG13" s="4">
        <f>SUM(AD13:AF13)</f>
        <v>12.555000000000001</v>
      </c>
      <c r="AH13" s="5"/>
      <c r="AI13" s="5"/>
      <c r="AK13" s="4">
        <f>AK9*AK11*AK10</f>
        <v>4.2</v>
      </c>
      <c r="AL13" s="4">
        <f t="shared" ref="AL13:AM13" si="2">AL9*AL11*AL10</f>
        <v>4.2</v>
      </c>
      <c r="AM13" s="4">
        <f t="shared" si="2"/>
        <v>4.2</v>
      </c>
      <c r="AN13" s="4">
        <f>SUM(AK13:AM13)</f>
        <v>12.600000000000001</v>
      </c>
      <c r="AP13" s="4">
        <f>AP9*AP10*AP11</f>
        <v>3.5999999999999996</v>
      </c>
      <c r="AQ13" s="4">
        <f t="shared" ref="AQ13:AR13" si="3">AQ9*AQ10*AQ11</f>
        <v>3.5999999999999996</v>
      </c>
      <c r="AR13" s="4">
        <f t="shared" si="3"/>
        <v>3.5999999999999996</v>
      </c>
    </row>
    <row r="14" spans="2:44" x14ac:dyDescent="0.15">
      <c r="B14" s="3"/>
      <c r="C14" s="4"/>
      <c r="D14" s="4"/>
      <c r="E14" s="4"/>
      <c r="F14" s="4"/>
      <c r="G14" s="4"/>
      <c r="I14" s="4"/>
      <c r="J14" s="4" t="s">
        <v>113</v>
      </c>
      <c r="K14" s="4">
        <f>(L13-$E$13-$F$13)</f>
        <v>3.5100000000000007</v>
      </c>
      <c r="L14" s="4"/>
      <c r="M14" s="5"/>
      <c r="N14" s="5"/>
      <c r="P14" s="4"/>
      <c r="Q14" s="4" t="s">
        <v>113</v>
      </c>
      <c r="R14" s="4">
        <f>S13-$E$13-$F$13</f>
        <v>3.9450000000000012</v>
      </c>
      <c r="S14" s="4"/>
      <c r="T14" s="5"/>
      <c r="U14" s="5"/>
      <c r="W14" s="4"/>
      <c r="X14" s="4">
        <f>W13-Q13+Y13</f>
        <v>3.2805000000000009</v>
      </c>
      <c r="Y14" s="4">
        <f>W13-J13+X13</f>
        <v>3.4905000000000008</v>
      </c>
      <c r="Z14" s="4"/>
      <c r="AA14" s="5"/>
      <c r="AB14" s="5"/>
      <c r="AC14" s="5"/>
      <c r="AD14" s="4"/>
      <c r="AE14" s="4" t="s">
        <v>113</v>
      </c>
      <c r="AF14" s="4">
        <f>(AD13-F13)*2+AF13</f>
        <v>4.1550000000000011</v>
      </c>
      <c r="AG14" s="4"/>
      <c r="AH14" s="5"/>
      <c r="AI14" s="5"/>
      <c r="AK14" s="4"/>
      <c r="AL14" s="4"/>
      <c r="AM14" s="4"/>
      <c r="AN14" s="4"/>
      <c r="AP14" s="4"/>
      <c r="AQ14" s="4"/>
      <c r="AR14" s="4"/>
    </row>
    <row r="15" spans="2:44" s="5" customFormat="1" x14ac:dyDescent="0.15">
      <c r="B15" s="8"/>
    </row>
    <row r="16" spans="2:44" s="5" customFormat="1" x14ac:dyDescent="0.15">
      <c r="B16" s="8"/>
      <c r="I16" s="8" t="s">
        <v>48</v>
      </c>
      <c r="J16" s="8" t="s">
        <v>49</v>
      </c>
      <c r="K16" s="8" t="s">
        <v>48</v>
      </c>
      <c r="L16" s="8" t="s">
        <v>49</v>
      </c>
      <c r="M16" s="8" t="s">
        <v>50</v>
      </c>
      <c r="N16" s="8" t="s">
        <v>60</v>
      </c>
      <c r="P16" s="8" t="s">
        <v>48</v>
      </c>
      <c r="Q16" s="8" t="s">
        <v>49</v>
      </c>
      <c r="R16" s="8" t="s">
        <v>48</v>
      </c>
      <c r="S16" s="8" t="s">
        <v>49</v>
      </c>
      <c r="T16" s="8" t="s">
        <v>50</v>
      </c>
      <c r="U16" s="8" t="s">
        <v>60</v>
      </c>
      <c r="W16" s="8" t="s">
        <v>4</v>
      </c>
      <c r="X16" s="8" t="s">
        <v>49</v>
      </c>
      <c r="Y16" s="8" t="s">
        <v>4</v>
      </c>
      <c r="Z16" s="8" t="s">
        <v>61</v>
      </c>
      <c r="AA16" s="8" t="s">
        <v>50</v>
      </c>
      <c r="AB16" s="8" t="s">
        <v>60</v>
      </c>
      <c r="AD16" s="8" t="s">
        <v>4</v>
      </c>
      <c r="AE16" s="8" t="s">
        <v>49</v>
      </c>
      <c r="AF16" s="8" t="s">
        <v>4</v>
      </c>
      <c r="AG16" s="8" t="s">
        <v>49</v>
      </c>
      <c r="AH16" s="8" t="s">
        <v>50</v>
      </c>
      <c r="AI16" s="8" t="s">
        <v>60</v>
      </c>
    </row>
    <row r="17" spans="1:42" s="5" customFormat="1" x14ac:dyDescent="0.15">
      <c r="A17" s="5" t="s">
        <v>13</v>
      </c>
      <c r="B17" s="5" t="s">
        <v>12</v>
      </c>
      <c r="G17" s="5" t="s">
        <v>87</v>
      </c>
      <c r="H17" s="5" t="s">
        <v>16</v>
      </c>
      <c r="I17" s="4">
        <f>I12/SUM(I11:K11)*3</f>
        <v>10.650887573964495</v>
      </c>
      <c r="J17" s="4">
        <f>J12/SUM(I11:K11)*3</f>
        <v>1.7751479289940826</v>
      </c>
      <c r="K17" s="4">
        <f>(I12/SUM(I11:K11)*3)</f>
        <v>10.650887573964495</v>
      </c>
      <c r="L17" s="4">
        <f>J12/SUM(J11:K11)*2</f>
        <v>1.3377926421404682</v>
      </c>
      <c r="M17" s="4">
        <f>K12/SUM(K11)*1</f>
        <v>17.307692307692307</v>
      </c>
      <c r="N17" s="4">
        <f>I17+J17+K17</f>
        <v>23.076923076923073</v>
      </c>
      <c r="O17" s="5" t="s">
        <v>23</v>
      </c>
      <c r="P17" s="4">
        <f>P12/SUM(I11:K11)*3</f>
        <v>14.378698224852071</v>
      </c>
      <c r="Q17" s="4">
        <f>Q12/SUM(I11:K11)*3</f>
        <v>2.3964497041420114</v>
      </c>
      <c r="R17" s="4">
        <f>P12/SUM(I11:K11)*3</f>
        <v>14.378698224852071</v>
      </c>
      <c r="S17" s="4"/>
      <c r="T17" s="4"/>
      <c r="U17" s="4">
        <f>P17+Q17+R17</f>
        <v>31.153846153846153</v>
      </c>
      <c r="V17" s="5" t="s">
        <v>29</v>
      </c>
      <c r="W17" s="4">
        <f>W12/SUM(I11:K11)*3</f>
        <v>2.3964497041420114</v>
      </c>
      <c r="X17" s="4">
        <f>W12/SUM(I11:K11)*3</f>
        <v>2.3964497041420114</v>
      </c>
      <c r="Y17" s="4">
        <f>W12/SUM(I11:K11)*3</f>
        <v>2.3964497041420114</v>
      </c>
      <c r="Z17" s="4"/>
      <c r="AA17" s="4"/>
      <c r="AB17" s="4">
        <f>W17+X17+Y17</f>
        <v>7.1893491124260347</v>
      </c>
      <c r="AC17" s="5" t="s">
        <v>68</v>
      </c>
      <c r="AD17" s="4">
        <f>AD12/SUM(I11:K11)*3</f>
        <v>2.3964497041420114</v>
      </c>
      <c r="AE17" s="4">
        <f>AD12/SUM(I11:K11)*3</f>
        <v>2.3964497041420114</v>
      </c>
      <c r="AF17" s="4">
        <f>AD12/SUM(I11:K11)*3</f>
        <v>2.3964497041420114</v>
      </c>
      <c r="AG17" s="4"/>
      <c r="AH17" s="4"/>
      <c r="AI17" s="4">
        <f>AD17+AE17+AF17</f>
        <v>7.1893491124260347</v>
      </c>
      <c r="AJ17" s="5" t="s">
        <v>36</v>
      </c>
      <c r="AO17" s="5" t="s">
        <v>40</v>
      </c>
    </row>
    <row r="18" spans="1:42" s="5" customFormat="1" x14ac:dyDescent="0.15">
      <c r="A18" s="5" t="s">
        <v>14</v>
      </c>
      <c r="B18" s="5" t="s">
        <v>15</v>
      </c>
      <c r="H18" s="5" t="s">
        <v>21</v>
      </c>
      <c r="I18" s="4">
        <f>I12/SUM(P11:R11)*3</f>
        <v>13.846153846153845</v>
      </c>
      <c r="J18" s="4">
        <f>J12/SUM(P11:R11)*3</f>
        <v>2.3076923076923075</v>
      </c>
      <c r="K18" s="4">
        <f>(I12/SUM(P11:R11))*3</f>
        <v>13.846153846153845</v>
      </c>
      <c r="L18" s="4"/>
      <c r="M18" s="4"/>
      <c r="N18" s="4">
        <f>I18+J18+K18</f>
        <v>30</v>
      </c>
      <c r="O18" s="5" t="s">
        <v>17</v>
      </c>
      <c r="P18" s="4">
        <f>P12/SUM(P11:R11)*3</f>
        <v>18.692307692307693</v>
      </c>
      <c r="Q18" s="4">
        <f>+Q12/SUM(P11:R11)*3</f>
        <v>3.1153846153846159</v>
      </c>
      <c r="R18" s="4">
        <f>(P12/SUM(P11:R11))*3</f>
        <v>18.692307692307693</v>
      </c>
      <c r="S18" s="4"/>
      <c r="T18" s="4"/>
      <c r="U18" s="4">
        <f t="shared" ref="U18:U20" si="4">P18+Q18+R18</f>
        <v>40.5</v>
      </c>
      <c r="V18" s="5" t="s">
        <v>30</v>
      </c>
      <c r="W18" s="4">
        <f>W12/SUM(P11:R11)*3</f>
        <v>3.1153846153846159</v>
      </c>
      <c r="X18" s="4">
        <f>W12/SUM(P11:R11)*3</f>
        <v>3.1153846153846159</v>
      </c>
      <c r="Y18" s="4">
        <f>W12/SUM(P11:R11)*3</f>
        <v>3.1153846153846159</v>
      </c>
      <c r="Z18" s="4"/>
      <c r="AA18" s="4"/>
      <c r="AB18" s="4">
        <f t="shared" ref="AB18:AB20" si="5">W18+X18+Y18</f>
        <v>9.3461538461538467</v>
      </c>
      <c r="AC18" s="5" t="s">
        <v>69</v>
      </c>
      <c r="AD18" s="4">
        <f>AD12/SUM(P11:R11)*3</f>
        <v>3.1153846153846159</v>
      </c>
      <c r="AE18" s="4">
        <f>AD12/SUM(P11:R11)*3</f>
        <v>3.1153846153846159</v>
      </c>
      <c r="AF18" s="4">
        <f>AD12/SUM(P11:R11)*3</f>
        <v>3.1153846153846159</v>
      </c>
      <c r="AG18" s="4"/>
      <c r="AH18" s="4"/>
      <c r="AI18" s="4">
        <f t="shared" ref="AI18:AI20" si="6">AD18+AE18+AF18</f>
        <v>9.3461538461538467</v>
      </c>
      <c r="AJ18" s="5" t="s">
        <v>37</v>
      </c>
      <c r="AO18" s="5" t="s">
        <v>41</v>
      </c>
    </row>
    <row r="19" spans="1:42" s="5" customFormat="1" x14ac:dyDescent="0.15">
      <c r="B19" s="5" t="s">
        <v>59</v>
      </c>
      <c r="H19" s="5" t="s">
        <v>26</v>
      </c>
      <c r="I19" s="4">
        <f>I12/SUM(W11:Y11)*3</f>
        <v>11.076923076923077</v>
      </c>
      <c r="J19" s="4">
        <f>J12/SUM(W11:Y11)*3</f>
        <v>1.8461538461538463</v>
      </c>
      <c r="K19" s="4">
        <f>I12/SUM(W11:Y11)*3</f>
        <v>11.076923076923077</v>
      </c>
      <c r="L19" s="4"/>
      <c r="M19" s="4"/>
      <c r="N19" s="4">
        <f t="shared" ref="N19:N22" si="7">I19+J19+K19</f>
        <v>24</v>
      </c>
      <c r="O19" s="5" t="s">
        <v>51</v>
      </c>
      <c r="P19" s="4">
        <f>P12/SUM(W11:Y11)*3</f>
        <v>14.953846153846158</v>
      </c>
      <c r="Q19" s="4">
        <f>Q12/SUM(W11:Y11)*3</f>
        <v>2.4923076923076923</v>
      </c>
      <c r="R19" s="4">
        <f>P12/SUM(W11:Y11)*3</f>
        <v>14.953846153846158</v>
      </c>
      <c r="S19" s="4"/>
      <c r="T19" s="4"/>
      <c r="U19" s="4">
        <f t="shared" si="4"/>
        <v>32.400000000000006</v>
      </c>
      <c r="V19" s="5" t="s">
        <v>25</v>
      </c>
      <c r="W19" s="4">
        <f>W12/SUM(W11:Y11)*3</f>
        <v>2.4923076923076923</v>
      </c>
      <c r="X19" s="4">
        <f>W12/SUM(W11:Y11)*3</f>
        <v>2.4923076923076923</v>
      </c>
      <c r="Y19" s="4">
        <f>W12/SUM(W11:Y11)*3</f>
        <v>2.4923076923076923</v>
      </c>
      <c r="Z19" s="4"/>
      <c r="AA19" s="4"/>
      <c r="AB19" s="4">
        <f t="shared" si="5"/>
        <v>7.476923076923077</v>
      </c>
      <c r="AC19" s="5" t="s">
        <v>70</v>
      </c>
      <c r="AD19" s="4">
        <f>AD12/SUM(W11:Y11)*3</f>
        <v>2.4923076923076923</v>
      </c>
      <c r="AE19" s="4">
        <f>AD12/SUM(W11:Y11)*3</f>
        <v>2.4923076923076923</v>
      </c>
      <c r="AF19" s="4">
        <f>AD12/SUM(W11:Y11)*3</f>
        <v>2.4923076923076923</v>
      </c>
      <c r="AG19" s="4"/>
      <c r="AH19" s="4"/>
      <c r="AI19" s="4">
        <f>AD19+AE19+AF19</f>
        <v>7.476923076923077</v>
      </c>
      <c r="AJ19" s="5" t="s">
        <v>54</v>
      </c>
      <c r="AO19" s="5" t="s">
        <v>56</v>
      </c>
    </row>
    <row r="20" spans="1:42" s="5" customFormat="1" x14ac:dyDescent="0.15">
      <c r="H20" s="5" t="s">
        <v>58</v>
      </c>
      <c r="I20" s="4">
        <f>I12/SUM(AD11:AF11)*3</f>
        <v>8.1818181818181817</v>
      </c>
      <c r="J20" s="4">
        <f>J12/SUM(AD11:AF11)*3</f>
        <v>1.3636363636363635</v>
      </c>
      <c r="K20" s="4">
        <f>I12/SUM(AD11:AF11)*3</f>
        <v>8.1818181818181817</v>
      </c>
      <c r="L20" s="4"/>
      <c r="M20" s="4"/>
      <c r="N20" s="4">
        <f t="shared" si="7"/>
        <v>17.727272727272727</v>
      </c>
      <c r="O20" s="5" t="s">
        <v>52</v>
      </c>
      <c r="P20" s="4">
        <f>P12/SUM(AD11:AF11)*3</f>
        <v>11.045454545454547</v>
      </c>
      <c r="Q20" s="4">
        <f>Q12/SUM(AD11:AF11)*3</f>
        <v>1.8409090909090908</v>
      </c>
      <c r="R20" s="4">
        <f>P12/SUM(AD11:AF11)*3</f>
        <v>11.045454545454547</v>
      </c>
      <c r="S20" s="4"/>
      <c r="T20" s="4"/>
      <c r="U20" s="4">
        <f t="shared" si="4"/>
        <v>23.931818181818183</v>
      </c>
      <c r="V20" s="5" t="s">
        <v>53</v>
      </c>
      <c r="W20" s="4">
        <f>W12/SUM(AD11:AF11)*3</f>
        <v>1.8409090909090908</v>
      </c>
      <c r="X20" s="4">
        <f>W12/SUM(AD11:AF11)*3</f>
        <v>1.8409090909090908</v>
      </c>
      <c r="Y20" s="4">
        <f>W12/SUM(AD11:AF11)*3</f>
        <v>1.8409090909090908</v>
      </c>
      <c r="Z20" s="4"/>
      <c r="AA20" s="4"/>
      <c r="AB20" s="4">
        <f t="shared" si="5"/>
        <v>5.5227272727272725</v>
      </c>
      <c r="AC20" s="5" t="s">
        <v>67</v>
      </c>
      <c r="AD20" s="4">
        <f>AD12/SUM(AD11:AF11)*3</f>
        <v>1.8409090909090908</v>
      </c>
      <c r="AE20" s="4">
        <f>AD12/SUM(AD11:AF11)*3</f>
        <v>1.8409090909090908</v>
      </c>
      <c r="AF20" s="4">
        <f>AD12/SUM(AD11:AF11)*3</f>
        <v>1.8409090909090908</v>
      </c>
      <c r="AG20" s="4"/>
      <c r="AH20" s="4"/>
      <c r="AI20" s="4">
        <f t="shared" si="6"/>
        <v>5.5227272727272725</v>
      </c>
      <c r="AJ20" s="5" t="s">
        <v>55</v>
      </c>
      <c r="AO20" s="5" t="s">
        <v>57</v>
      </c>
    </row>
    <row r="21" spans="1:42" s="5" customFormat="1" x14ac:dyDescent="0.15">
      <c r="H21" s="5" t="s">
        <v>22</v>
      </c>
      <c r="I21" s="4">
        <f>I12/SUM(AK11:AM11)*3</f>
        <v>5.7142857142857135</v>
      </c>
      <c r="J21" s="4">
        <f>J12/SUM(AK11:AM11)*3</f>
        <v>0.95238095238095233</v>
      </c>
      <c r="K21" s="4">
        <f>I12/SUM(AK11:AM11)*3</f>
        <v>5.7142857142857135</v>
      </c>
      <c r="L21" s="4"/>
      <c r="M21" s="4"/>
      <c r="N21" s="4">
        <f t="shared" si="7"/>
        <v>12.38095238095238</v>
      </c>
      <c r="O21" s="5" t="s">
        <v>34</v>
      </c>
      <c r="P21" s="4"/>
      <c r="Q21" s="4"/>
      <c r="R21" s="4"/>
      <c r="S21" s="4"/>
      <c r="T21" s="4"/>
      <c r="U21" s="4"/>
      <c r="V21" s="5" t="s">
        <v>31</v>
      </c>
      <c r="W21" s="4"/>
      <c r="X21" s="4"/>
      <c r="Y21" s="4"/>
      <c r="Z21" s="4"/>
      <c r="AA21" s="4"/>
      <c r="AB21" s="4"/>
      <c r="AC21" s="5" t="s">
        <v>38</v>
      </c>
      <c r="AD21" s="4"/>
      <c r="AE21" s="4"/>
      <c r="AF21" s="4"/>
      <c r="AG21" s="4"/>
      <c r="AH21" s="4"/>
      <c r="AI21" s="4"/>
      <c r="AJ21" s="5" t="s">
        <v>38</v>
      </c>
      <c r="AO21" s="5" t="s">
        <v>42</v>
      </c>
      <c r="AP21" s="5">
        <f>AP12/SUM(AP11:AR11)*3+AQ12/SUM(AQ11:AR11)*2+(AR11/AR12)</f>
        <v>80.025000000000006</v>
      </c>
    </row>
    <row r="22" spans="1:42" s="5" customFormat="1" x14ac:dyDescent="0.15">
      <c r="H22" s="5" t="s">
        <v>35</v>
      </c>
      <c r="I22" s="4">
        <f>I12/SUM(AP11:AR11)*3</f>
        <v>40</v>
      </c>
      <c r="J22" s="4">
        <f>J12/SUM(AP11:AR11)*3</f>
        <v>6.666666666666667</v>
      </c>
      <c r="K22" s="4">
        <f>I12/SUM(AP11:AR11)*3</f>
        <v>40</v>
      </c>
      <c r="L22" s="4"/>
      <c r="M22" s="4"/>
      <c r="N22" s="4">
        <f t="shared" si="7"/>
        <v>86.666666666666657</v>
      </c>
      <c r="O22" s="5" t="s">
        <v>33</v>
      </c>
      <c r="P22" s="4"/>
      <c r="Q22" s="4"/>
      <c r="R22" s="4"/>
      <c r="S22" s="4"/>
      <c r="T22" s="4"/>
      <c r="U22" s="4"/>
      <c r="V22" s="5" t="s">
        <v>32</v>
      </c>
      <c r="W22" s="4"/>
      <c r="X22" s="4"/>
      <c r="Y22" s="4"/>
      <c r="Z22" s="4"/>
      <c r="AA22" s="4"/>
      <c r="AB22" s="4"/>
      <c r="AC22" s="5" t="s">
        <v>39</v>
      </c>
      <c r="AD22" s="4"/>
      <c r="AE22" s="4"/>
      <c r="AF22" s="4"/>
      <c r="AG22" s="4"/>
      <c r="AH22" s="4"/>
      <c r="AI22" s="4"/>
      <c r="AJ22" s="5" t="s">
        <v>39</v>
      </c>
      <c r="AO22" s="5" t="s">
        <v>43</v>
      </c>
    </row>
    <row r="23" spans="1:42" s="5" customFormat="1" x14ac:dyDescent="0.15">
      <c r="W23" s="9"/>
      <c r="X23" s="8"/>
      <c r="Y23" s="8"/>
      <c r="Z23" s="8"/>
      <c r="AA23" s="8"/>
    </row>
    <row r="24" spans="1:42" s="5" customFormat="1" x14ac:dyDescent="0.15"/>
    <row r="25" spans="1:42" s="5" customFormat="1" x14ac:dyDescent="0.15">
      <c r="B25" s="5" t="s">
        <v>71</v>
      </c>
      <c r="F25" s="10"/>
      <c r="G25" s="11" t="s">
        <v>62</v>
      </c>
      <c r="H25" s="11" t="s">
        <v>63</v>
      </c>
      <c r="I25" s="11" t="s">
        <v>64</v>
      </c>
      <c r="J25" s="11" t="s">
        <v>65</v>
      </c>
    </row>
    <row r="26" spans="1:42" s="5" customFormat="1" x14ac:dyDescent="0.15">
      <c r="B26" s="5" t="s">
        <v>72</v>
      </c>
      <c r="F26" s="11" t="s">
        <v>62</v>
      </c>
      <c r="G26" s="11" t="s">
        <v>66</v>
      </c>
      <c r="H26" s="11">
        <f>IF(N18&gt;U17,1,0)</f>
        <v>0</v>
      </c>
      <c r="I26" s="11">
        <f>IF(N19&gt;AI17,1,0)</f>
        <v>1</v>
      </c>
      <c r="J26" s="11">
        <f>IF(N20&gt;AI17,1,0)</f>
        <v>1</v>
      </c>
    </row>
    <row r="27" spans="1:42" s="5" customFormat="1" x14ac:dyDescent="0.15">
      <c r="F27" s="11" t="s">
        <v>63</v>
      </c>
      <c r="G27" s="11">
        <f>IF(U17&gt;N18,1,0)</f>
        <v>1</v>
      </c>
      <c r="H27" s="11" t="s">
        <v>66</v>
      </c>
      <c r="I27" s="11">
        <f>IF(U19&gt;AI18,1,0)</f>
        <v>1</v>
      </c>
      <c r="J27" s="11">
        <f>IF(U20&gt;AI18,1,0)</f>
        <v>1</v>
      </c>
    </row>
    <row r="28" spans="1:42" s="5" customFormat="1" x14ac:dyDescent="0.15">
      <c r="F28" s="11" t="s">
        <v>109</v>
      </c>
      <c r="G28" s="11">
        <f>IF(AB17&gt;N19,1,0)</f>
        <v>0</v>
      </c>
      <c r="H28" s="11">
        <f>IF(AB18&gt;U19,1,0)</f>
        <v>0</v>
      </c>
      <c r="I28" s="11" t="s">
        <v>66</v>
      </c>
      <c r="J28" s="11">
        <f>IF(AB20&gt;AI19,1,0)</f>
        <v>0</v>
      </c>
    </row>
    <row r="29" spans="1:42" s="5" customFormat="1" x14ac:dyDescent="0.15">
      <c r="F29" s="11" t="s">
        <v>110</v>
      </c>
      <c r="G29" s="11">
        <f>IF(AI17&gt;N20,1,0)</f>
        <v>0</v>
      </c>
      <c r="H29" s="11">
        <f>IF(AI18&gt;U20,1,0)</f>
        <v>0</v>
      </c>
      <c r="I29" s="11">
        <f>IF(AI19&gt;AB20,1,0)</f>
        <v>1</v>
      </c>
      <c r="J29" s="11" t="s">
        <v>66</v>
      </c>
    </row>
    <row r="30" spans="1:42" s="5" customFormat="1" x14ac:dyDescent="0.15"/>
    <row r="31" spans="1:42" s="5" customFormat="1" x14ac:dyDescent="0.15"/>
    <row r="32" spans="1:42" s="5" customFormat="1" x14ac:dyDescent="0.15">
      <c r="B32" s="5" t="s">
        <v>76</v>
      </c>
    </row>
    <row r="33" spans="2:26" s="5" customFormat="1" x14ac:dyDescent="0.15">
      <c r="B33" s="5" t="s">
        <v>73</v>
      </c>
    </row>
    <row r="34" spans="2:26" s="5" customFormat="1" x14ac:dyDescent="0.15">
      <c r="C34" s="5" t="s">
        <v>74</v>
      </c>
    </row>
    <row r="35" spans="2:26" s="5" customFormat="1" x14ac:dyDescent="0.15">
      <c r="C35" s="5" t="s">
        <v>75</v>
      </c>
    </row>
    <row r="36" spans="2:26" s="5" customFormat="1" x14ac:dyDescent="0.15"/>
    <row r="37" spans="2:26" s="5" customFormat="1" x14ac:dyDescent="0.15"/>
    <row r="38" spans="2:26" x14ac:dyDescent="0.15">
      <c r="B38" s="1" t="s">
        <v>20</v>
      </c>
      <c r="C38" s="7">
        <f>I12/(I12+J12)</f>
        <v>0.8571428571428571</v>
      </c>
      <c r="E38" s="1" t="s">
        <v>77</v>
      </c>
    </row>
    <row r="39" spans="2:26" x14ac:dyDescent="0.15">
      <c r="C39" s="1" t="s">
        <v>46</v>
      </c>
    </row>
    <row r="41" spans="2:26" x14ac:dyDescent="0.15">
      <c r="C41" s="1" t="s">
        <v>11</v>
      </c>
    </row>
    <row r="43" spans="2:26" x14ac:dyDescent="0.15">
      <c r="B43" s="1" t="s">
        <v>90</v>
      </c>
      <c r="Z43" s="1">
        <v>1</v>
      </c>
    </row>
    <row r="45" spans="2:26" x14ac:dyDescent="0.15">
      <c r="D45" s="8" t="s">
        <v>104</v>
      </c>
      <c r="E45" s="3" t="s">
        <v>105</v>
      </c>
      <c r="I45" s="3"/>
      <c r="J45" s="3"/>
      <c r="Z45" s="1">
        <v>1.2</v>
      </c>
    </row>
    <row r="46" spans="2:26" x14ac:dyDescent="0.15">
      <c r="B46" s="1" t="s">
        <v>126</v>
      </c>
      <c r="C46" s="15" t="s">
        <v>103</v>
      </c>
      <c r="D46" s="18">
        <v>1.3</v>
      </c>
      <c r="E46" s="18">
        <v>1.3</v>
      </c>
      <c r="G46" s="1" t="s">
        <v>106</v>
      </c>
      <c r="H46" s="4">
        <f>1/(1-J46)</f>
        <v>1.6666666666666667</v>
      </c>
      <c r="I46" s="1" t="s">
        <v>108</v>
      </c>
      <c r="J46" s="18">
        <v>0.4</v>
      </c>
      <c r="T46" s="1" t="s">
        <v>124</v>
      </c>
    </row>
    <row r="47" spans="2:26" x14ac:dyDescent="0.15">
      <c r="C47" s="16" t="s">
        <v>102</v>
      </c>
      <c r="D47" s="18">
        <v>1.5</v>
      </c>
      <c r="E47" s="18">
        <v>1.5</v>
      </c>
      <c r="F47" s="5"/>
      <c r="H47" s="15"/>
      <c r="T47" s="1" t="s">
        <v>125</v>
      </c>
      <c r="Z47" s="1">
        <v>1.4</v>
      </c>
    </row>
    <row r="48" spans="2:26" x14ac:dyDescent="0.15">
      <c r="C48" s="16" t="s">
        <v>101</v>
      </c>
      <c r="D48" s="18">
        <v>1.8</v>
      </c>
      <c r="E48" s="18">
        <v>1.8</v>
      </c>
      <c r="F48" s="5"/>
      <c r="H48" s="15"/>
    </row>
    <row r="49" spans="2:27" x14ac:dyDescent="0.15">
      <c r="C49" s="16"/>
      <c r="F49" s="5"/>
      <c r="H49" s="15"/>
      <c r="Z49" s="1">
        <v>0.3</v>
      </c>
      <c r="AA49" s="1">
        <f>3*Z49</f>
        <v>0.89999999999999991</v>
      </c>
    </row>
    <row r="50" spans="2:27" x14ac:dyDescent="0.15">
      <c r="C50" s="5"/>
      <c r="F50" s="5"/>
      <c r="H50" s="15"/>
    </row>
    <row r="51" spans="2:27" x14ac:dyDescent="0.15">
      <c r="C51" s="5"/>
      <c r="F51" s="5"/>
      <c r="H51" s="15"/>
      <c r="Z51" s="1">
        <v>0.36</v>
      </c>
      <c r="AA51" s="1">
        <f>3*Z51</f>
        <v>1.08</v>
      </c>
    </row>
    <row r="52" spans="2:27" x14ac:dyDescent="0.15">
      <c r="C52" s="5"/>
      <c r="F52" s="5"/>
      <c r="H52" s="15"/>
    </row>
    <row r="53" spans="2:27" x14ac:dyDescent="0.15">
      <c r="C53" s="5"/>
      <c r="H53" s="15"/>
      <c r="Z53" s="1">
        <v>0.42</v>
      </c>
      <c r="AA53" s="1">
        <f>3*Z53</f>
        <v>1.26</v>
      </c>
    </row>
    <row r="54" spans="2:27" x14ac:dyDescent="0.15">
      <c r="B54" s="1" t="s">
        <v>91</v>
      </c>
      <c r="C54" s="5"/>
      <c r="G54" s="24" t="s">
        <v>146</v>
      </c>
      <c r="H54" s="1" t="s">
        <v>147</v>
      </c>
      <c r="M54" s="1" t="s">
        <v>121</v>
      </c>
      <c r="P54" s="1" t="s">
        <v>122</v>
      </c>
      <c r="S54" s="1" t="s">
        <v>123</v>
      </c>
      <c r="T54" s="2" t="s">
        <v>3</v>
      </c>
      <c r="U54" s="2" t="s">
        <v>4</v>
      </c>
      <c r="V54" s="2" t="s">
        <v>5</v>
      </c>
    </row>
    <row r="55" spans="2:27" x14ac:dyDescent="0.15">
      <c r="C55" s="2" t="s">
        <v>3</v>
      </c>
      <c r="D55" s="2" t="s">
        <v>4</v>
      </c>
      <c r="E55" s="2" t="s">
        <v>5</v>
      </c>
      <c r="I55" s="2" t="s">
        <v>3</v>
      </c>
      <c r="J55" s="2" t="s">
        <v>4</v>
      </c>
      <c r="K55" s="2" t="s">
        <v>5</v>
      </c>
      <c r="N55" s="1">
        <v>1.2</v>
      </c>
      <c r="Q55" s="1">
        <v>1.1000000000000001</v>
      </c>
      <c r="T55" s="4">
        <f>I56</f>
        <v>0.48131868131868139</v>
      </c>
      <c r="U55" s="4">
        <f>J56*$N$55*$Q$55</f>
        <v>2.0724000000000005</v>
      </c>
      <c r="V55" s="4">
        <f>K56*$N$55*$Q$55</f>
        <v>0.37714285714285711</v>
      </c>
    </row>
    <row r="56" spans="2:27" x14ac:dyDescent="0.15">
      <c r="B56" s="3" t="s">
        <v>0</v>
      </c>
      <c r="C56" s="4">
        <f>E9</f>
        <v>8</v>
      </c>
      <c r="D56" s="4">
        <f t="shared" ref="D56:E56" si="8">F9</f>
        <v>2</v>
      </c>
      <c r="E56" s="4">
        <f t="shared" si="8"/>
        <v>3</v>
      </c>
      <c r="H56" s="3" t="s">
        <v>100</v>
      </c>
      <c r="I56" s="4">
        <f>D47*D67+E47*E67</f>
        <v>0.48131868131868139</v>
      </c>
      <c r="J56" s="4">
        <f>D48*D71+E46*E71</f>
        <v>1.5700000000000003</v>
      </c>
      <c r="K56" s="4">
        <f>D47*D75+E47*E75</f>
        <v>0.2857142857142857</v>
      </c>
      <c r="T56" s="4">
        <f>I57*$N$55*$Q$55</f>
        <v>1.8470329670329673</v>
      </c>
      <c r="U56" s="4">
        <f>J57</f>
        <v>1.0333333333333332</v>
      </c>
      <c r="V56" s="4">
        <f>K57</f>
        <v>1.0317460317460316</v>
      </c>
    </row>
    <row r="57" spans="2:27" x14ac:dyDescent="0.15">
      <c r="B57" s="3" t="s">
        <v>2</v>
      </c>
      <c r="C57" s="4">
        <f>E10</f>
        <v>1.5</v>
      </c>
      <c r="D57" s="4">
        <f t="shared" ref="D57" si="9">F10</f>
        <v>1</v>
      </c>
      <c r="E57" s="4">
        <f t="shared" ref="E57" si="10">G10</f>
        <v>1.5</v>
      </c>
      <c r="H57" s="3" t="s">
        <v>99</v>
      </c>
      <c r="I57" s="4">
        <f>(I67*$H$46)+1*(1-I67)</f>
        <v>1.3992673992673994</v>
      </c>
      <c r="J57" s="4">
        <f>(I71*$H$46)+1*(1-I71)</f>
        <v>1.0333333333333332</v>
      </c>
      <c r="K57" s="4">
        <f>(I75*$H$46)+1*(1-I75)</f>
        <v>1.0317460317460316</v>
      </c>
      <c r="T57" s="1">
        <f>T55*T56</f>
        <v>0.88901147204443931</v>
      </c>
      <c r="U57" s="1">
        <f t="shared" ref="U57" si="11">U55*U56</f>
        <v>2.1414800000000001</v>
      </c>
      <c r="V57" s="1">
        <f t="shared" ref="V57" si="12">V55*V56</f>
        <v>0.38911564625850331</v>
      </c>
    </row>
    <row r="58" spans="2:27" x14ac:dyDescent="0.15">
      <c r="B58" s="3" t="s">
        <v>1</v>
      </c>
      <c r="C58" s="4">
        <f>E11</f>
        <v>0.3</v>
      </c>
      <c r="D58" s="4">
        <f>F11</f>
        <v>2.1</v>
      </c>
      <c r="E58" s="4">
        <f>G11</f>
        <v>0.2</v>
      </c>
      <c r="I58" s="1">
        <f>I56*I57</f>
        <v>0.67349353942760548</v>
      </c>
      <c r="J58" s="1">
        <f t="shared" ref="J58:K58" si="13">J56*J57</f>
        <v>1.6223333333333334</v>
      </c>
      <c r="K58" s="1">
        <f t="shared" si="13"/>
        <v>0.29478458049886619</v>
      </c>
      <c r="M58" s="1" t="s">
        <v>115</v>
      </c>
      <c r="O58" s="1" t="s">
        <v>118</v>
      </c>
      <c r="Q58" s="1" t="s">
        <v>119</v>
      </c>
    </row>
    <row r="59" spans="2:27" x14ac:dyDescent="0.15">
      <c r="B59" s="3" t="s">
        <v>6</v>
      </c>
      <c r="C59" s="4">
        <f>C57*C56</f>
        <v>12</v>
      </c>
      <c r="D59" s="4">
        <f>D57*D56</f>
        <v>2</v>
      </c>
      <c r="E59" s="4">
        <f>E57*E56</f>
        <v>4.5</v>
      </c>
      <c r="M59" s="1" t="s">
        <v>116</v>
      </c>
      <c r="O59" s="1" t="s">
        <v>117</v>
      </c>
      <c r="Q59" s="1" t="s">
        <v>120</v>
      </c>
    </row>
    <row r="60" spans="2:27" x14ac:dyDescent="0.15">
      <c r="B60" s="3" t="s">
        <v>18</v>
      </c>
      <c r="C60" s="4">
        <f>C56*C58*C57</f>
        <v>3.5999999999999996</v>
      </c>
      <c r="D60" s="4">
        <f>D56*D58*D57</f>
        <v>4.2</v>
      </c>
      <c r="E60" s="4">
        <f>E56*E58*E57</f>
        <v>0.90000000000000013</v>
      </c>
      <c r="M60" s="1" t="s">
        <v>117</v>
      </c>
    </row>
    <row r="61" spans="2:27" x14ac:dyDescent="0.15">
      <c r="C61" s="5"/>
    </row>
    <row r="62" spans="2:27" x14ac:dyDescent="0.15">
      <c r="B62" s="1" t="s">
        <v>85</v>
      </c>
    </row>
    <row r="63" spans="2:27" x14ac:dyDescent="0.15">
      <c r="B63" s="3" t="s">
        <v>89</v>
      </c>
      <c r="C63" s="1" t="s">
        <v>86</v>
      </c>
      <c r="D63" s="1" t="s">
        <v>78</v>
      </c>
      <c r="E63" s="1" t="s">
        <v>79</v>
      </c>
      <c r="F63" s="1" t="s">
        <v>80</v>
      </c>
      <c r="G63" s="1" t="s">
        <v>81</v>
      </c>
      <c r="H63" s="1" t="s">
        <v>82</v>
      </c>
      <c r="I63" s="1" t="s">
        <v>83</v>
      </c>
      <c r="J63" s="1" t="s">
        <v>84</v>
      </c>
    </row>
    <row r="64" spans="2:27" x14ac:dyDescent="0.15">
      <c r="C64" s="13">
        <v>6</v>
      </c>
      <c r="D64" s="4">
        <f>VLOOKUP(C64,AI!$A$2:$B$7,2,0)</f>
        <v>2</v>
      </c>
      <c r="E64" s="4">
        <f>VLOOKUP(C64,AI!$C$2:$D$7,2,0)</f>
        <v>2</v>
      </c>
      <c r="F64" s="4">
        <f>VLOOKUP(C64,AI!$E$2:$F$7,2,0)</f>
        <v>2</v>
      </c>
      <c r="G64" s="4">
        <f>VLOOKUP(C64,AI!$G$2:$H$7,2,0)</f>
        <v>0</v>
      </c>
      <c r="H64" s="4">
        <f>VLOOKUP(C64,AI!$I$2:$J$7,2,0)</f>
        <v>1</v>
      </c>
      <c r="I64" s="4">
        <f>VLOOKUP(C64,AI!$K$2:$L$7,2,0)</f>
        <v>5</v>
      </c>
      <c r="J64" s="4">
        <f>VLOOKUP(C64,AI!$M$2:$N$7,2,0)</f>
        <v>8</v>
      </c>
      <c r="M64" s="17" t="s">
        <v>114</v>
      </c>
    </row>
    <row r="65" spans="2:14" x14ac:dyDescent="0.15">
      <c r="C65" s="1" t="s">
        <v>88</v>
      </c>
      <c r="D65" s="12">
        <f>D64/($D$64+$E$64+$H$64+$I$64)</f>
        <v>0.2</v>
      </c>
      <c r="E65" s="12">
        <f>E64/($D$64+$E$64+$H$64+$I$64)</f>
        <v>0.2</v>
      </c>
      <c r="F65" s="12"/>
      <c r="G65" s="4"/>
      <c r="H65" s="12">
        <f>H64/($D$64+$E$64+$H$64+$I$64)</f>
        <v>0.1</v>
      </c>
      <c r="I65" s="12">
        <f>I64/($D$64+$E$64+$H$64+$I$64)</f>
        <v>0.5</v>
      </c>
      <c r="J65" s="12"/>
      <c r="N65" s="1" t="s">
        <v>127</v>
      </c>
    </row>
    <row r="66" spans="2:14" x14ac:dyDescent="0.15">
      <c r="C66" s="1" t="s">
        <v>88</v>
      </c>
      <c r="D66" s="12">
        <f>D64/($D$64+$E$64+$H$64+$J$64)</f>
        <v>0.15384615384615385</v>
      </c>
      <c r="E66" s="12">
        <f>E64/($D$64+$E$64+$H$64+$J$64)</f>
        <v>0.15384615384615385</v>
      </c>
      <c r="F66" s="12"/>
      <c r="G66" s="4"/>
      <c r="H66" s="12">
        <f>H64/($D$64+$E$64+$H$64+$J$64)</f>
        <v>7.6923076923076927E-2</v>
      </c>
      <c r="I66" s="12"/>
      <c r="J66" s="12">
        <f>J64/($D$64+$E$64+$H$64+$J$64)</f>
        <v>0.61538461538461542</v>
      </c>
    </row>
    <row r="67" spans="2:14" x14ac:dyDescent="0.15">
      <c r="C67" s="1" t="s">
        <v>96</v>
      </c>
      <c r="D67" s="12">
        <f>D65*(1-$C$38)+D66*$C$38</f>
        <v>0.16043956043956045</v>
      </c>
      <c r="E67" s="12">
        <f>E65*(1-$C$38)+E66*$C$38</f>
        <v>0.16043956043956045</v>
      </c>
      <c r="F67" s="12"/>
      <c r="G67" s="4"/>
      <c r="H67" s="12">
        <f>H65*(1-$C$38)+H66*$C$38</f>
        <v>8.0219780219780226E-2</v>
      </c>
      <c r="I67" s="12">
        <f>I65*(1-$C$38)+J66*$C$38</f>
        <v>0.59890109890109899</v>
      </c>
      <c r="J67" s="12"/>
    </row>
    <row r="69" spans="2:14" x14ac:dyDescent="0.15">
      <c r="B69" s="3" t="s">
        <v>92</v>
      </c>
      <c r="C69" s="1" t="s">
        <v>86</v>
      </c>
      <c r="D69" s="1" t="s">
        <v>78</v>
      </c>
      <c r="E69" s="1" t="s">
        <v>79</v>
      </c>
      <c r="F69" s="1" t="s">
        <v>80</v>
      </c>
      <c r="G69" s="1" t="s">
        <v>81</v>
      </c>
      <c r="H69" s="1" t="s">
        <v>82</v>
      </c>
      <c r="I69" s="1" t="s">
        <v>83</v>
      </c>
      <c r="J69" s="1" t="s">
        <v>84</v>
      </c>
    </row>
    <row r="70" spans="2:14" x14ac:dyDescent="0.15">
      <c r="C70" s="13">
        <v>1</v>
      </c>
      <c r="D70" s="4">
        <f>VLOOKUP(C70,AI!$A$2:$B$7,2,0)</f>
        <v>16</v>
      </c>
      <c r="E70" s="4">
        <f>VLOOKUP(C70,AI!$C$2:$D$7,2,0)</f>
        <v>2</v>
      </c>
      <c r="F70" s="4">
        <f>VLOOKUP(C70,AI!$E$2:$F$7,2,0)</f>
        <v>2</v>
      </c>
      <c r="G70" s="4">
        <f>VLOOKUP(C70,AI!$G$2:$H$7,2,0)</f>
        <v>1</v>
      </c>
      <c r="H70" s="4">
        <f>VLOOKUP(C70,AI!$I$2:$J$7,2,0)</f>
        <v>2</v>
      </c>
      <c r="I70" s="4">
        <f>VLOOKUP(C70,AI!$K$2:$L$7,2,0)</f>
        <v>1</v>
      </c>
      <c r="J70" s="4">
        <f>VLOOKUP(C70,AI!$M$2:$N$7,2,0)</f>
        <v>0</v>
      </c>
    </row>
    <row r="71" spans="2:14" x14ac:dyDescent="0.15">
      <c r="C71" s="1" t="s">
        <v>88</v>
      </c>
      <c r="D71" s="12">
        <f>D70/($D$70+$E$70+$G$70+$I$70)</f>
        <v>0.8</v>
      </c>
      <c r="E71" s="12">
        <f>E70/($D$70+$E$70+$G$70+$I$70)</f>
        <v>0.1</v>
      </c>
      <c r="F71" s="12"/>
      <c r="G71" s="12">
        <f>G70/($D$70+$E$70+$G$70+$I$70)</f>
        <v>0.05</v>
      </c>
      <c r="H71" s="12"/>
      <c r="I71" s="12">
        <f>I70/($D$70+$E$70+$G$70+$I$70)</f>
        <v>0.05</v>
      </c>
      <c r="J71" s="12">
        <f>J70/($D$64+$E$64+$G$64+$J$64)</f>
        <v>0</v>
      </c>
    </row>
    <row r="73" spans="2:14" x14ac:dyDescent="0.15">
      <c r="B73" s="3" t="s">
        <v>93</v>
      </c>
      <c r="C73" s="1" t="s">
        <v>86</v>
      </c>
      <c r="D73" s="1" t="s">
        <v>78</v>
      </c>
      <c r="E73" s="1" t="s">
        <v>79</v>
      </c>
      <c r="F73" s="1" t="s">
        <v>80</v>
      </c>
      <c r="G73" s="1" t="s">
        <v>81</v>
      </c>
      <c r="H73" s="1" t="s">
        <v>82</v>
      </c>
      <c r="I73" s="1" t="s">
        <v>83</v>
      </c>
      <c r="J73" s="1" t="s">
        <v>84</v>
      </c>
    </row>
    <row r="74" spans="2:14" x14ac:dyDescent="0.15">
      <c r="C74" s="13">
        <v>4</v>
      </c>
      <c r="D74" s="4">
        <f>VLOOKUP(C74,AI!$A$2:$B$7,2,0)</f>
        <v>2</v>
      </c>
      <c r="E74" s="4">
        <f>VLOOKUP(C74,AI!$C$2:$D$7,2,0)</f>
        <v>2</v>
      </c>
      <c r="F74" s="4">
        <f>VLOOKUP(C74,AI!$E$2:$F$7,2,0)</f>
        <v>2</v>
      </c>
      <c r="G74" s="4">
        <f>VLOOKUP(C74,AI!$G$2:$H$7,2,0)</f>
        <v>16</v>
      </c>
      <c r="H74" s="4">
        <f>VLOOKUP(C74,AI!$I$2:$J$7,2,0)</f>
        <v>2</v>
      </c>
      <c r="I74" s="4">
        <f>VLOOKUP(C74,AI!$K$2:$L$7,2,0)</f>
        <v>1</v>
      </c>
      <c r="J74" s="4">
        <f>VLOOKUP(C74,AI!$M$2:$N$7,2,0)</f>
        <v>0</v>
      </c>
    </row>
    <row r="75" spans="2:14" x14ac:dyDescent="0.15">
      <c r="C75" s="1" t="s">
        <v>88</v>
      </c>
      <c r="D75" s="12">
        <f>D74/($D$74+$E$74+$G$74+$I$74)</f>
        <v>9.5238095238095233E-2</v>
      </c>
      <c r="E75" s="12">
        <f>E74/($D$74+$E$74+$G$74+$I$74)</f>
        <v>9.5238095238095233E-2</v>
      </c>
      <c r="F75" s="12"/>
      <c r="G75" s="12">
        <f>G74/($D$74+$E$74+$G$74+$I$74)</f>
        <v>0.76190476190476186</v>
      </c>
      <c r="H75" s="12"/>
      <c r="I75" s="12">
        <f>I74/($D$74+$E$74+$G$74+$I$74)</f>
        <v>4.7619047619047616E-2</v>
      </c>
      <c r="J75" s="12">
        <f>J74/($D$64+$E$64+$G$64+$J$64)</f>
        <v>0</v>
      </c>
    </row>
    <row r="78" spans="2:14" x14ac:dyDescent="0.15">
      <c r="B78" s="1" t="s">
        <v>95</v>
      </c>
    </row>
    <row r="79" spans="2:14" x14ac:dyDescent="0.15">
      <c r="C79" s="3" t="s">
        <v>89</v>
      </c>
      <c r="D79" s="3" t="s">
        <v>94</v>
      </c>
      <c r="E79" s="3" t="s">
        <v>93</v>
      </c>
      <c r="F79" s="2"/>
    </row>
    <row r="80" spans="2:14" x14ac:dyDescent="0.15">
      <c r="B80" s="3" t="s">
        <v>0</v>
      </c>
      <c r="C80" s="4">
        <f>SQRT($C$83/($C$56*$C$57))*C56</f>
        <v>5.8864392112158397</v>
      </c>
      <c r="D80" s="4">
        <f>SQRT($D$83/($D$56*$D$57))*D56</f>
        <v>1.9674775073518591</v>
      </c>
      <c r="E80" s="4">
        <f>SQRT($E$83/($E$56*$E$57))*E56</f>
        <v>2.9534855549125214</v>
      </c>
    </row>
    <row r="81" spans="2:5" x14ac:dyDescent="0.15">
      <c r="B81" s="3" t="s">
        <v>2</v>
      </c>
      <c r="C81" s="4">
        <f>SQRT($C$83/($C$56*$C$57))*C57</f>
        <v>1.1037073521029699</v>
      </c>
      <c r="D81" s="4">
        <f>SQRT($D$83/($D$56*$D$57))*D57</f>
        <v>0.98373875367592956</v>
      </c>
      <c r="E81" s="4">
        <f>SQRT($E$83/($E$56*$E$57))*E57</f>
        <v>1.4767427774562607</v>
      </c>
    </row>
    <row r="82" spans="2:5" x14ac:dyDescent="0.15">
      <c r="B82" s="3" t="s">
        <v>1</v>
      </c>
      <c r="C82" s="4">
        <f>C58/T55</f>
        <v>0.62328767123287665</v>
      </c>
      <c r="D82" s="4">
        <f t="shared" ref="D82:E82" si="14">D58/U55</f>
        <v>1.0133178922987838</v>
      </c>
      <c r="E82" s="4">
        <f t="shared" si="14"/>
        <v>0.53030303030303039</v>
      </c>
    </row>
    <row r="83" spans="2:5" x14ac:dyDescent="0.15">
      <c r="B83" s="3" t="s">
        <v>97</v>
      </c>
      <c r="C83" s="4">
        <f>C59/T56</f>
        <v>6.4969062351261293</v>
      </c>
      <c r="D83" s="4">
        <f>D59/U56</f>
        <v>1.9354838709677422</v>
      </c>
      <c r="E83" s="4">
        <f>E59/V56</f>
        <v>4.361538461538462</v>
      </c>
    </row>
    <row r="84" spans="2:5" x14ac:dyDescent="0.15">
      <c r="B84" s="3" t="s">
        <v>107</v>
      </c>
      <c r="C84" s="4">
        <f>C82*C83</f>
        <v>4.0494415575101215</v>
      </c>
      <c r="D84" s="4">
        <f t="shared" ref="D84:E84" si="15">D82*D83</f>
        <v>1.9612604367073236</v>
      </c>
      <c r="E84" s="4">
        <f t="shared" si="15"/>
        <v>2.3129370629370634</v>
      </c>
    </row>
  </sheetData>
  <mergeCells count="6">
    <mergeCell ref="I7:K7"/>
    <mergeCell ref="P7:R7"/>
    <mergeCell ref="W7:Y7"/>
    <mergeCell ref="AK7:AM7"/>
    <mergeCell ref="AP7:AR7"/>
    <mergeCell ref="AD7:AF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"/>
  <sheetViews>
    <sheetView workbookViewId="0">
      <selection activeCell="J13" sqref="J13"/>
    </sheetView>
  </sheetViews>
  <sheetFormatPr defaultRowHeight="13.5" x14ac:dyDescent="0.15"/>
  <cols>
    <col min="2" max="2" width="13.25" bestFit="1" customWidth="1"/>
    <col min="4" max="4" width="13.25" bestFit="1" customWidth="1"/>
    <col min="6" max="6" width="34.125" bestFit="1" customWidth="1"/>
    <col min="8" max="8" width="17.5" bestFit="1" customWidth="1"/>
    <col min="10" max="10" width="33.875" bestFit="1" customWidth="1"/>
    <col min="12" max="12" width="13.25" bestFit="1" customWidth="1"/>
    <col min="14" max="14" width="38.5" bestFit="1" customWidth="1"/>
  </cols>
  <sheetData>
    <row r="1" spans="1:17" s="1" customFormat="1" ht="16.5" x14ac:dyDescent="0.15">
      <c r="B1" s="3" t="s">
        <v>78</v>
      </c>
      <c r="C1" s="3"/>
      <c r="D1" s="3" t="s">
        <v>79</v>
      </c>
      <c r="E1" s="3"/>
      <c r="F1" s="3" t="s">
        <v>80</v>
      </c>
      <c r="G1" s="3"/>
      <c r="H1" s="3" t="s">
        <v>81</v>
      </c>
      <c r="I1" s="3"/>
      <c r="J1" s="3" t="s">
        <v>82</v>
      </c>
      <c r="K1" s="3"/>
      <c r="L1" s="3" t="s">
        <v>83</v>
      </c>
      <c r="M1" s="3"/>
      <c r="N1" s="3" t="s">
        <v>84</v>
      </c>
      <c r="O1" s="3"/>
      <c r="P1" s="3"/>
      <c r="Q1" s="3"/>
    </row>
    <row r="2" spans="1:17" s="1" customFormat="1" ht="16.5" x14ac:dyDescent="0.15">
      <c r="A2" s="1">
        <v>1</v>
      </c>
      <c r="B2" s="1">
        <v>16</v>
      </c>
      <c r="C2" s="1">
        <v>1</v>
      </c>
      <c r="D2" s="1">
        <v>2</v>
      </c>
      <c r="E2" s="1">
        <v>1</v>
      </c>
      <c r="F2" s="1">
        <v>2</v>
      </c>
      <c r="G2" s="1">
        <v>1</v>
      </c>
      <c r="H2" s="1">
        <v>1</v>
      </c>
      <c r="I2" s="1">
        <v>1</v>
      </c>
      <c r="J2" s="1">
        <v>2</v>
      </c>
      <c r="K2" s="1">
        <v>1</v>
      </c>
      <c r="L2" s="1">
        <v>1</v>
      </c>
      <c r="M2" s="1">
        <v>1</v>
      </c>
      <c r="N2" s="1">
        <v>0</v>
      </c>
    </row>
    <row r="3" spans="1:17" s="1" customFormat="1" ht="16.5" x14ac:dyDescent="0.15">
      <c r="A3" s="1">
        <v>2</v>
      </c>
      <c r="B3" s="1">
        <v>2</v>
      </c>
      <c r="C3" s="1">
        <v>2</v>
      </c>
      <c r="D3" s="1">
        <v>16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2</v>
      </c>
      <c r="N3" s="1">
        <v>0</v>
      </c>
    </row>
    <row r="4" spans="1:17" s="1" customFormat="1" ht="16.5" x14ac:dyDescent="0.15">
      <c r="A4" s="1">
        <v>3</v>
      </c>
      <c r="B4" s="1">
        <v>2</v>
      </c>
      <c r="C4" s="1">
        <v>3</v>
      </c>
      <c r="D4" s="1">
        <v>2</v>
      </c>
      <c r="E4" s="1">
        <v>3</v>
      </c>
      <c r="F4" s="1">
        <v>2</v>
      </c>
      <c r="G4" s="1">
        <v>3</v>
      </c>
      <c r="H4" s="1">
        <v>2</v>
      </c>
      <c r="I4" s="1">
        <v>3</v>
      </c>
      <c r="J4" s="1">
        <v>16</v>
      </c>
      <c r="K4" s="1">
        <v>3</v>
      </c>
      <c r="L4" s="1">
        <v>1</v>
      </c>
      <c r="M4" s="1">
        <v>3</v>
      </c>
      <c r="N4" s="1">
        <v>0</v>
      </c>
    </row>
    <row r="5" spans="1:17" s="1" customFormat="1" ht="16.5" x14ac:dyDescent="0.15">
      <c r="A5" s="1">
        <v>4</v>
      </c>
      <c r="B5" s="1">
        <v>2</v>
      </c>
      <c r="C5" s="1">
        <v>4</v>
      </c>
      <c r="D5" s="1">
        <v>2</v>
      </c>
      <c r="E5" s="1">
        <v>4</v>
      </c>
      <c r="F5" s="1">
        <v>2</v>
      </c>
      <c r="G5" s="1">
        <v>4</v>
      </c>
      <c r="H5" s="1">
        <v>16</v>
      </c>
      <c r="I5" s="1">
        <v>4</v>
      </c>
      <c r="J5" s="1">
        <v>2</v>
      </c>
      <c r="K5" s="1">
        <v>4</v>
      </c>
      <c r="L5" s="1">
        <v>1</v>
      </c>
      <c r="M5" s="1">
        <v>4</v>
      </c>
      <c r="N5" s="1">
        <v>0</v>
      </c>
    </row>
    <row r="6" spans="1:17" s="1" customFormat="1" ht="16.5" x14ac:dyDescent="0.15">
      <c r="A6" s="1">
        <v>5</v>
      </c>
      <c r="B6" s="1">
        <v>10</v>
      </c>
      <c r="C6" s="1">
        <v>5</v>
      </c>
      <c r="D6" s="1">
        <v>50</v>
      </c>
      <c r="E6" s="1">
        <v>5</v>
      </c>
      <c r="F6" s="1">
        <v>350</v>
      </c>
      <c r="G6" s="1">
        <v>5</v>
      </c>
      <c r="H6" s="1">
        <v>100</v>
      </c>
      <c r="I6" s="1">
        <v>5</v>
      </c>
      <c r="J6" s="1">
        <v>10</v>
      </c>
      <c r="K6" s="1">
        <v>5</v>
      </c>
      <c r="L6" s="1">
        <v>1</v>
      </c>
      <c r="M6" s="1">
        <v>5</v>
      </c>
      <c r="N6" s="1">
        <v>0</v>
      </c>
    </row>
    <row r="7" spans="1:17" s="1" customFormat="1" ht="16.5" x14ac:dyDescent="0.15">
      <c r="A7" s="1">
        <v>6</v>
      </c>
      <c r="B7" s="1">
        <v>2</v>
      </c>
      <c r="C7" s="1">
        <v>6</v>
      </c>
      <c r="D7" s="1">
        <v>2</v>
      </c>
      <c r="E7" s="1">
        <v>6</v>
      </c>
      <c r="F7" s="1">
        <v>2</v>
      </c>
      <c r="G7" s="1">
        <v>6</v>
      </c>
      <c r="H7" s="1">
        <v>0</v>
      </c>
      <c r="I7" s="1">
        <v>6</v>
      </c>
      <c r="J7" s="1">
        <v>1</v>
      </c>
      <c r="K7" s="1">
        <v>6</v>
      </c>
      <c r="L7" s="1">
        <v>5</v>
      </c>
      <c r="M7" s="1">
        <v>6</v>
      </c>
      <c r="N7" s="1">
        <v>8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4" workbookViewId="0">
      <selection activeCell="D63" sqref="D63"/>
    </sheetView>
  </sheetViews>
  <sheetFormatPr defaultRowHeight="16.5" x14ac:dyDescent="0.15"/>
  <cols>
    <col min="1" max="16384" width="9" style="1"/>
  </cols>
  <sheetData>
    <row r="1" spans="1:10" x14ac:dyDescent="0.15">
      <c r="A1" s="3" t="s">
        <v>134</v>
      </c>
    </row>
    <row r="2" spans="1:10" x14ac:dyDescent="0.15">
      <c r="D2" s="3" t="s">
        <v>132</v>
      </c>
      <c r="E2" s="3" t="s">
        <v>135</v>
      </c>
    </row>
    <row r="3" spans="1:10" x14ac:dyDescent="0.15">
      <c r="C3" s="3" t="s">
        <v>9</v>
      </c>
      <c r="D3" s="1">
        <f>职业定位属性配比!C3</f>
        <v>1.3</v>
      </c>
      <c r="E3" s="1">
        <v>3</v>
      </c>
    </row>
    <row r="4" spans="1:10" x14ac:dyDescent="0.15">
      <c r="C4" s="3" t="s">
        <v>10</v>
      </c>
      <c r="D4" s="1">
        <f>职业定位属性配比!C4</f>
        <v>1.35</v>
      </c>
    </row>
    <row r="5" spans="1:10" x14ac:dyDescent="0.15">
      <c r="C5" s="3" t="s">
        <v>111</v>
      </c>
      <c r="D5" s="1">
        <f>职业定位属性配比!C5</f>
        <v>1.7550000000000001</v>
      </c>
    </row>
    <row r="7" spans="1:10" x14ac:dyDescent="0.15">
      <c r="B7" s="1" t="s">
        <v>133</v>
      </c>
    </row>
    <row r="8" spans="1:10" x14ac:dyDescent="0.15">
      <c r="B8" s="3" t="s">
        <v>5</v>
      </c>
      <c r="C8" s="1" t="s">
        <v>86</v>
      </c>
      <c r="D8" s="1" t="s">
        <v>78</v>
      </c>
      <c r="E8" s="1" t="s">
        <v>79</v>
      </c>
      <c r="F8" s="1" t="s">
        <v>80</v>
      </c>
      <c r="G8" s="1" t="s">
        <v>81</v>
      </c>
      <c r="H8" s="1" t="s">
        <v>82</v>
      </c>
      <c r="I8" s="1" t="s">
        <v>83</v>
      </c>
      <c r="J8" s="1" t="s">
        <v>84</v>
      </c>
    </row>
    <row r="9" spans="1:10" x14ac:dyDescent="0.15">
      <c r="C9" s="13">
        <v>4</v>
      </c>
      <c r="D9" s="4">
        <f>VLOOKUP(C9,AI!$A$2:$B$7,2,0)</f>
        <v>2</v>
      </c>
      <c r="E9" s="4">
        <f>VLOOKUP(C9,AI!$C$2:$D$7,2,0)</f>
        <v>2</v>
      </c>
      <c r="F9" s="4">
        <f>VLOOKUP(C9,AI!$E$2:$F$7,2,0)</f>
        <v>2</v>
      </c>
      <c r="G9" s="4">
        <f>VLOOKUP(C9,AI!$G$2:$H$7,2,0)</f>
        <v>16</v>
      </c>
      <c r="H9" s="4">
        <f>VLOOKUP(C9,AI!$I$2:$J$7,2,0)</f>
        <v>2</v>
      </c>
      <c r="I9" s="4">
        <f>VLOOKUP(C9,AI!$K$2:$L$7,2,0)</f>
        <v>1</v>
      </c>
      <c r="J9" s="4">
        <f>VLOOKUP(C9,AI!$M$2:$N$7,2,0)</f>
        <v>0</v>
      </c>
    </row>
    <row r="10" spans="1:10" x14ac:dyDescent="0.15">
      <c r="C10" s="1" t="s">
        <v>88</v>
      </c>
      <c r="D10" s="12">
        <f>D9/($D$9+$E$9+$G$9+$I$9)</f>
        <v>9.5238095238095233E-2</v>
      </c>
      <c r="E10" s="12">
        <f>E9/($D$9+$E$9+$G$9+$I$9)</f>
        <v>9.5238095238095233E-2</v>
      </c>
      <c r="F10" s="12"/>
      <c r="G10" s="12">
        <f>G9/($D$9+$E$9+$G$9+$I$9)</f>
        <v>0.76190476190476186</v>
      </c>
      <c r="H10" s="12"/>
      <c r="I10" s="12">
        <f>I9/($D$9+$E$9+$G$9+$I$9)</f>
        <v>4.7619047619047616E-2</v>
      </c>
      <c r="J10" s="12">
        <f>J9/($D$9+$E$9+$G$9+$I$9)</f>
        <v>0</v>
      </c>
    </row>
    <row r="12" spans="1:10" x14ac:dyDescent="0.15">
      <c r="B12" s="1" t="s">
        <v>136</v>
      </c>
    </row>
    <row r="13" spans="1:10" x14ac:dyDescent="0.15">
      <c r="C13" s="1" t="s">
        <v>138</v>
      </c>
    </row>
    <row r="14" spans="1:10" x14ac:dyDescent="0.15">
      <c r="D14" s="3" t="s">
        <v>137</v>
      </c>
      <c r="E14" s="3" t="s">
        <v>4</v>
      </c>
      <c r="F14" s="3" t="s">
        <v>5</v>
      </c>
      <c r="G14" s="3" t="s">
        <v>139</v>
      </c>
    </row>
    <row r="15" spans="1:10" x14ac:dyDescent="0.15">
      <c r="C15" s="3" t="s">
        <v>9</v>
      </c>
      <c r="D15" s="1">
        <f>($D$3-1)*职业定位属性配比!E11</f>
        <v>9.0000000000000011E-2</v>
      </c>
      <c r="E15" s="1">
        <f>($D$3-1)*职业定位属性配比!F11</f>
        <v>0.63000000000000012</v>
      </c>
      <c r="F15" s="1">
        <f>($D$3-1)*职业定位属性配比!G11</f>
        <v>6.0000000000000012E-2</v>
      </c>
      <c r="G15" s="1">
        <f>SUM(D15:F15)/3</f>
        <v>0.26000000000000006</v>
      </c>
    </row>
    <row r="16" spans="1:10" x14ac:dyDescent="0.15">
      <c r="C16" s="3" t="s">
        <v>140</v>
      </c>
      <c r="D16" s="1">
        <f>($D$4-1)*职业定位属性配比!E10</f>
        <v>0.52500000000000013</v>
      </c>
      <c r="E16" s="1">
        <f>($D$4-1)*职业定位属性配比!F10</f>
        <v>0.35000000000000009</v>
      </c>
      <c r="F16" s="1">
        <f>($D$4-1)*职业定位属性配比!G10</f>
        <v>0.52500000000000013</v>
      </c>
      <c r="G16" s="1">
        <f>SUM(D16:F16)/3</f>
        <v>0.46666666666666679</v>
      </c>
    </row>
    <row r="18" spans="1:8" x14ac:dyDescent="0.15">
      <c r="C18" s="1" t="s">
        <v>143</v>
      </c>
    </row>
    <row r="19" spans="1:8" x14ac:dyDescent="0.15">
      <c r="D19" s="3" t="s">
        <v>141</v>
      </c>
      <c r="E19" s="1">
        <v>0</v>
      </c>
      <c r="F19" s="1">
        <v>1</v>
      </c>
      <c r="G19" s="1">
        <v>2</v>
      </c>
      <c r="H19" s="1">
        <v>3</v>
      </c>
    </row>
    <row r="20" spans="1:8" x14ac:dyDescent="0.15">
      <c r="D20" s="3" t="s">
        <v>142</v>
      </c>
      <c r="E20" s="23">
        <f>(1-G10)^E3</f>
        <v>1.349746247705432E-2</v>
      </c>
      <c r="F20" s="23">
        <f>COMBIN($E$3,F19)*$G$10^F19*(1-$G$10)^($E$3-F19)</f>
        <v>0.12957563977972145</v>
      </c>
      <c r="G20" s="23">
        <f t="shared" ref="G20:H20" si="0">COMBIN($E$3,G19)*$G$10^G19*(1-$G$10)^($E$3-G19)</f>
        <v>0.41464204729510851</v>
      </c>
      <c r="H20" s="23">
        <f t="shared" si="0"/>
        <v>0.44228485044811566</v>
      </c>
    </row>
    <row r="21" spans="1:8" x14ac:dyDescent="0.15">
      <c r="C21" s="1" t="s">
        <v>145</v>
      </c>
    </row>
    <row r="22" spans="1:8" x14ac:dyDescent="0.15">
      <c r="D22" s="3" t="s">
        <v>144</v>
      </c>
      <c r="E22" s="1">
        <f>F20*G15*F19+G20*G15*G19+H20*G15*H19</f>
        <v>0.59428571428571431</v>
      </c>
    </row>
    <row r="23" spans="1:8" x14ac:dyDescent="0.15">
      <c r="D23" s="3" t="s">
        <v>10</v>
      </c>
      <c r="E23" s="1">
        <f>F20*G16*F19+G20*G16*G19+H20*G16*H19</f>
        <v>1.0666666666666669</v>
      </c>
    </row>
    <row r="25" spans="1:8" x14ac:dyDescent="0.15">
      <c r="A25" s="3" t="s">
        <v>128</v>
      </c>
    </row>
    <row r="26" spans="1:8" x14ac:dyDescent="0.15">
      <c r="C26" s="3" t="s">
        <v>130</v>
      </c>
      <c r="D26" s="3" t="s">
        <v>131</v>
      </c>
    </row>
    <row r="27" spans="1:8" x14ac:dyDescent="0.15">
      <c r="B27" s="3" t="s">
        <v>101</v>
      </c>
      <c r="C27" s="7">
        <f>职业定位属性配比!D46</f>
        <v>1.3</v>
      </c>
      <c r="D27" s="7">
        <f>职业定位属性配比!E46</f>
        <v>1.3</v>
      </c>
    </row>
    <row r="28" spans="1:8" x14ac:dyDescent="0.15">
      <c r="B28" s="3" t="s">
        <v>102</v>
      </c>
      <c r="C28" s="7">
        <f>职业定位属性配比!D47</f>
        <v>1.5</v>
      </c>
      <c r="D28" s="7">
        <f>职业定位属性配比!E47</f>
        <v>1.5</v>
      </c>
    </row>
    <row r="29" spans="1:8" x14ac:dyDescent="0.15">
      <c r="B29" s="3" t="s">
        <v>103</v>
      </c>
      <c r="C29" s="7">
        <f>职业定位属性配比!D48</f>
        <v>1.8</v>
      </c>
      <c r="D29" s="7">
        <f>职业定位属性配比!E48</f>
        <v>1.8</v>
      </c>
    </row>
    <row r="31" spans="1:8" x14ac:dyDescent="0.15">
      <c r="B31" s="3" t="s">
        <v>148</v>
      </c>
    </row>
    <row r="32" spans="1:8" x14ac:dyDescent="0.15">
      <c r="C32" s="25" t="s">
        <v>149</v>
      </c>
    </row>
    <row r="33" spans="3:9" x14ac:dyDescent="0.15">
      <c r="D33" s="3" t="s">
        <v>101</v>
      </c>
      <c r="E33" s="7">
        <f>C27</f>
        <v>1.3</v>
      </c>
    </row>
    <row r="34" spans="3:9" x14ac:dyDescent="0.15">
      <c r="D34" s="3" t="s">
        <v>102</v>
      </c>
      <c r="E34" s="7">
        <f t="shared" ref="E34:E35" si="1">C28</f>
        <v>1.5</v>
      </c>
    </row>
    <row r="35" spans="3:9" x14ac:dyDescent="0.15">
      <c r="D35" s="3" t="s">
        <v>103</v>
      </c>
      <c r="E35" s="7">
        <f t="shared" si="1"/>
        <v>1.8</v>
      </c>
    </row>
    <row r="37" spans="3:9" x14ac:dyDescent="0.15">
      <c r="C37" s="1" t="s">
        <v>150</v>
      </c>
    </row>
    <row r="38" spans="3:9" x14ac:dyDescent="0.15">
      <c r="D38" s="3" t="s">
        <v>151</v>
      </c>
    </row>
    <row r="39" spans="3:9" x14ac:dyDescent="0.15">
      <c r="E39" s="3" t="s">
        <v>152</v>
      </c>
      <c r="F39" s="3" t="s">
        <v>153</v>
      </c>
      <c r="G39" s="3" t="s">
        <v>154</v>
      </c>
      <c r="H39" s="3" t="s">
        <v>155</v>
      </c>
      <c r="I39" s="27" t="s">
        <v>156</v>
      </c>
    </row>
    <row r="40" spans="3:9" x14ac:dyDescent="0.15">
      <c r="E40" s="1">
        <v>1</v>
      </c>
      <c r="F40" s="1">
        <v>0</v>
      </c>
      <c r="G40" s="5">
        <f>F40*(1-1/职业定位属性配比!$N$55)</f>
        <v>0</v>
      </c>
      <c r="H40" s="5">
        <f>SUM($G$40:G40)</f>
        <v>0</v>
      </c>
      <c r="I40" s="25">
        <v>0</v>
      </c>
    </row>
    <row r="41" spans="3:9" x14ac:dyDescent="0.15">
      <c r="E41" s="1">
        <v>2</v>
      </c>
      <c r="F41" s="17">
        <v>0.1</v>
      </c>
      <c r="G41" s="5">
        <f>F41*(1-1/职业定位属性配比!$N$55)</f>
        <v>1.6666666666666663E-2</v>
      </c>
      <c r="H41" s="5">
        <f>SUM($G$40:G41)</f>
        <v>1.6666666666666663E-2</v>
      </c>
      <c r="I41" s="25">
        <f>H41/(1-1/职业定位属性配比!$N$55)</f>
        <v>0.1</v>
      </c>
    </row>
    <row r="42" spans="3:9" x14ac:dyDescent="0.15">
      <c r="E42" s="1">
        <v>3</v>
      </c>
      <c r="F42" s="17">
        <v>0.34</v>
      </c>
      <c r="G42" s="5">
        <f>(1-F41)*F42*(1-1/职业定位属性配比!$N$55)</f>
        <v>5.0999999999999997E-2</v>
      </c>
      <c r="H42" s="5">
        <f>SUM($G$40:G42)</f>
        <v>6.7666666666666653E-2</v>
      </c>
      <c r="I42" s="25">
        <f>H42/(1-1/职业定位属性配比!$N$55)</f>
        <v>0.40600000000000003</v>
      </c>
    </row>
    <row r="43" spans="3:9" x14ac:dyDescent="0.15">
      <c r="E43" s="1">
        <v>4</v>
      </c>
      <c r="F43" s="17">
        <v>0.5</v>
      </c>
      <c r="G43" s="5">
        <f>(1-F42)*(1-F41)*F43*(1-1/职业定位属性配比!$N$55)</f>
        <v>4.9499999999999988E-2</v>
      </c>
      <c r="H43" s="5">
        <f>SUM($G$40:G43)</f>
        <v>0.11716666666666664</v>
      </c>
      <c r="I43" s="25">
        <f>H43/(1-1/职业定位属性配比!$N$55)</f>
        <v>0.70299999999999996</v>
      </c>
    </row>
    <row r="44" spans="3:9" x14ac:dyDescent="0.15">
      <c r="E44" s="1">
        <v>5</v>
      </c>
      <c r="F44" s="17">
        <v>0.7</v>
      </c>
      <c r="G44" s="5">
        <f>(1-F42)*(1-F43)*(1-F41)*F44*(1-1/职业定位属性配比!$N$55)</f>
        <v>3.4649999999999986E-2</v>
      </c>
      <c r="H44" s="5">
        <f>SUM($G$40:G44)</f>
        <v>0.15181666666666663</v>
      </c>
      <c r="I44" s="25">
        <f>H44/(1-1/职业定位属性配比!$N$55)</f>
        <v>0.91089999999999993</v>
      </c>
    </row>
    <row r="45" spans="3:9" x14ac:dyDescent="0.15">
      <c r="E45" s="1">
        <v>6</v>
      </c>
      <c r="F45" s="17">
        <v>0.7</v>
      </c>
      <c r="G45" s="5">
        <f>(1-F42)*(1-F43)*(1-F44)*(1-F41)*F45*(1-1/职业定位属性配比!$N$55)</f>
        <v>1.0394999999999998E-2</v>
      </c>
      <c r="H45" s="5">
        <f>SUM($G$40:G45)</f>
        <v>0.16221166666666662</v>
      </c>
      <c r="I45" s="25">
        <f>H45/(1-1/职业定位属性配比!$N$55)</f>
        <v>0.97326999999999986</v>
      </c>
    </row>
    <row r="46" spans="3:9" x14ac:dyDescent="0.15">
      <c r="F46" s="17"/>
      <c r="G46" s="5"/>
      <c r="H46" s="5"/>
      <c r="I46" s="25"/>
    </row>
    <row r="47" spans="3:9" x14ac:dyDescent="0.15">
      <c r="D47" s="3" t="s">
        <v>101</v>
      </c>
      <c r="E47" s="7">
        <f>C27*(1-$H$42)</f>
        <v>1.2120333333333333</v>
      </c>
      <c r="F47" s="25" t="s">
        <v>175</v>
      </c>
    </row>
    <row r="48" spans="3:9" x14ac:dyDescent="0.15">
      <c r="D48" s="3" t="s">
        <v>102</v>
      </c>
      <c r="E48" s="7">
        <f t="shared" ref="E48:E49" si="2">C28*(1-$H$42)</f>
        <v>1.3985000000000001</v>
      </c>
    </row>
    <row r="49" spans="2:14" x14ac:dyDescent="0.15">
      <c r="D49" s="3" t="s">
        <v>103</v>
      </c>
      <c r="E49" s="7">
        <f t="shared" si="2"/>
        <v>1.6782000000000001</v>
      </c>
    </row>
    <row r="51" spans="2:14" x14ac:dyDescent="0.15">
      <c r="B51" s="27" t="s">
        <v>157</v>
      </c>
    </row>
    <row r="52" spans="2:14" x14ac:dyDescent="0.15">
      <c r="C52" s="1" t="s">
        <v>158</v>
      </c>
      <c r="D52"/>
      <c r="E52"/>
      <c r="F52"/>
      <c r="G52"/>
      <c r="H52"/>
      <c r="I52"/>
      <c r="J52"/>
      <c r="K52"/>
      <c r="L52"/>
      <c r="M52"/>
      <c r="N52"/>
    </row>
    <row r="53" spans="2:14" x14ac:dyDescent="0.15">
      <c r="C53"/>
      <c r="D53" s="3"/>
      <c r="E53" s="14" t="s">
        <v>159</v>
      </c>
      <c r="F53" s="14"/>
      <c r="G53" s="14" t="s">
        <v>160</v>
      </c>
      <c r="H53" s="14"/>
      <c r="I53" s="14" t="s">
        <v>161</v>
      </c>
      <c r="J53" s="14"/>
      <c r="K53" s="14" t="s">
        <v>162</v>
      </c>
      <c r="L53"/>
      <c r="M53" s="3" t="s">
        <v>163</v>
      </c>
      <c r="N53" s="3" t="s">
        <v>164</v>
      </c>
    </row>
    <row r="54" spans="2:14" x14ac:dyDescent="0.15">
      <c r="C54"/>
      <c r="D54" s="3" t="s">
        <v>165</v>
      </c>
      <c r="E54" s="3" t="s">
        <v>166</v>
      </c>
      <c r="F54" s="3" t="s">
        <v>167</v>
      </c>
      <c r="G54" s="3" t="s">
        <v>166</v>
      </c>
      <c r="H54" s="3" t="s">
        <v>167</v>
      </c>
      <c r="I54" s="3" t="s">
        <v>166</v>
      </c>
      <c r="J54" s="3" t="s">
        <v>167</v>
      </c>
      <c r="K54" s="14"/>
      <c r="L54" s="28" t="s">
        <v>168</v>
      </c>
      <c r="M54"/>
      <c r="N54" s="3"/>
    </row>
    <row r="55" spans="2:14" x14ac:dyDescent="0.15">
      <c r="C55"/>
      <c r="D55" s="1" t="s">
        <v>129</v>
      </c>
      <c r="E55" s="22">
        <v>1</v>
      </c>
      <c r="F55" s="1">
        <v>1</v>
      </c>
      <c r="G55"/>
      <c r="H55"/>
      <c r="I55"/>
      <c r="J55"/>
      <c r="K55" s="1">
        <v>1</v>
      </c>
      <c r="L55" s="28"/>
      <c r="M55"/>
      <c r="N55" s="3"/>
    </row>
    <row r="56" spans="2:14" x14ac:dyDescent="0.15">
      <c r="C56"/>
      <c r="D56" s="1" t="s">
        <v>169</v>
      </c>
      <c r="E56" s="22">
        <v>0.2</v>
      </c>
      <c r="F56" s="1">
        <v>1.5</v>
      </c>
      <c r="G56" s="22">
        <v>0.8</v>
      </c>
      <c r="H56" s="1">
        <v>1</v>
      </c>
      <c r="I56"/>
      <c r="J56"/>
      <c r="K56" s="29">
        <v>1.1000000000000001</v>
      </c>
      <c r="L56" s="30">
        <v>4.8636363636363633</v>
      </c>
      <c r="M56" s="1">
        <v>0.8</v>
      </c>
      <c r="N56" s="31">
        <v>0.15555555555555556</v>
      </c>
    </row>
    <row r="57" spans="2:14" x14ac:dyDescent="0.15">
      <c r="C57"/>
      <c r="D57" s="1" t="s">
        <v>170</v>
      </c>
      <c r="E57" s="22">
        <v>0.2</v>
      </c>
      <c r="F57" s="1">
        <v>1.5</v>
      </c>
      <c r="G57" s="22">
        <v>0.8</v>
      </c>
      <c r="H57" s="1">
        <v>1</v>
      </c>
      <c r="I57"/>
      <c r="J57"/>
      <c r="K57" s="29">
        <v>1.1000000000000001</v>
      </c>
      <c r="L57" s="30">
        <v>4.8636363636363633</v>
      </c>
      <c r="M57" s="1">
        <v>0.6</v>
      </c>
      <c r="N57" s="31">
        <v>0.11666666666666667</v>
      </c>
    </row>
    <row r="58" spans="2:14" x14ac:dyDescent="0.15">
      <c r="C58"/>
      <c r="D58" s="1" t="s">
        <v>171</v>
      </c>
      <c r="E58" s="22">
        <v>0.2</v>
      </c>
      <c r="F58" s="1">
        <v>1.5</v>
      </c>
      <c r="G58" s="22">
        <v>0.2</v>
      </c>
      <c r="H58" s="1">
        <v>0.75</v>
      </c>
      <c r="I58" s="22">
        <v>0.6</v>
      </c>
      <c r="J58" s="1">
        <v>1</v>
      </c>
      <c r="K58" s="29">
        <v>1.05</v>
      </c>
      <c r="L58" s="30">
        <v>5.0952380952380949</v>
      </c>
      <c r="M58" s="1">
        <v>1</v>
      </c>
      <c r="N58" s="31">
        <v>0.20370370370370369</v>
      </c>
    </row>
    <row r="59" spans="2:14" x14ac:dyDescent="0.15">
      <c r="C59"/>
      <c r="D59" s="1" t="s">
        <v>172</v>
      </c>
      <c r="E59" s="22">
        <v>0.2</v>
      </c>
      <c r="F59" s="1">
        <v>1.5</v>
      </c>
      <c r="G59" s="22">
        <v>0.2</v>
      </c>
      <c r="H59" s="1">
        <v>0.75</v>
      </c>
      <c r="I59" s="22">
        <v>0.6</v>
      </c>
      <c r="J59" s="1">
        <v>1</v>
      </c>
      <c r="K59" s="29">
        <v>1.05</v>
      </c>
      <c r="L59" s="30">
        <v>5.0952380952380949</v>
      </c>
      <c r="M59" s="1">
        <v>1</v>
      </c>
      <c r="N59" s="31">
        <v>0.20370370370370369</v>
      </c>
    </row>
    <row r="60" spans="2:14" x14ac:dyDescent="0.15">
      <c r="C60"/>
      <c r="D60" s="1" t="s">
        <v>173</v>
      </c>
      <c r="E60" s="22">
        <v>0.2</v>
      </c>
      <c r="F60" s="1">
        <v>1.5</v>
      </c>
      <c r="G60" s="22">
        <v>0.2</v>
      </c>
      <c r="H60" s="1">
        <v>0.75</v>
      </c>
      <c r="I60" s="22">
        <v>0.6</v>
      </c>
      <c r="J60" s="1">
        <v>1</v>
      </c>
      <c r="K60" s="29">
        <v>1.05</v>
      </c>
      <c r="L60" s="30">
        <v>5.0952380952380949</v>
      </c>
      <c r="M60" s="1">
        <v>1</v>
      </c>
      <c r="N60" s="31">
        <v>0.20370370370370369</v>
      </c>
    </row>
    <row r="62" spans="2:14" x14ac:dyDescent="0.15">
      <c r="C62" s="1" t="s">
        <v>174</v>
      </c>
      <c r="D62" s="26">
        <f>SUM(K56:K60)/5</f>
        <v>1.0699999999999998</v>
      </c>
    </row>
    <row r="64" spans="2:14" x14ac:dyDescent="0.15">
      <c r="C64" s="25" t="s">
        <v>149</v>
      </c>
    </row>
    <row r="65" spans="4:5" x14ac:dyDescent="0.15">
      <c r="D65" s="3" t="s">
        <v>101</v>
      </c>
      <c r="E65" s="7">
        <f>D27/$D$62</f>
        <v>1.2149532710280375</v>
      </c>
    </row>
    <row r="66" spans="4:5" x14ac:dyDescent="0.15">
      <c r="D66" s="3" t="s">
        <v>102</v>
      </c>
      <c r="E66" s="7">
        <f t="shared" ref="E66:E67" si="3">D28/$D$62</f>
        <v>1.4018691588785048</v>
      </c>
    </row>
    <row r="67" spans="4:5" x14ac:dyDescent="0.15">
      <c r="D67" s="3" t="s">
        <v>103</v>
      </c>
      <c r="E67" s="7">
        <f t="shared" si="3"/>
        <v>1.6822429906542058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职业定位属性配比</vt:lpstr>
      <vt:lpstr>AI</vt:lpstr>
      <vt:lpstr>技能实现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yuuki</cp:lastModifiedBy>
  <dcterms:created xsi:type="dcterms:W3CDTF">2015-09-15T03:28:34Z</dcterms:created>
  <dcterms:modified xsi:type="dcterms:W3CDTF">2015-09-21T02:26:19Z</dcterms:modified>
</cp:coreProperties>
</file>