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OneDrive - Numerical Algorithms Group Ltd\Tutorials\SC19\slides\"/>
    </mc:Choice>
  </mc:AlternateContent>
  <xr:revisionPtr revIDLastSave="1" documentId="13_ncr:1_{B36CDE9B-F8B6-477F-820E-350C6CA5154F}" xr6:coauthVersionLast="45" xr6:coauthVersionMax="45" xr10:uidLastSave="{E7470194-D0F7-447F-A08B-F22F458A971E}"/>
  <bookViews>
    <workbookView xWindow="-120" yWindow="-120" windowWidth="29040" windowHeight="15840" xr2:uid="{D042162B-0653-4147-950A-035BC0DFDAEE}"/>
  </bookViews>
  <sheets>
    <sheet name="sc19" sheetId="3" r:id="rId1"/>
  </sheets>
  <definedNames>
    <definedName name="_xlnm.Print_Area" localSheetId="0">'sc19'!$A$1:$Q$84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3" l="1"/>
  <c r="B82" i="3" l="1"/>
  <c r="B59" i="3"/>
  <c r="B83" i="3" s="1"/>
  <c r="B58" i="3"/>
  <c r="B57" i="3"/>
  <c r="B56" i="3"/>
  <c r="B55" i="3"/>
  <c r="B54" i="3"/>
  <c r="B52" i="3"/>
  <c r="B51" i="3"/>
  <c r="B50" i="3"/>
  <c r="B74" i="3" s="1"/>
  <c r="B48" i="3"/>
  <c r="B46" i="3"/>
  <c r="B45" i="3"/>
  <c r="B43" i="3"/>
  <c r="B41" i="3"/>
  <c r="B49" i="3" l="1"/>
  <c r="B53" i="3"/>
  <c r="B44" i="3" s="1"/>
  <c r="J78" i="3"/>
  <c r="I75" i="3"/>
  <c r="H75" i="3"/>
  <c r="G75" i="3"/>
  <c r="F75" i="3"/>
  <c r="E75" i="3"/>
  <c r="I74" i="3"/>
  <c r="H74" i="3"/>
  <c r="G74" i="3"/>
  <c r="F74" i="3"/>
  <c r="E74" i="3"/>
  <c r="I73" i="3"/>
  <c r="J73" i="3" s="1"/>
  <c r="E72" i="3"/>
  <c r="J72" i="3" s="1"/>
  <c r="F67" i="3"/>
  <c r="F65" i="3"/>
  <c r="G65" i="3"/>
  <c r="H65" i="3"/>
  <c r="I65" i="3"/>
  <c r="G68" i="3"/>
  <c r="G69" i="3"/>
  <c r="J67" i="3"/>
  <c r="J54" i="3"/>
  <c r="J53" i="3"/>
  <c r="I51" i="3"/>
  <c r="H51" i="3"/>
  <c r="G51" i="3"/>
  <c r="F51" i="3"/>
  <c r="E51" i="3"/>
  <c r="I50" i="3"/>
  <c r="H50" i="3"/>
  <c r="G50" i="3"/>
  <c r="F50" i="3"/>
  <c r="E50" i="3"/>
  <c r="I49" i="3"/>
  <c r="J49" i="3" s="1"/>
  <c r="E48" i="3"/>
  <c r="J48" i="3" s="1"/>
  <c r="F43" i="3"/>
  <c r="J43" i="3" s="1"/>
  <c r="F41" i="3"/>
  <c r="G41" i="3"/>
  <c r="H41" i="3"/>
  <c r="I41" i="3"/>
  <c r="F27" i="3"/>
  <c r="G27" i="3"/>
  <c r="H27" i="3"/>
  <c r="I27" i="3"/>
  <c r="E27" i="3"/>
  <c r="F26" i="3"/>
  <c r="G26" i="3"/>
  <c r="H26" i="3"/>
  <c r="I26" i="3"/>
  <c r="E26" i="3"/>
  <c r="I25" i="3"/>
  <c r="J25" i="3" s="1"/>
  <c r="E24" i="3"/>
  <c r="J24" i="3" s="1"/>
  <c r="B25" i="3"/>
  <c r="B73" i="3" s="1"/>
  <c r="B29" i="3"/>
  <c r="B20" i="3" s="1"/>
  <c r="H23" i="3" s="1"/>
  <c r="G71" i="3"/>
  <c r="I71" i="3"/>
  <c r="H68" i="3"/>
  <c r="H69" i="3"/>
  <c r="F68" i="3"/>
  <c r="F69" i="3"/>
  <c r="F71" i="3"/>
  <c r="E71" i="3"/>
  <c r="I68" i="3"/>
  <c r="I69" i="3"/>
  <c r="H71" i="3"/>
  <c r="E68" i="3"/>
  <c r="E69" i="3"/>
  <c r="J71" i="3"/>
  <c r="J68" i="3"/>
  <c r="J69" i="3"/>
  <c r="J30" i="3"/>
  <c r="J29" i="3"/>
  <c r="F19" i="3"/>
  <c r="F22" i="3" s="1"/>
  <c r="F17" i="3"/>
  <c r="G17" i="3"/>
  <c r="H17" i="3"/>
  <c r="I17" i="3"/>
  <c r="J75" i="3" l="1"/>
  <c r="J27" i="3"/>
  <c r="J74" i="3"/>
  <c r="J51" i="3"/>
  <c r="J50" i="3"/>
  <c r="J26" i="3"/>
  <c r="F46" i="3"/>
  <c r="G46" i="3" s="1"/>
  <c r="H46" i="3" s="1"/>
  <c r="J46" i="3" s="1"/>
  <c r="I80" i="3"/>
  <c r="E80" i="3"/>
  <c r="F44" i="3"/>
  <c r="F45" i="3" s="1"/>
  <c r="I47" i="3"/>
  <c r="H47" i="3"/>
  <c r="I44" i="3"/>
  <c r="E47" i="3"/>
  <c r="F47" i="3"/>
  <c r="G44" i="3"/>
  <c r="G47" i="3"/>
  <c r="E44" i="3"/>
  <c r="H44" i="3"/>
  <c r="H45" i="3" s="1"/>
  <c r="G22" i="3"/>
  <c r="H22" i="3" s="1"/>
  <c r="F77" i="3"/>
  <c r="G77" i="3"/>
  <c r="G80" i="3" s="1"/>
  <c r="H77" i="3"/>
  <c r="H80" i="3" s="1"/>
  <c r="G23" i="3"/>
  <c r="E20" i="3"/>
  <c r="I23" i="3"/>
  <c r="E23" i="3"/>
  <c r="F20" i="3"/>
  <c r="F21" i="3" s="1"/>
  <c r="H20" i="3"/>
  <c r="F23" i="3"/>
  <c r="J19" i="3"/>
  <c r="G20" i="3"/>
  <c r="I20" i="3"/>
  <c r="F56" i="3" l="1"/>
  <c r="H56" i="3"/>
  <c r="J22" i="3"/>
  <c r="E45" i="3"/>
  <c r="E56" i="3" s="1"/>
  <c r="J47" i="3"/>
  <c r="I45" i="3"/>
  <c r="I56" i="3" s="1"/>
  <c r="J44" i="3"/>
  <c r="G45" i="3"/>
  <c r="G56" i="3" s="1"/>
  <c r="J23" i="3"/>
  <c r="I21" i="3"/>
  <c r="I32" i="3" s="1"/>
  <c r="F32" i="3"/>
  <c r="G21" i="3"/>
  <c r="G32" i="3" s="1"/>
  <c r="H21" i="3"/>
  <c r="H32" i="3" s="1"/>
  <c r="E21" i="3"/>
  <c r="J20" i="3"/>
  <c r="J77" i="3"/>
  <c r="F80" i="3"/>
  <c r="J21" i="3" l="1"/>
  <c r="J32" i="3" s="1"/>
  <c r="J45" i="3"/>
  <c r="E32" i="3"/>
  <c r="J80" i="3"/>
  <c r="K23" i="3" l="1"/>
  <c r="N67" i="3"/>
  <c r="O67" i="3" s="1"/>
  <c r="N66" i="3"/>
  <c r="J56" i="3"/>
  <c r="N43" i="3" s="1"/>
  <c r="O43" i="3" s="1"/>
  <c r="K20" i="3"/>
  <c r="K75" i="3"/>
  <c r="K74" i="3"/>
  <c r="N65" i="3"/>
  <c r="K67" i="3"/>
  <c r="K71" i="3"/>
  <c r="K69" i="3"/>
  <c r="K73" i="3"/>
  <c r="K70" i="3"/>
  <c r="K72" i="3"/>
  <c r="K78" i="3"/>
  <c r="K68" i="3"/>
  <c r="K24" i="3"/>
  <c r="K27" i="3"/>
  <c r="K25" i="3"/>
  <c r="K26" i="3"/>
  <c r="N17" i="3"/>
  <c r="K29" i="3"/>
  <c r="K30" i="3"/>
  <c r="K22" i="3"/>
  <c r="K19" i="3"/>
  <c r="K77" i="3"/>
  <c r="K21" i="3"/>
  <c r="N68" i="3" l="1"/>
  <c r="O68" i="3" s="1"/>
  <c r="O66" i="3"/>
  <c r="K43" i="3"/>
  <c r="K51" i="3"/>
  <c r="N41" i="3"/>
  <c r="K48" i="3"/>
  <c r="K50" i="3"/>
  <c r="K49" i="3"/>
  <c r="K53" i="3"/>
  <c r="K54" i="3"/>
  <c r="K46" i="3"/>
  <c r="K44" i="3"/>
  <c r="K47" i="3"/>
  <c r="K45" i="3"/>
  <c r="N44" i="3" l="1"/>
  <c r="O44" i="3" s="1"/>
</calcChain>
</file>

<file path=xl/sharedStrings.xml><?xml version="1.0" encoding="utf-8"?>
<sst xmlns="http://schemas.openxmlformats.org/spreadsheetml/2006/main" count="142" uniqueCount="57">
  <si>
    <t>NB</t>
  </si>
  <si>
    <t>This model was created as an example of how to build and use a TCO model for HPC and is supplied for educational purposes only.</t>
  </si>
  <si>
    <t>The data used are not necessarily intended to be representative and were mostly sourced from the audience.</t>
  </si>
  <si>
    <t>No responsibility is accepted for your use of this model.</t>
  </si>
  <si>
    <t>We will be happy to advise on the use of this model or more appropriate TCO models for your case.</t>
  </si>
  <si>
    <r>
      <t xml:space="preserve">Contact </t>
    </r>
    <r>
      <rPr>
        <b/>
        <sz val="11"/>
        <rFont val="Calibri"/>
        <family val="2"/>
        <scheme val="minor"/>
      </rPr>
      <t>Andrew Jones</t>
    </r>
    <r>
      <rPr>
        <sz val="11"/>
        <rFont val="Calibri"/>
        <family val="2"/>
        <scheme val="minor"/>
      </rPr>
      <t xml:space="preserve"> for more information  -  </t>
    </r>
    <r>
      <rPr>
        <b/>
        <sz val="11"/>
        <rFont val="Calibri"/>
        <family val="2"/>
        <scheme val="minor"/>
      </rPr>
      <t xml:space="preserve">@hpcnotes  </t>
    </r>
    <r>
      <rPr>
        <sz val="11"/>
        <rFont val="Calibri"/>
        <family val="2"/>
        <scheme val="minor"/>
      </rPr>
      <t xml:space="preserve">or  </t>
    </r>
    <r>
      <rPr>
        <b/>
        <sz val="11"/>
        <rFont val="Calibri"/>
        <family val="2"/>
        <scheme val="minor"/>
      </rPr>
      <t>www.linkedin.com/in/andrewjones</t>
    </r>
  </si>
  <si>
    <t>BASELINE</t>
  </si>
  <si>
    <t>INPUTS</t>
  </si>
  <si>
    <t>CALCS</t>
  </si>
  <si>
    <t>OUTPUTS</t>
  </si>
  <si>
    <t>Notes</t>
  </si>
  <si>
    <t>$/kWhr</t>
  </si>
  <si>
    <t>Year</t>
  </si>
  <si>
    <t>TOTAL</t>
  </si>
  <si>
    <t>Fraction</t>
  </si>
  <si>
    <t>$/core-hr used</t>
  </si>
  <si>
    <t>PUE</t>
  </si>
  <si>
    <t>Occupancy</t>
  </si>
  <si>
    <t>cloud premium (N x on-prem cost)</t>
  </si>
  <si>
    <t>Capital</t>
  </si>
  <si>
    <t>Hardware</t>
  </si>
  <si>
    <t>TCO saving against baseline</t>
  </si>
  <si>
    <t>Racks</t>
  </si>
  <si>
    <t>Electricity</t>
  </si>
  <si>
    <t>$/core-hr saving vs baseline</t>
  </si>
  <si>
    <t>kW/rack</t>
  </si>
  <si>
    <t>Cooling</t>
  </si>
  <si>
    <t>cloud $/core-hr</t>
  </si>
  <si>
    <t>Support</t>
  </si>
  <si>
    <t>Utilization</t>
  </si>
  <si>
    <t>Datacenter</t>
  </si>
  <si>
    <t>Service time</t>
  </si>
  <si>
    <t>Procure &amp; Commission</t>
  </si>
  <si>
    <t>Used core-hrs/yr</t>
  </si>
  <si>
    <t>Decommissioning</t>
  </si>
  <si>
    <t>person-year</t>
  </si>
  <si>
    <t>Sysadmin</t>
  </si>
  <si>
    <t>price/node</t>
  </si>
  <si>
    <t>User support</t>
  </si>
  <si>
    <t>nodes/rack</t>
  </si>
  <si>
    <t>price/rack</t>
  </si>
  <si>
    <t>Services</t>
  </si>
  <si>
    <t>cores/node</t>
  </si>
  <si>
    <t>Investment</t>
  </si>
  <si>
    <t>hosting per rack per year</t>
  </si>
  <si>
    <t>procurement &amp; commissioning (person years)</t>
  </si>
  <si>
    <t>decommissioning (person years)</t>
  </si>
  <si>
    <t>sysadmin team (FTE)</t>
  </si>
  <si>
    <t>user support team (FTE)</t>
  </si>
  <si>
    <t>EXPLORE CHILLER INVESTMENT</t>
  </si>
  <si>
    <t>EXPLORE CLOUD TO DELIVER SAME AMOUNT OF USED CORE-HRS</t>
  </si>
  <si>
    <t>Copyright 2018 Andrew Jones / NAG</t>
  </si>
  <si>
    <t>Supplied for education purposes only</t>
  </si>
  <si>
    <t>Premium over on-prem TCO</t>
  </si>
  <si>
    <t>$/core-hr increase vs on-prem</t>
  </si>
  <si>
    <t>Originally built by Andrew Jones for SC18 Tutorial: "Business of HPC"</t>
  </si>
  <si>
    <t>The version used as live worked example TCO model built with audience at the SC19 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</si>
</sst>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$-409]* #,##0_ ;_-[$$-409]* \-#,##0\ ;_-[$$-409]* &quot;-&quot;??_ ;_-@_ "/>
    <numFmt numFmtId="165" formatCode="_-* #,##0_-;\-* #,##0_-;_-* &quot;-&quot;??_-;_-@_-"/>
    <numFmt numFmtId="166" formatCode="_-[$$-409]* #,##0.000_ ;_-[$$-409]* \-#,##0.000\ ;_-[$$-409]* &quot;-&quot;??_ ;_-@_ "/>
    <numFmt numFmtId="167" formatCode="_-[$$-409]* #,##0.000_ ;_-[$$-409]* \-#,##0.000\ ;_-[$$-409]* &quot;-&quot;???_ ;_-@_ "/>
    <numFmt numFmtId="168" formatCode="0.0%"/>
    <numFmt numFmtId="169" formatCode="_-[$$-409]* #,##0.00000_ ;_-[$$-409]* \-#,##0.00000\ ;_-[$$-409]* &quot;-&quot;???_ ;_-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1" xfId="0" applyFont="1" applyBorder="1"/>
    <xf numFmtId="164" fontId="2" fillId="0" borderId="1" xfId="0" applyNumberFormat="1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Border="1"/>
    <xf numFmtId="0" fontId="3" fillId="0" borderId="0" xfId="0" applyFont="1" applyFill="1"/>
    <xf numFmtId="0" fontId="0" fillId="4" borderId="1" xfId="0" applyFont="1" applyFill="1" applyBorder="1"/>
    <xf numFmtId="166" fontId="0" fillId="4" borderId="1" xfId="0" applyNumberFormat="1" applyFont="1" applyFill="1" applyBorder="1"/>
    <xf numFmtId="164" fontId="0" fillId="4" borderId="1" xfId="0" applyNumberFormat="1" applyFont="1" applyFill="1" applyBorder="1"/>
    <xf numFmtId="0" fontId="5" fillId="0" borderId="0" xfId="0" applyFont="1"/>
    <xf numFmtId="0" fontId="6" fillId="2" borderId="0" xfId="0" applyFont="1" applyFill="1"/>
    <xf numFmtId="0" fontId="7" fillId="2" borderId="0" xfId="0" applyFont="1" applyFill="1"/>
    <xf numFmtId="0" fontId="0" fillId="0" borderId="0" xfId="0" applyFont="1"/>
    <xf numFmtId="0" fontId="0" fillId="0" borderId="0" xfId="0" applyFont="1" applyFill="1"/>
    <xf numFmtId="0" fontId="0" fillId="3" borderId="1" xfId="0" applyFont="1" applyFill="1" applyBorder="1"/>
    <xf numFmtId="2" fontId="0" fillId="3" borderId="1" xfId="0" applyNumberFormat="1" applyFont="1" applyFill="1" applyBorder="1"/>
    <xf numFmtId="0" fontId="0" fillId="0" borderId="1" xfId="0" applyFont="1" applyBorder="1"/>
    <xf numFmtId="164" fontId="1" fillId="3" borderId="1" xfId="2" applyNumberFormat="1" applyFont="1" applyFill="1" applyBorder="1"/>
    <xf numFmtId="164" fontId="0" fillId="0" borderId="1" xfId="0" applyNumberFormat="1" applyFont="1" applyBorder="1"/>
    <xf numFmtId="9" fontId="1" fillId="0" borderId="1" xfId="3" applyFont="1" applyBorder="1"/>
    <xf numFmtId="0" fontId="0" fillId="3" borderId="1" xfId="0" applyNumberFormat="1" applyFont="1" applyFill="1" applyBorder="1"/>
    <xf numFmtId="166" fontId="0" fillId="3" borderId="1" xfId="0" applyNumberFormat="1" applyFont="1" applyFill="1" applyBorder="1"/>
    <xf numFmtId="9" fontId="1" fillId="3" borderId="1" xfId="3" applyFont="1" applyFill="1" applyBorder="1"/>
    <xf numFmtId="164" fontId="0" fillId="3" borderId="1" xfId="0" applyNumberFormat="1" applyFont="1" applyFill="1" applyBorder="1"/>
    <xf numFmtId="0" fontId="0" fillId="0" borderId="0" xfId="0" applyFont="1" applyBorder="1"/>
    <xf numFmtId="164" fontId="0" fillId="0" borderId="0" xfId="0" applyNumberFormat="1" applyFont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4" fillId="8" borderId="0" xfId="0" applyFont="1" applyFill="1"/>
    <xf numFmtId="0" fontId="4" fillId="8" borderId="0" xfId="0" applyFont="1" applyFill="1" applyBorder="1"/>
    <xf numFmtId="167" fontId="0" fillId="4" borderId="1" xfId="0" applyNumberFormat="1" applyFont="1" applyFill="1" applyBorder="1"/>
    <xf numFmtId="168" fontId="0" fillId="4" borderId="1" xfId="3" applyNumberFormat="1" applyFont="1" applyFill="1" applyBorder="1"/>
    <xf numFmtId="0" fontId="5" fillId="2" borderId="0" xfId="0" applyFont="1" applyFill="1"/>
    <xf numFmtId="0" fontId="3" fillId="2" borderId="0" xfId="0" applyFont="1" applyFill="1"/>
    <xf numFmtId="164" fontId="8" fillId="0" borderId="1" xfId="0" applyNumberFormat="1" applyFont="1" applyBorder="1"/>
    <xf numFmtId="0" fontId="8" fillId="3" borderId="1" xfId="0" applyFont="1" applyFill="1" applyBorder="1"/>
    <xf numFmtId="9" fontId="0" fillId="4" borderId="1" xfId="3" applyNumberFormat="1" applyFont="1" applyFill="1" applyBorder="1"/>
    <xf numFmtId="2" fontId="0" fillId="4" borderId="1" xfId="0" applyNumberFormat="1" applyFont="1" applyFill="1" applyBorder="1"/>
    <xf numFmtId="0" fontId="8" fillId="3" borderId="1" xfId="0" applyNumberFormat="1" applyFont="1" applyFill="1" applyBorder="1"/>
    <xf numFmtId="164" fontId="8" fillId="3" borderId="1" xfId="2" applyNumberFormat="1" applyFont="1" applyFill="1" applyBorder="1"/>
    <xf numFmtId="0" fontId="9" fillId="0" borderId="0" xfId="0" applyFont="1"/>
    <xf numFmtId="0" fontId="0" fillId="0" borderId="0" xfId="0" quotePrefix="1" applyFont="1"/>
    <xf numFmtId="0" fontId="0" fillId="9" borderId="1" xfId="0" applyNumberFormat="1" applyFont="1" applyFill="1" applyBorder="1"/>
    <xf numFmtId="165" fontId="1" fillId="9" borderId="1" xfId="1" applyNumberFormat="1" applyFont="1" applyFill="1" applyBorder="1"/>
    <xf numFmtId="164" fontId="0" fillId="9" borderId="1" xfId="0" applyNumberFormat="1" applyFont="1" applyFill="1" applyBorder="1"/>
    <xf numFmtId="169" fontId="0" fillId="4" borderId="1" xfId="0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D026-16CC-4306-9A80-ABDEAD8CFC4D}">
  <sheetPr>
    <pageSetUpPr fitToPage="1"/>
  </sheetPr>
  <dimension ref="A1:CC513"/>
  <sheetViews>
    <sheetView showGridLines="0" tabSelected="1" zoomScale="90" zoomScaleNormal="90" workbookViewId="0">
      <selection activeCell="A3" sqref="A3"/>
    </sheetView>
  </sheetViews>
  <sheetFormatPr defaultColWidth="12" defaultRowHeight="15" x14ac:dyDescent="0.25"/>
  <cols>
    <col min="1" max="1" width="42.140625" style="14" customWidth="1"/>
    <col min="2" max="2" width="13.28515625" style="14" customWidth="1"/>
    <col min="3" max="3" width="4.42578125" style="14" customWidth="1"/>
    <col min="4" max="4" width="22.7109375" style="14" customWidth="1"/>
    <col min="5" max="8" width="13.42578125" style="14" customWidth="1"/>
    <col min="9" max="9" width="15.85546875" style="14" bestFit="1" customWidth="1"/>
    <col min="10" max="10" width="18" style="14" bestFit="1" customWidth="1"/>
    <col min="11" max="11" width="12.140625" style="14" bestFit="1" customWidth="1"/>
    <col min="12" max="12" width="4.42578125" style="14" customWidth="1"/>
    <col min="13" max="13" width="32.7109375" style="14" customWidth="1"/>
    <col min="14" max="14" width="13.28515625" style="14" customWidth="1"/>
    <col min="15" max="15" width="12.140625" style="14" bestFit="1" customWidth="1"/>
    <col min="16" max="16" width="34.42578125" style="14" bestFit="1" customWidth="1"/>
    <col min="17" max="16384" width="12" style="14"/>
  </cols>
  <sheetData>
    <row r="1" spans="1:16" s="12" customFormat="1" x14ac:dyDescent="0.25"/>
    <row r="2" spans="1:16" s="13" customFormat="1" ht="15.75" x14ac:dyDescent="0.25">
      <c r="A2" s="13" t="s">
        <v>55</v>
      </c>
    </row>
    <row r="3" spans="1:16" s="13" customFormat="1" ht="15.75" x14ac:dyDescent="0.25">
      <c r="A3" s="13" t="s">
        <v>56</v>
      </c>
    </row>
    <row r="4" spans="1:16" s="12" customFormat="1" x14ac:dyDescent="0.25"/>
    <row r="5" spans="1:16" s="36" customFormat="1" x14ac:dyDescent="0.25">
      <c r="A5" s="36" t="s">
        <v>0</v>
      </c>
    </row>
    <row r="6" spans="1:16" s="35" customFormat="1" x14ac:dyDescent="0.25">
      <c r="A6" s="35" t="s">
        <v>1</v>
      </c>
    </row>
    <row r="7" spans="1:16" s="35" customFormat="1" x14ac:dyDescent="0.25">
      <c r="A7" s="35" t="s">
        <v>2</v>
      </c>
    </row>
    <row r="8" spans="1:16" s="35" customFormat="1" x14ac:dyDescent="0.25">
      <c r="A8" s="35" t="s">
        <v>3</v>
      </c>
    </row>
    <row r="9" spans="1:16" s="35" customFormat="1" x14ac:dyDescent="0.25">
      <c r="A9" s="35" t="s">
        <v>4</v>
      </c>
    </row>
    <row r="10" spans="1:16" s="35" customFormat="1" x14ac:dyDescent="0.25"/>
    <row r="11" spans="1:16" s="35" customFormat="1" x14ac:dyDescent="0.25">
      <c r="A11" s="35" t="s">
        <v>5</v>
      </c>
    </row>
    <row r="12" spans="1:16" s="12" customFormat="1" x14ac:dyDescent="0.25"/>
    <row r="13" spans="1:16" s="11" customFormat="1" x14ac:dyDescent="0.25"/>
    <row r="14" spans="1:16" s="31" customFormat="1" x14ac:dyDescent="0.25">
      <c r="A14" s="31" t="s">
        <v>6</v>
      </c>
      <c r="D14" s="32"/>
    </row>
    <row r="15" spans="1:16" s="3" customFormat="1" x14ac:dyDescent="0.25">
      <c r="A15" s="7"/>
      <c r="D15" s="6"/>
      <c r="E15" s="5"/>
      <c r="F15" s="5"/>
      <c r="G15" s="5"/>
      <c r="H15" s="5"/>
      <c r="I15" s="5"/>
      <c r="J15" s="5"/>
      <c r="K15" s="5"/>
    </row>
    <row r="16" spans="1:16" s="3" customFormat="1" x14ac:dyDescent="0.25">
      <c r="A16" s="28" t="s">
        <v>7</v>
      </c>
      <c r="B16" s="28"/>
      <c r="D16" s="30" t="s">
        <v>8</v>
      </c>
      <c r="E16" s="30"/>
      <c r="F16" s="30"/>
      <c r="G16" s="30"/>
      <c r="H16" s="30"/>
      <c r="I16" s="30"/>
      <c r="J16" s="30"/>
      <c r="K16" s="30"/>
      <c r="M16" s="29" t="s">
        <v>9</v>
      </c>
      <c r="N16" s="29"/>
      <c r="O16" s="29"/>
      <c r="P16" s="29" t="s">
        <v>10</v>
      </c>
    </row>
    <row r="17" spans="1:16" x14ac:dyDescent="0.25">
      <c r="A17" s="16" t="s">
        <v>11</v>
      </c>
      <c r="B17" s="17">
        <v>7.0000000000000007E-2</v>
      </c>
      <c r="D17" s="1" t="s">
        <v>12</v>
      </c>
      <c r="E17" s="4">
        <v>0</v>
      </c>
      <c r="F17" s="4">
        <f>E17+1</f>
        <v>1</v>
      </c>
      <c r="G17" s="4">
        <f t="shared" ref="G17:I17" si="0">F17+1</f>
        <v>2</v>
      </c>
      <c r="H17" s="4">
        <f t="shared" si="0"/>
        <v>3</v>
      </c>
      <c r="I17" s="4">
        <f t="shared" si="0"/>
        <v>4</v>
      </c>
      <c r="J17" s="4" t="s">
        <v>13</v>
      </c>
      <c r="K17" s="4" t="s">
        <v>14</v>
      </c>
      <c r="M17" s="8" t="s">
        <v>15</v>
      </c>
      <c r="N17" s="9">
        <f>J32/(B25*3)</f>
        <v>2.1902266952868298E-2</v>
      </c>
      <c r="O17" s="9"/>
      <c r="P17" s="9"/>
    </row>
    <row r="18" spans="1:16" x14ac:dyDescent="0.25">
      <c r="A18" s="16" t="s">
        <v>16</v>
      </c>
      <c r="B18" s="16">
        <v>1.6</v>
      </c>
      <c r="D18" s="18" t="s">
        <v>17</v>
      </c>
      <c r="E18" s="18">
        <v>0.25</v>
      </c>
      <c r="F18" s="18">
        <v>1</v>
      </c>
      <c r="G18" s="18">
        <v>1</v>
      </c>
      <c r="H18" s="18">
        <v>1</v>
      </c>
      <c r="I18" s="18">
        <v>0.25</v>
      </c>
      <c r="J18" s="1"/>
      <c r="K18" s="18"/>
      <c r="M18" s="8"/>
      <c r="N18" s="40"/>
      <c r="O18" s="39"/>
      <c r="P18" s="39"/>
    </row>
    <row r="19" spans="1:16" x14ac:dyDescent="0.25">
      <c r="A19" s="16" t="s">
        <v>19</v>
      </c>
      <c r="B19" s="19">
        <v>30000000</v>
      </c>
      <c r="D19" s="18" t="s">
        <v>20</v>
      </c>
      <c r="E19" s="20"/>
      <c r="F19" s="20">
        <f>B19</f>
        <v>30000000</v>
      </c>
      <c r="G19" s="20"/>
      <c r="H19" s="20"/>
      <c r="I19" s="20"/>
      <c r="J19" s="2">
        <f t="shared" ref="J19:J27" si="1">SUM(E19:I19)</f>
        <v>30000000</v>
      </c>
      <c r="K19" s="21">
        <f>J19/J32</f>
        <v>0.60898254120132278</v>
      </c>
      <c r="M19" s="8"/>
      <c r="N19" s="10"/>
      <c r="O19" s="34"/>
      <c r="P19" s="34"/>
    </row>
    <row r="20" spans="1:16" x14ac:dyDescent="0.25">
      <c r="A20" s="16" t="s">
        <v>22</v>
      </c>
      <c r="B20" s="45">
        <f>INT(B19/B29)</f>
        <v>34</v>
      </c>
      <c r="D20" s="18" t="s">
        <v>23</v>
      </c>
      <c r="E20" s="20">
        <f>E18*8766*$B17*$B21*$B20</f>
        <v>234709.65000000002</v>
      </c>
      <c r="F20" s="20">
        <f t="shared" ref="F20:I20" si="2">F18*8766*$B17*$B21*$B20</f>
        <v>938838.60000000009</v>
      </c>
      <c r="G20" s="20">
        <f t="shared" si="2"/>
        <v>938838.60000000009</v>
      </c>
      <c r="H20" s="20">
        <f t="shared" si="2"/>
        <v>938838.60000000009</v>
      </c>
      <c r="I20" s="20">
        <f t="shared" si="2"/>
        <v>234709.65000000002</v>
      </c>
      <c r="J20" s="2">
        <f t="shared" si="1"/>
        <v>3285935.1</v>
      </c>
      <c r="K20" s="21">
        <f>J20/J32</f>
        <v>6.6702570247354098E-2</v>
      </c>
      <c r="M20" s="8"/>
      <c r="N20" s="33"/>
      <c r="O20" s="34"/>
      <c r="P20" s="34"/>
    </row>
    <row r="21" spans="1:16" x14ac:dyDescent="0.25">
      <c r="A21" s="16" t="s">
        <v>25</v>
      </c>
      <c r="B21" s="16">
        <v>45</v>
      </c>
      <c r="D21" s="18" t="s">
        <v>26</v>
      </c>
      <c r="E21" s="20">
        <f>($B18-1)*E20</f>
        <v>140825.79000000004</v>
      </c>
      <c r="F21" s="20">
        <f t="shared" ref="F21:I21" si="3">($B18-1)*F20</f>
        <v>563303.16000000015</v>
      </c>
      <c r="G21" s="20">
        <f t="shared" si="3"/>
        <v>563303.16000000015</v>
      </c>
      <c r="H21" s="20">
        <f t="shared" si="3"/>
        <v>563303.16000000015</v>
      </c>
      <c r="I21" s="20">
        <f t="shared" si="3"/>
        <v>140825.79000000004</v>
      </c>
      <c r="J21" s="2">
        <f t="shared" si="1"/>
        <v>1971561.0600000005</v>
      </c>
      <c r="K21" s="21">
        <f>J21/J32</f>
        <v>4.0021542148412463E-2</v>
      </c>
      <c r="M21" s="8"/>
      <c r="N21" s="8"/>
      <c r="O21" s="8"/>
      <c r="P21" s="8"/>
    </row>
    <row r="22" spans="1:16" x14ac:dyDescent="0.25">
      <c r="A22" s="16" t="s">
        <v>27</v>
      </c>
      <c r="B22" s="23"/>
      <c r="D22" s="18" t="s">
        <v>28</v>
      </c>
      <c r="E22" s="20"/>
      <c r="F22" s="20">
        <f>0.05*F19</f>
        <v>1500000</v>
      </c>
      <c r="G22" s="20">
        <f>F22</f>
        <v>1500000</v>
      </c>
      <c r="H22" s="20">
        <f t="shared" ref="H22" si="4">G22</f>
        <v>1500000</v>
      </c>
      <c r="I22" s="20"/>
      <c r="J22" s="2">
        <f t="shared" si="1"/>
        <v>4500000</v>
      </c>
      <c r="K22" s="21">
        <f>J22/J32</f>
        <v>9.1347381180198417E-2</v>
      </c>
    </row>
    <row r="23" spans="1:16" x14ac:dyDescent="0.25">
      <c r="A23" s="16" t="s">
        <v>29</v>
      </c>
      <c r="B23" s="24">
        <v>0.8</v>
      </c>
      <c r="D23" s="18" t="s">
        <v>30</v>
      </c>
      <c r="E23" s="20">
        <f>E18*$B31*$B20</f>
        <v>170000</v>
      </c>
      <c r="F23" s="20">
        <f t="shared" ref="F23:I23" si="5">F18*$B31*$B20</f>
        <v>680000</v>
      </c>
      <c r="G23" s="20">
        <f t="shared" si="5"/>
        <v>680000</v>
      </c>
      <c r="H23" s="20">
        <f t="shared" si="5"/>
        <v>680000</v>
      </c>
      <c r="I23" s="20">
        <f t="shared" si="5"/>
        <v>170000</v>
      </c>
      <c r="J23" s="2">
        <f t="shared" si="1"/>
        <v>2380000</v>
      </c>
      <c r="K23" s="21">
        <f>J23/J32</f>
        <v>4.8312614935304941E-2</v>
      </c>
    </row>
    <row r="24" spans="1:16" x14ac:dyDescent="0.25">
      <c r="A24" s="16" t="s">
        <v>31</v>
      </c>
      <c r="B24" s="24">
        <v>0.98</v>
      </c>
      <c r="D24" s="18" t="s">
        <v>32</v>
      </c>
      <c r="E24" s="20">
        <f>B32*B26</f>
        <v>625000</v>
      </c>
      <c r="F24" s="20"/>
      <c r="G24" s="20"/>
      <c r="H24" s="20"/>
      <c r="I24" s="20"/>
      <c r="J24" s="2">
        <f t="shared" si="1"/>
        <v>625000</v>
      </c>
      <c r="K24" s="21">
        <f>J24/J32</f>
        <v>1.2687136275027558E-2</v>
      </c>
    </row>
    <row r="25" spans="1:16" x14ac:dyDescent="0.25">
      <c r="A25" s="16" t="s">
        <v>33</v>
      </c>
      <c r="B25" s="46">
        <f>B30*(B19/B27)*8766*B24*B23</f>
        <v>749732072.72727287</v>
      </c>
      <c r="D25" s="18" t="s">
        <v>34</v>
      </c>
      <c r="E25" s="20"/>
      <c r="F25" s="20"/>
      <c r="G25" s="20"/>
      <c r="H25" s="20"/>
      <c r="I25" s="20">
        <f>B33*B26</f>
        <v>375000</v>
      </c>
      <c r="J25" s="2">
        <f t="shared" si="1"/>
        <v>375000</v>
      </c>
      <c r="K25" s="21">
        <f>J25/J32</f>
        <v>7.6122817650165348E-3</v>
      </c>
    </row>
    <row r="26" spans="1:16" x14ac:dyDescent="0.25">
      <c r="A26" s="16" t="s">
        <v>35</v>
      </c>
      <c r="B26" s="25">
        <v>250000</v>
      </c>
      <c r="D26" s="18" t="s">
        <v>36</v>
      </c>
      <c r="E26" s="20">
        <f>E18*$B26*$B34</f>
        <v>187500</v>
      </c>
      <c r="F26" s="20">
        <f t="shared" ref="F26:I26" si="6">F18*$B26*$B34</f>
        <v>750000</v>
      </c>
      <c r="G26" s="20">
        <f t="shared" si="6"/>
        <v>750000</v>
      </c>
      <c r="H26" s="20">
        <f t="shared" si="6"/>
        <v>750000</v>
      </c>
      <c r="I26" s="20">
        <f t="shared" si="6"/>
        <v>187500</v>
      </c>
      <c r="J26" s="2">
        <f t="shared" si="1"/>
        <v>2625000</v>
      </c>
      <c r="K26" s="21">
        <f>J26/J32</f>
        <v>5.3285972355115743E-2</v>
      </c>
    </row>
    <row r="27" spans="1:16" x14ac:dyDescent="0.25">
      <c r="A27" s="16" t="s">
        <v>37</v>
      </c>
      <c r="B27" s="25">
        <v>11000</v>
      </c>
      <c r="D27" s="18" t="s">
        <v>38</v>
      </c>
      <c r="E27" s="20">
        <f>E18*$B26*$B35</f>
        <v>250000</v>
      </c>
      <c r="F27" s="20">
        <f t="shared" ref="F27:I27" si="7">F18*$B26*$B35</f>
        <v>1000000</v>
      </c>
      <c r="G27" s="20">
        <f t="shared" si="7"/>
        <v>1000000</v>
      </c>
      <c r="H27" s="20">
        <f t="shared" si="7"/>
        <v>1000000</v>
      </c>
      <c r="I27" s="20">
        <f t="shared" si="7"/>
        <v>250000</v>
      </c>
      <c r="J27" s="2">
        <f t="shared" si="1"/>
        <v>3500000</v>
      </c>
      <c r="K27" s="21">
        <f>J27/J32</f>
        <v>7.1047963140154324E-2</v>
      </c>
    </row>
    <row r="28" spans="1:16" s="15" customFormat="1" x14ac:dyDescent="0.25">
      <c r="A28" s="16" t="s">
        <v>39</v>
      </c>
      <c r="B28" s="22">
        <v>80</v>
      </c>
      <c r="D28" s="18"/>
      <c r="E28" s="20"/>
      <c r="F28" s="20"/>
      <c r="G28" s="20"/>
      <c r="H28" s="20"/>
      <c r="I28" s="20"/>
      <c r="J28" s="2"/>
      <c r="K28" s="21"/>
    </row>
    <row r="29" spans="1:16" x14ac:dyDescent="0.25">
      <c r="A29" s="16" t="s">
        <v>40</v>
      </c>
      <c r="B29" s="47">
        <f>B28*B27</f>
        <v>880000</v>
      </c>
      <c r="D29" s="18" t="s">
        <v>41</v>
      </c>
      <c r="E29" s="20"/>
      <c r="F29" s="20"/>
      <c r="G29" s="20"/>
      <c r="H29" s="20"/>
      <c r="I29" s="20"/>
      <c r="J29" s="2">
        <f>SUM(E29:I29)</f>
        <v>0</v>
      </c>
      <c r="K29" s="21">
        <f>J29/J32</f>
        <v>0</v>
      </c>
    </row>
    <row r="30" spans="1:16" x14ac:dyDescent="0.25">
      <c r="A30" s="16" t="s">
        <v>42</v>
      </c>
      <c r="B30" s="22">
        <v>40</v>
      </c>
      <c r="D30" s="18" t="s">
        <v>43</v>
      </c>
      <c r="E30" s="20"/>
      <c r="F30" s="20"/>
      <c r="G30" s="20"/>
      <c r="H30" s="20"/>
      <c r="I30" s="20"/>
      <c r="J30" s="2">
        <f>SUM(E30:I30)</f>
        <v>0</v>
      </c>
      <c r="K30" s="21">
        <f>J30/J32</f>
        <v>0</v>
      </c>
    </row>
    <row r="31" spans="1:16" x14ac:dyDescent="0.25">
      <c r="A31" s="16" t="s">
        <v>44</v>
      </c>
      <c r="B31" s="25">
        <v>20000</v>
      </c>
      <c r="D31" s="18"/>
      <c r="E31" s="20"/>
      <c r="F31" s="20"/>
      <c r="G31" s="20"/>
      <c r="H31" s="20"/>
      <c r="I31" s="20"/>
      <c r="J31" s="2"/>
      <c r="K31" s="18"/>
    </row>
    <row r="32" spans="1:16" x14ac:dyDescent="0.25">
      <c r="A32" s="16" t="s">
        <v>45</v>
      </c>
      <c r="B32" s="22">
        <v>2.5</v>
      </c>
      <c r="D32" s="1" t="s">
        <v>13</v>
      </c>
      <c r="E32" s="2">
        <f t="shared" ref="E32:I32" si="8">SUM(E19:E30)</f>
        <v>1608035.44</v>
      </c>
      <c r="F32" s="2">
        <f t="shared" si="8"/>
        <v>35432141.760000005</v>
      </c>
      <c r="G32" s="2">
        <f t="shared" si="8"/>
        <v>5432141.7599999998</v>
      </c>
      <c r="H32" s="2">
        <f t="shared" si="8"/>
        <v>5432141.7599999998</v>
      </c>
      <c r="I32" s="2">
        <f t="shared" si="8"/>
        <v>1358035.44</v>
      </c>
      <c r="J32" s="2">
        <f>ROUND(SUM(J19:J30),0)</f>
        <v>49262496</v>
      </c>
      <c r="K32" s="1"/>
    </row>
    <row r="33" spans="1:16" x14ac:dyDescent="0.25">
      <c r="A33" s="16" t="s">
        <v>46</v>
      </c>
      <c r="B33" s="22">
        <v>1.5</v>
      </c>
      <c r="D33" s="26"/>
      <c r="E33" s="27"/>
      <c r="F33" s="27"/>
      <c r="G33" s="27"/>
      <c r="H33" s="27"/>
      <c r="I33" s="27"/>
      <c r="J33" s="27"/>
      <c r="K33" s="26"/>
    </row>
    <row r="34" spans="1:16" x14ac:dyDescent="0.25">
      <c r="A34" s="16" t="s">
        <v>47</v>
      </c>
      <c r="B34" s="22">
        <v>3</v>
      </c>
    </row>
    <row r="35" spans="1:16" x14ac:dyDescent="0.25">
      <c r="A35" s="16" t="s">
        <v>48</v>
      </c>
      <c r="B35" s="22">
        <v>4</v>
      </c>
    </row>
    <row r="38" spans="1:16" s="31" customFormat="1" x14ac:dyDescent="0.25">
      <c r="A38" s="31" t="s">
        <v>49</v>
      </c>
      <c r="D38" s="32"/>
    </row>
    <row r="39" spans="1:16" s="3" customFormat="1" x14ac:dyDescent="0.25">
      <c r="A39" s="7"/>
      <c r="D39" s="6"/>
      <c r="E39" s="5"/>
      <c r="F39" s="5"/>
      <c r="G39" s="5"/>
      <c r="H39" s="5"/>
      <c r="I39" s="5"/>
      <c r="J39" s="5"/>
      <c r="K39" s="5"/>
    </row>
    <row r="40" spans="1:16" s="3" customFormat="1" x14ac:dyDescent="0.25">
      <c r="A40" s="28" t="s">
        <v>7</v>
      </c>
      <c r="B40" s="28"/>
      <c r="D40" s="30" t="s">
        <v>8</v>
      </c>
      <c r="E40" s="30"/>
      <c r="F40" s="30"/>
      <c r="G40" s="30"/>
      <c r="H40" s="30"/>
      <c r="I40" s="30"/>
      <c r="J40" s="30"/>
      <c r="K40" s="30"/>
      <c r="M40" s="29" t="s">
        <v>9</v>
      </c>
      <c r="N40" s="29"/>
      <c r="O40" s="29" t="s">
        <v>14</v>
      </c>
      <c r="P40" s="29" t="s">
        <v>10</v>
      </c>
    </row>
    <row r="41" spans="1:16" x14ac:dyDescent="0.25">
      <c r="A41" s="16" t="s">
        <v>11</v>
      </c>
      <c r="B41" s="17">
        <f>B17</f>
        <v>7.0000000000000007E-2</v>
      </c>
      <c r="C41" s="44"/>
      <c r="D41" s="1" t="s">
        <v>12</v>
      </c>
      <c r="E41" s="4">
        <v>0</v>
      </c>
      <c r="F41" s="4">
        <f>E41+1</f>
        <v>1</v>
      </c>
      <c r="G41" s="4">
        <f t="shared" ref="G41" si="9">F41+1</f>
        <v>2</v>
      </c>
      <c r="H41" s="4">
        <f t="shared" ref="H41" si="10">G41+1</f>
        <v>3</v>
      </c>
      <c r="I41" s="4">
        <f t="shared" ref="I41" si="11">H41+1</f>
        <v>4</v>
      </c>
      <c r="J41" s="4" t="s">
        <v>13</v>
      </c>
      <c r="K41" s="4" t="s">
        <v>14</v>
      </c>
      <c r="M41" s="8" t="s">
        <v>15</v>
      </c>
      <c r="N41" s="9">
        <f>J56/(B49*3)</f>
        <v>2.1451272952522703E-2</v>
      </c>
      <c r="O41" s="34"/>
      <c r="P41" s="9"/>
    </row>
    <row r="42" spans="1:16" x14ac:dyDescent="0.25">
      <c r="A42" s="16" t="s">
        <v>16</v>
      </c>
      <c r="B42" s="38">
        <v>1.2</v>
      </c>
      <c r="D42" s="18" t="s">
        <v>17</v>
      </c>
      <c r="E42" s="18">
        <v>0.25</v>
      </c>
      <c r="F42" s="18">
        <v>1</v>
      </c>
      <c r="G42" s="18">
        <v>1</v>
      </c>
      <c r="H42" s="18">
        <v>1</v>
      </c>
      <c r="I42" s="18">
        <v>0.25</v>
      </c>
      <c r="J42" s="1"/>
      <c r="K42" s="18"/>
      <c r="M42" s="8"/>
      <c r="N42" s="40"/>
      <c r="O42" s="39"/>
      <c r="P42" s="39"/>
    </row>
    <row r="43" spans="1:16" x14ac:dyDescent="0.25">
      <c r="A43" s="16" t="s">
        <v>19</v>
      </c>
      <c r="B43" s="19">
        <f>B19</f>
        <v>30000000</v>
      </c>
      <c r="D43" s="18" t="s">
        <v>20</v>
      </c>
      <c r="E43" s="20"/>
      <c r="F43" s="20">
        <f>B43</f>
        <v>30000000</v>
      </c>
      <c r="G43" s="20"/>
      <c r="H43" s="20"/>
      <c r="I43" s="20"/>
      <c r="J43" s="2">
        <f t="shared" ref="J43:J51" si="12">SUM(E43:I43)</f>
        <v>30000000</v>
      </c>
      <c r="K43" s="21">
        <f>J43/J56</f>
        <v>0.62178585935427699</v>
      </c>
      <c r="M43" s="8" t="s">
        <v>21</v>
      </c>
      <c r="N43" s="10">
        <f>$J$32-J56</f>
        <v>1014374</v>
      </c>
      <c r="O43" s="34">
        <f>N43/J$32</f>
        <v>2.0591201874951687E-2</v>
      </c>
      <c r="P43" s="34"/>
    </row>
    <row r="44" spans="1:16" x14ac:dyDescent="0.25">
      <c r="A44" s="16" t="s">
        <v>22</v>
      </c>
      <c r="B44" s="45">
        <f>INT(B43/B53)</f>
        <v>34</v>
      </c>
      <c r="D44" s="18" t="s">
        <v>23</v>
      </c>
      <c r="E44" s="20">
        <f>E42*8766*$B41*$B45*$B44</f>
        <v>234709.65000000002</v>
      </c>
      <c r="F44" s="20">
        <f t="shared" ref="F44" si="13">F42*8766*$B41*$B45*$B44</f>
        <v>938838.60000000009</v>
      </c>
      <c r="G44" s="20">
        <f t="shared" ref="G44" si="14">G42*8766*$B41*$B45*$B44</f>
        <v>938838.60000000009</v>
      </c>
      <c r="H44" s="20">
        <f t="shared" ref="H44" si="15">H42*8766*$B41*$B45*$B44</f>
        <v>938838.60000000009</v>
      </c>
      <c r="I44" s="20">
        <f t="shared" ref="I44" si="16">I42*8766*$B41*$B45*$B44</f>
        <v>234709.65000000002</v>
      </c>
      <c r="J44" s="2">
        <f t="shared" si="12"/>
        <v>3285935.1</v>
      </c>
      <c r="K44" s="21">
        <f>J44/J56</f>
        <v>6.8104932664529411E-2</v>
      </c>
      <c r="M44" s="8" t="s">
        <v>24</v>
      </c>
      <c r="N44" s="48">
        <f>N$17-N41</f>
        <v>4.5099400034559478E-4</v>
      </c>
      <c r="O44" s="34">
        <f>N44/N$17</f>
        <v>2.0591201874951719E-2</v>
      </c>
      <c r="P44" s="34"/>
    </row>
    <row r="45" spans="1:16" x14ac:dyDescent="0.25">
      <c r="A45" s="16" t="s">
        <v>25</v>
      </c>
      <c r="B45" s="16">
        <f>B21</f>
        <v>45</v>
      </c>
      <c r="D45" s="18" t="s">
        <v>26</v>
      </c>
      <c r="E45" s="20">
        <f>($B42-1)*E44</f>
        <v>46941.929999999993</v>
      </c>
      <c r="F45" s="20">
        <f t="shared" ref="F45" si="17">($B42-1)*F44</f>
        <v>187767.71999999997</v>
      </c>
      <c r="G45" s="20">
        <f t="shared" ref="G45" si="18">($B42-1)*G44</f>
        <v>187767.71999999997</v>
      </c>
      <c r="H45" s="20">
        <f t="shared" ref="H45" si="19">($B42-1)*H44</f>
        <v>187767.71999999997</v>
      </c>
      <c r="I45" s="20">
        <f t="shared" ref="I45" si="20">($B42-1)*I44</f>
        <v>46941.929999999993</v>
      </c>
      <c r="J45" s="2">
        <f t="shared" si="12"/>
        <v>657187.01999999979</v>
      </c>
      <c r="K45" s="21">
        <f>J45/J56</f>
        <v>1.3620986532905877E-2</v>
      </c>
      <c r="M45" s="8"/>
      <c r="N45" s="8"/>
      <c r="O45" s="34"/>
      <c r="P45" s="8"/>
    </row>
    <row r="46" spans="1:16" x14ac:dyDescent="0.25">
      <c r="A46" s="16" t="s">
        <v>27</v>
      </c>
      <c r="B46" s="23">
        <f>B22</f>
        <v>0</v>
      </c>
      <c r="D46" s="18" t="s">
        <v>28</v>
      </c>
      <c r="E46" s="20"/>
      <c r="F46" s="20">
        <f>0.05*F43</f>
        <v>1500000</v>
      </c>
      <c r="G46" s="20">
        <f>F46</f>
        <v>1500000</v>
      </c>
      <c r="H46" s="20">
        <f t="shared" ref="H46" si="21">G46</f>
        <v>1500000</v>
      </c>
      <c r="I46" s="20"/>
      <c r="J46" s="2">
        <f t="shared" si="12"/>
        <v>4500000</v>
      </c>
      <c r="K46" s="21">
        <f>J46/J56</f>
        <v>9.326787890314156E-2</v>
      </c>
    </row>
    <row r="47" spans="1:16" x14ac:dyDescent="0.25">
      <c r="A47" s="16" t="s">
        <v>29</v>
      </c>
      <c r="B47" s="24">
        <f>B23</f>
        <v>0.8</v>
      </c>
      <c r="D47" s="18" t="s">
        <v>30</v>
      </c>
      <c r="E47" s="20">
        <f>E42*$B55*$B44</f>
        <v>170000</v>
      </c>
      <c r="F47" s="20">
        <f t="shared" ref="F47:I47" si="22">F42*$B55*$B44</f>
        <v>680000</v>
      </c>
      <c r="G47" s="20">
        <f t="shared" si="22"/>
        <v>680000</v>
      </c>
      <c r="H47" s="20">
        <f t="shared" si="22"/>
        <v>680000</v>
      </c>
      <c r="I47" s="20">
        <f t="shared" si="22"/>
        <v>170000</v>
      </c>
      <c r="J47" s="2">
        <f t="shared" si="12"/>
        <v>2380000</v>
      </c>
      <c r="K47" s="21">
        <f>J47/J56</f>
        <v>4.9328344842105978E-2</v>
      </c>
    </row>
    <row r="48" spans="1:16" x14ac:dyDescent="0.25">
      <c r="A48" s="16" t="s">
        <v>31</v>
      </c>
      <c r="B48" s="24">
        <f>B24</f>
        <v>0.98</v>
      </c>
      <c r="D48" s="18" t="s">
        <v>32</v>
      </c>
      <c r="E48" s="20">
        <f>B56*B50</f>
        <v>625000</v>
      </c>
      <c r="F48" s="20"/>
      <c r="G48" s="20"/>
      <c r="H48" s="20"/>
      <c r="I48" s="20"/>
      <c r="J48" s="2">
        <f t="shared" si="12"/>
        <v>625000</v>
      </c>
      <c r="K48" s="21">
        <f>J48/J56</f>
        <v>1.2953872069880771E-2</v>
      </c>
    </row>
    <row r="49" spans="1:16" x14ac:dyDescent="0.25">
      <c r="A49" s="16" t="s">
        <v>33</v>
      </c>
      <c r="B49" s="46">
        <f>B54*(B43/B51)*8766*B48*B47</f>
        <v>749732072.72727287</v>
      </c>
      <c r="D49" s="18" t="s">
        <v>34</v>
      </c>
      <c r="E49" s="20"/>
      <c r="F49" s="20"/>
      <c r="G49" s="20"/>
      <c r="H49" s="20"/>
      <c r="I49" s="20">
        <f>B57*B50</f>
        <v>375000</v>
      </c>
      <c r="J49" s="2">
        <f t="shared" si="12"/>
        <v>375000</v>
      </c>
      <c r="K49" s="21">
        <f>J49/J56</f>
        <v>7.7723232419284628E-3</v>
      </c>
    </row>
    <row r="50" spans="1:16" x14ac:dyDescent="0.25">
      <c r="A50" s="16" t="s">
        <v>35</v>
      </c>
      <c r="B50" s="25">
        <f>B26</f>
        <v>250000</v>
      </c>
      <c r="D50" s="18" t="s">
        <v>36</v>
      </c>
      <c r="E50" s="20">
        <f>E42*$B50*$B58</f>
        <v>187500</v>
      </c>
      <c r="F50" s="20">
        <f t="shared" ref="F50:I50" si="23">F42*$B50*$B58</f>
        <v>750000</v>
      </c>
      <c r="G50" s="20">
        <f t="shared" si="23"/>
        <v>750000</v>
      </c>
      <c r="H50" s="20">
        <f t="shared" si="23"/>
        <v>750000</v>
      </c>
      <c r="I50" s="20">
        <f t="shared" si="23"/>
        <v>187500</v>
      </c>
      <c r="J50" s="2">
        <f t="shared" si="12"/>
        <v>2625000</v>
      </c>
      <c r="K50" s="21">
        <f>J50/J56</f>
        <v>5.4406262693499241E-2</v>
      </c>
    </row>
    <row r="51" spans="1:16" x14ac:dyDescent="0.25">
      <c r="A51" s="16" t="s">
        <v>37</v>
      </c>
      <c r="B51" s="25">
        <f>B27</f>
        <v>11000</v>
      </c>
      <c r="D51" s="18" t="s">
        <v>38</v>
      </c>
      <c r="E51" s="20">
        <f>E42*$B50*$B59</f>
        <v>250000</v>
      </c>
      <c r="F51" s="20">
        <f t="shared" ref="F51" si="24">F42*$B50*$B59</f>
        <v>1000000</v>
      </c>
      <c r="G51" s="20">
        <f t="shared" ref="G51" si="25">G42*$B50*$B59</f>
        <v>1000000</v>
      </c>
      <c r="H51" s="20">
        <f t="shared" ref="H51" si="26">H42*$B50*$B59</f>
        <v>1000000</v>
      </c>
      <c r="I51" s="20">
        <f t="shared" ref="I51" si="27">I42*$B50*$B59</f>
        <v>250000</v>
      </c>
      <c r="J51" s="2">
        <f t="shared" si="12"/>
        <v>3500000</v>
      </c>
      <c r="K51" s="21">
        <f>J51/J56</f>
        <v>7.2541683591332326E-2</v>
      </c>
    </row>
    <row r="52" spans="1:16" s="15" customFormat="1" x14ac:dyDescent="0.25">
      <c r="A52" s="16" t="s">
        <v>39</v>
      </c>
      <c r="B52" s="22">
        <f>B28</f>
        <v>80</v>
      </c>
      <c r="D52" s="18"/>
      <c r="E52" s="20"/>
      <c r="F52" s="20"/>
      <c r="G52" s="20"/>
      <c r="H52" s="20"/>
      <c r="I52" s="20"/>
      <c r="J52" s="2"/>
      <c r="K52" s="21"/>
    </row>
    <row r="53" spans="1:16" x14ac:dyDescent="0.25">
      <c r="A53" s="16" t="s">
        <v>40</v>
      </c>
      <c r="B53" s="47">
        <f>B52*B51</f>
        <v>880000</v>
      </c>
      <c r="D53" s="18" t="s">
        <v>41</v>
      </c>
      <c r="E53" s="20"/>
      <c r="F53" s="20"/>
      <c r="G53" s="20"/>
      <c r="H53" s="20"/>
      <c r="I53" s="20"/>
      <c r="J53" s="2">
        <f>SUM(E53:I53)</f>
        <v>0</v>
      </c>
      <c r="K53" s="21">
        <f>J53/J56</f>
        <v>0</v>
      </c>
    </row>
    <row r="54" spans="1:16" x14ac:dyDescent="0.25">
      <c r="A54" s="16" t="s">
        <v>42</v>
      </c>
      <c r="B54" s="22">
        <f t="shared" ref="B54:B59" si="28">B30</f>
        <v>40</v>
      </c>
      <c r="D54" s="18" t="s">
        <v>43</v>
      </c>
      <c r="E54" s="37">
        <v>300000</v>
      </c>
      <c r="F54" s="20"/>
      <c r="G54" s="20"/>
      <c r="H54" s="20"/>
      <c r="I54" s="20"/>
      <c r="J54" s="2">
        <f>SUM(E54:I54)</f>
        <v>300000</v>
      </c>
      <c r="K54" s="21">
        <f>J54/J56</f>
        <v>6.2178585935427702E-3</v>
      </c>
    </row>
    <row r="55" spans="1:16" x14ac:dyDescent="0.25">
      <c r="A55" s="16" t="s">
        <v>44</v>
      </c>
      <c r="B55" s="25">
        <f t="shared" si="28"/>
        <v>20000</v>
      </c>
      <c r="D55" s="18"/>
      <c r="E55" s="20"/>
      <c r="F55" s="20"/>
      <c r="G55" s="20"/>
      <c r="H55" s="20"/>
      <c r="I55" s="20"/>
      <c r="J55" s="2"/>
      <c r="K55" s="18"/>
    </row>
    <row r="56" spans="1:16" x14ac:dyDescent="0.25">
      <c r="A56" s="16" t="s">
        <v>45</v>
      </c>
      <c r="B56" s="22">
        <f t="shared" si="28"/>
        <v>2.5</v>
      </c>
      <c r="D56" s="1" t="s">
        <v>13</v>
      </c>
      <c r="E56" s="2">
        <f t="shared" ref="E56:I56" si="29">SUM(E43:E54)</f>
        <v>1814151.58</v>
      </c>
      <c r="F56" s="2">
        <f t="shared" si="29"/>
        <v>35056606.32</v>
      </c>
      <c r="G56" s="2">
        <f t="shared" si="29"/>
        <v>5056606.32</v>
      </c>
      <c r="H56" s="2">
        <f t="shared" si="29"/>
        <v>5056606.32</v>
      </c>
      <c r="I56" s="2">
        <f t="shared" si="29"/>
        <v>1264151.58</v>
      </c>
      <c r="J56" s="2">
        <f>ROUND(SUM(J43:J54),0)</f>
        <v>48248122</v>
      </c>
      <c r="K56" s="1"/>
    </row>
    <row r="57" spans="1:16" x14ac:dyDescent="0.25">
      <c r="A57" s="16" t="s">
        <v>46</v>
      </c>
      <c r="B57" s="22">
        <f t="shared" si="28"/>
        <v>1.5</v>
      </c>
      <c r="D57" s="26"/>
      <c r="E57" s="27"/>
      <c r="F57" s="27"/>
      <c r="G57" s="27"/>
      <c r="H57" s="27"/>
      <c r="I57" s="27"/>
      <c r="J57" s="27"/>
      <c r="K57" s="26"/>
    </row>
    <row r="58" spans="1:16" x14ac:dyDescent="0.25">
      <c r="A58" s="16" t="s">
        <v>47</v>
      </c>
      <c r="B58" s="22">
        <f t="shared" si="28"/>
        <v>3</v>
      </c>
    </row>
    <row r="59" spans="1:16" x14ac:dyDescent="0.25">
      <c r="A59" s="16" t="s">
        <v>48</v>
      </c>
      <c r="B59" s="22">
        <f t="shared" si="28"/>
        <v>4</v>
      </c>
    </row>
    <row r="62" spans="1:16" s="31" customFormat="1" x14ac:dyDescent="0.25">
      <c r="A62" s="31" t="s">
        <v>50</v>
      </c>
      <c r="D62" s="32"/>
    </row>
    <row r="63" spans="1:16" s="3" customFormat="1" x14ac:dyDescent="0.25">
      <c r="A63" s="7"/>
      <c r="D63" s="6"/>
      <c r="E63" s="5"/>
      <c r="F63" s="5"/>
      <c r="G63" s="5"/>
      <c r="H63" s="5"/>
      <c r="I63" s="5"/>
      <c r="J63" s="5"/>
      <c r="K63" s="5"/>
    </row>
    <row r="64" spans="1:16" s="3" customFormat="1" x14ac:dyDescent="0.25">
      <c r="A64" s="28" t="s">
        <v>7</v>
      </c>
      <c r="B64" s="28"/>
      <c r="D64" s="30" t="s">
        <v>8</v>
      </c>
      <c r="E64" s="30"/>
      <c r="F64" s="30"/>
      <c r="G64" s="30"/>
      <c r="H64" s="30"/>
      <c r="I64" s="30"/>
      <c r="J64" s="30"/>
      <c r="K64" s="30"/>
      <c r="M64" s="29" t="s">
        <v>9</v>
      </c>
      <c r="N64" s="29"/>
      <c r="O64" s="29" t="s">
        <v>14</v>
      </c>
      <c r="P64" s="29" t="s">
        <v>10</v>
      </c>
    </row>
    <row r="65" spans="1:16" x14ac:dyDescent="0.25">
      <c r="A65" s="16" t="s">
        <v>11</v>
      </c>
      <c r="B65" s="17"/>
      <c r="D65" s="1" t="s">
        <v>12</v>
      </c>
      <c r="E65" s="4">
        <v>0</v>
      </c>
      <c r="F65" s="4">
        <f>E65+1</f>
        <v>1</v>
      </c>
      <c r="G65" s="4">
        <f t="shared" ref="G65" si="30">F65+1</f>
        <v>2</v>
      </c>
      <c r="H65" s="4">
        <f t="shared" ref="H65" si="31">G65+1</f>
        <v>3</v>
      </c>
      <c r="I65" s="4">
        <f t="shared" ref="I65" si="32">H65+1</f>
        <v>4</v>
      </c>
      <c r="J65" s="4" t="s">
        <v>13</v>
      </c>
      <c r="K65" s="4" t="s">
        <v>14</v>
      </c>
      <c r="M65" s="8" t="s">
        <v>15</v>
      </c>
      <c r="N65" s="9">
        <f>J80/(B73*3)</f>
        <v>4.300107221333662E-2</v>
      </c>
      <c r="O65" s="34"/>
      <c r="P65" s="9"/>
    </row>
    <row r="66" spans="1:16" x14ac:dyDescent="0.25">
      <c r="A66" s="16" t="s">
        <v>16</v>
      </c>
      <c r="B66" s="16"/>
      <c r="D66" s="18" t="s">
        <v>17</v>
      </c>
      <c r="E66" s="18">
        <v>0.25</v>
      </c>
      <c r="F66" s="18">
        <v>1</v>
      </c>
      <c r="G66" s="18">
        <v>1</v>
      </c>
      <c r="H66" s="18">
        <v>1</v>
      </c>
      <c r="I66" s="18">
        <v>0.25</v>
      </c>
      <c r="J66" s="1"/>
      <c r="K66" s="18"/>
      <c r="M66" s="8" t="s">
        <v>18</v>
      </c>
      <c r="N66" s="40">
        <f>J80/J32</f>
        <v>1.9633160487848607</v>
      </c>
      <c r="O66" s="39">
        <f>N66-1</f>
        <v>0.96331604878486066</v>
      </c>
      <c r="P66" s="39"/>
    </row>
    <row r="67" spans="1:16" x14ac:dyDescent="0.25">
      <c r="A67" s="16" t="s">
        <v>19</v>
      </c>
      <c r="B67" s="42"/>
      <c r="D67" s="18" t="s">
        <v>20</v>
      </c>
      <c r="E67" s="20"/>
      <c r="F67" s="20">
        <f>B67</f>
        <v>0</v>
      </c>
      <c r="G67" s="20"/>
      <c r="H67" s="20"/>
      <c r="I67" s="20"/>
      <c r="J67" s="2">
        <f t="shared" ref="J67:J75" si="33">SUM(E67:I67)</f>
        <v>0</v>
      </c>
      <c r="K67" s="21">
        <f>J67/J80</f>
        <v>0</v>
      </c>
      <c r="M67" s="8" t="s">
        <v>53</v>
      </c>
      <c r="N67" s="10">
        <f>J32</f>
        <v>49262496</v>
      </c>
      <c r="O67" s="34">
        <f>N67/J$32</f>
        <v>1</v>
      </c>
      <c r="P67" s="34"/>
    </row>
    <row r="68" spans="1:16" x14ac:dyDescent="0.25">
      <c r="A68" s="16" t="s">
        <v>22</v>
      </c>
      <c r="B68" s="22"/>
      <c r="D68" s="18" t="s">
        <v>23</v>
      </c>
      <c r="E68" s="20">
        <f>E66*8766*$B65*$B69*$B68</f>
        <v>0</v>
      </c>
      <c r="F68" s="20">
        <f t="shared" ref="F68:I68" si="34">F66*8766*$B65*$B69*$B68</f>
        <v>0</v>
      </c>
      <c r="G68" s="20">
        <f t="shared" si="34"/>
        <v>0</v>
      </c>
      <c r="H68" s="20">
        <f t="shared" si="34"/>
        <v>0</v>
      </c>
      <c r="I68" s="20">
        <f t="shared" si="34"/>
        <v>0</v>
      </c>
      <c r="J68" s="2">
        <f t="shared" si="33"/>
        <v>0</v>
      </c>
      <c r="K68" s="21">
        <f>J68/J80</f>
        <v>0</v>
      </c>
      <c r="M68" s="8" t="s">
        <v>54</v>
      </c>
      <c r="N68" s="33">
        <f>N65-N17</f>
        <v>2.1098805260468322E-2</v>
      </c>
      <c r="O68" s="34">
        <f>N68/N$17</f>
        <v>0.96331604878486077</v>
      </c>
      <c r="P68" s="34"/>
    </row>
    <row r="69" spans="1:16" x14ac:dyDescent="0.25">
      <c r="A69" s="16" t="s">
        <v>25</v>
      </c>
      <c r="B69" s="16"/>
      <c r="D69" s="18" t="s">
        <v>26</v>
      </c>
      <c r="E69" s="20">
        <f>($B66-1)*E68</f>
        <v>0</v>
      </c>
      <c r="F69" s="20">
        <f t="shared" ref="F69:I69" si="35">($B66-1)*F68</f>
        <v>0</v>
      </c>
      <c r="G69" s="20">
        <f t="shared" si="35"/>
        <v>0</v>
      </c>
      <c r="H69" s="20">
        <f t="shared" si="35"/>
        <v>0</v>
      </c>
      <c r="I69" s="20">
        <f t="shared" si="35"/>
        <v>0</v>
      </c>
      <c r="J69" s="2">
        <f t="shared" si="33"/>
        <v>0</v>
      </c>
      <c r="K69" s="21">
        <f>J69/J80</f>
        <v>0</v>
      </c>
      <c r="M69" s="8"/>
      <c r="N69" s="8"/>
      <c r="O69" s="34"/>
      <c r="P69" s="8"/>
    </row>
    <row r="70" spans="1:16" x14ac:dyDescent="0.25">
      <c r="A70" s="16" t="s">
        <v>27</v>
      </c>
      <c r="B70" s="23">
        <v>0.04</v>
      </c>
      <c r="D70" s="18" t="s">
        <v>28</v>
      </c>
      <c r="E70" s="20"/>
      <c r="F70" s="20"/>
      <c r="G70" s="20"/>
      <c r="H70" s="20"/>
      <c r="I70" s="20"/>
      <c r="J70" s="2"/>
      <c r="K70" s="21">
        <f>J70/J80</f>
        <v>0</v>
      </c>
    </row>
    <row r="71" spans="1:16" x14ac:dyDescent="0.25">
      <c r="A71" s="16" t="s">
        <v>29</v>
      </c>
      <c r="B71" s="24"/>
      <c r="D71" s="18" t="s">
        <v>30</v>
      </c>
      <c r="E71" s="20">
        <f>E66*$B79*$B68</f>
        <v>0</v>
      </c>
      <c r="F71" s="20">
        <f t="shared" ref="F71:I71" si="36">F66*$B79*$B68</f>
        <v>0</v>
      </c>
      <c r="G71" s="20">
        <f t="shared" si="36"/>
        <v>0</v>
      </c>
      <c r="H71" s="20">
        <f t="shared" si="36"/>
        <v>0</v>
      </c>
      <c r="I71" s="20">
        <f t="shared" si="36"/>
        <v>0</v>
      </c>
      <c r="J71" s="2">
        <f t="shared" si="33"/>
        <v>0</v>
      </c>
      <c r="K71" s="21">
        <f>J71/J80</f>
        <v>0</v>
      </c>
    </row>
    <row r="72" spans="1:16" x14ac:dyDescent="0.25">
      <c r="A72" s="16" t="s">
        <v>31</v>
      </c>
      <c r="B72" s="24"/>
      <c r="D72" s="18" t="s">
        <v>32</v>
      </c>
      <c r="E72" s="20">
        <f>B80*B74</f>
        <v>500000</v>
      </c>
      <c r="F72" s="20"/>
      <c r="G72" s="20"/>
      <c r="H72" s="20"/>
      <c r="I72" s="20"/>
      <c r="J72" s="2">
        <f t="shared" si="33"/>
        <v>500000</v>
      </c>
      <c r="K72" s="21">
        <f>J72/J80</f>
        <v>5.1696765919597735E-3</v>
      </c>
    </row>
    <row r="73" spans="1:16" x14ac:dyDescent="0.25">
      <c r="A73" s="16" t="s">
        <v>33</v>
      </c>
      <c r="B73" s="46">
        <f>B25</f>
        <v>749732072.72727287</v>
      </c>
      <c r="D73" s="18" t="s">
        <v>34</v>
      </c>
      <c r="E73" s="20"/>
      <c r="F73" s="20"/>
      <c r="G73" s="20"/>
      <c r="H73" s="20"/>
      <c r="I73" s="20">
        <f>B81*B74</f>
        <v>125000</v>
      </c>
      <c r="J73" s="2">
        <f t="shared" si="33"/>
        <v>125000</v>
      </c>
      <c r="K73" s="21">
        <f>J73/J80</f>
        <v>1.2924191479899434E-3</v>
      </c>
    </row>
    <row r="74" spans="1:16" x14ac:dyDescent="0.25">
      <c r="A74" s="16" t="s">
        <v>35</v>
      </c>
      <c r="B74" s="25">
        <f>B50</f>
        <v>250000</v>
      </c>
      <c r="D74" s="18" t="s">
        <v>36</v>
      </c>
      <c r="E74" s="20">
        <f>E66*$B74*$B82</f>
        <v>187500</v>
      </c>
      <c r="F74" s="20">
        <f t="shared" ref="F74:I74" si="37">F66*$B74*$B82</f>
        <v>750000</v>
      </c>
      <c r="G74" s="20">
        <f t="shared" si="37"/>
        <v>750000</v>
      </c>
      <c r="H74" s="20">
        <f t="shared" si="37"/>
        <v>750000</v>
      </c>
      <c r="I74" s="20">
        <f t="shared" si="37"/>
        <v>187500</v>
      </c>
      <c r="J74" s="2">
        <f t="shared" si="33"/>
        <v>2625000</v>
      </c>
      <c r="K74" s="21">
        <f>J74/J80</f>
        <v>2.7140802107788811E-2</v>
      </c>
    </row>
    <row r="75" spans="1:16" x14ac:dyDescent="0.25">
      <c r="A75" s="16" t="s">
        <v>37</v>
      </c>
      <c r="B75" s="25"/>
      <c r="D75" s="18" t="s">
        <v>38</v>
      </c>
      <c r="E75" s="20">
        <f>E66*$B74*$B83</f>
        <v>250000</v>
      </c>
      <c r="F75" s="20">
        <f t="shared" ref="F75:I75" si="38">F66*$B74*$B83</f>
        <v>1000000</v>
      </c>
      <c r="G75" s="20">
        <f t="shared" si="38"/>
        <v>1000000</v>
      </c>
      <c r="H75" s="20">
        <f t="shared" si="38"/>
        <v>1000000</v>
      </c>
      <c r="I75" s="20">
        <f t="shared" si="38"/>
        <v>250000</v>
      </c>
      <c r="J75" s="2">
        <f t="shared" si="33"/>
        <v>3500000</v>
      </c>
      <c r="K75" s="21">
        <f>J75/J80</f>
        <v>3.6187736143718417E-2</v>
      </c>
    </row>
    <row r="76" spans="1:16" s="15" customFormat="1" x14ac:dyDescent="0.25">
      <c r="A76" s="16" t="s">
        <v>39</v>
      </c>
      <c r="B76" s="22"/>
      <c r="D76" s="18"/>
      <c r="E76" s="20"/>
      <c r="F76" s="20"/>
      <c r="G76" s="20"/>
      <c r="H76" s="20"/>
      <c r="I76" s="20"/>
      <c r="J76" s="2"/>
      <c r="K76" s="21"/>
    </row>
    <row r="77" spans="1:16" x14ac:dyDescent="0.25">
      <c r="A77" s="16" t="s">
        <v>40</v>
      </c>
      <c r="B77" s="25"/>
      <c r="D77" s="18" t="s">
        <v>41</v>
      </c>
      <c r="E77" s="20"/>
      <c r="F77" s="20">
        <f>$B$73*$B70</f>
        <v>29989282.909090914</v>
      </c>
      <c r="G77" s="20">
        <f t="shared" ref="G77:H77" si="39">$B$73*$B70</f>
        <v>29989282.909090914</v>
      </c>
      <c r="H77" s="20">
        <f t="shared" si="39"/>
        <v>29989282.909090914</v>
      </c>
      <c r="I77" s="20"/>
      <c r="J77" s="2">
        <f>SUM(E77:I77)</f>
        <v>89967848.727272749</v>
      </c>
      <c r="K77" s="21">
        <f>J77/J80</f>
        <v>0.93020936318871972</v>
      </c>
    </row>
    <row r="78" spans="1:16" x14ac:dyDescent="0.25">
      <c r="A78" s="16" t="s">
        <v>42</v>
      </c>
      <c r="B78" s="22"/>
      <c r="D78" s="18" t="s">
        <v>43</v>
      </c>
      <c r="E78" s="20"/>
      <c r="F78" s="20"/>
      <c r="G78" s="20"/>
      <c r="H78" s="20"/>
      <c r="I78" s="20"/>
      <c r="J78" s="2">
        <f>SUM(E78:I78)</f>
        <v>0</v>
      </c>
      <c r="K78" s="21">
        <f>J78/J80</f>
        <v>0</v>
      </c>
    </row>
    <row r="79" spans="1:16" x14ac:dyDescent="0.25">
      <c r="A79" s="16" t="s">
        <v>44</v>
      </c>
      <c r="B79" s="25"/>
      <c r="D79" s="18"/>
      <c r="E79" s="20"/>
      <c r="F79" s="20"/>
      <c r="G79" s="20"/>
      <c r="H79" s="20"/>
      <c r="I79" s="20"/>
      <c r="J79" s="2"/>
      <c r="K79" s="18"/>
    </row>
    <row r="80" spans="1:16" x14ac:dyDescent="0.25">
      <c r="A80" s="16" t="s">
        <v>45</v>
      </c>
      <c r="B80" s="41">
        <v>2</v>
      </c>
      <c r="D80" s="1" t="s">
        <v>13</v>
      </c>
      <c r="E80" s="2">
        <f t="shared" ref="E80:I80" si="40">SUM(E67:E78)</f>
        <v>937500</v>
      </c>
      <c r="F80" s="2">
        <f t="shared" si="40"/>
        <v>31739282.909090914</v>
      </c>
      <c r="G80" s="2">
        <f t="shared" si="40"/>
        <v>31739282.909090914</v>
      </c>
      <c r="H80" s="2">
        <f t="shared" si="40"/>
        <v>31739282.909090914</v>
      </c>
      <c r="I80" s="2">
        <f t="shared" si="40"/>
        <v>562500</v>
      </c>
      <c r="J80" s="2">
        <f>ROUND(SUM(J67:J78),0)</f>
        <v>96717849</v>
      </c>
      <c r="K80" s="1"/>
    </row>
    <row r="81" spans="1:11" x14ac:dyDescent="0.25">
      <c r="A81" s="16" t="s">
        <v>46</v>
      </c>
      <c r="B81" s="41">
        <v>0.5</v>
      </c>
      <c r="D81" s="26"/>
      <c r="E81" s="27"/>
      <c r="F81" s="27"/>
      <c r="G81" s="27"/>
      <c r="H81" s="27"/>
      <c r="I81" s="27"/>
      <c r="J81" s="27"/>
      <c r="K81" s="26"/>
    </row>
    <row r="82" spans="1:11" x14ac:dyDescent="0.25">
      <c r="A82" s="16" t="s">
        <v>47</v>
      </c>
      <c r="B82" s="22">
        <f>B58</f>
        <v>3</v>
      </c>
    </row>
    <row r="83" spans="1:11" x14ac:dyDescent="0.25">
      <c r="A83" s="16" t="s">
        <v>48</v>
      </c>
      <c r="B83" s="22">
        <f>B59</f>
        <v>4</v>
      </c>
    </row>
    <row r="256" spans="81:81" x14ac:dyDescent="0.25">
      <c r="CC256" s="14" t="s">
        <v>51</v>
      </c>
    </row>
    <row r="257" spans="81:81" x14ac:dyDescent="0.25">
      <c r="CC257" s="14" t="s">
        <v>52</v>
      </c>
    </row>
    <row r="512" spans="81:81" x14ac:dyDescent="0.25">
      <c r="CC512" s="43" t="s">
        <v>51</v>
      </c>
    </row>
    <row r="513" spans="81:81" x14ac:dyDescent="0.25">
      <c r="CC513" s="43" t="s">
        <v>52</v>
      </c>
    </row>
  </sheetData>
  <pageMargins left="0.70866141732283472" right="0.70866141732283472" top="0.74803149606299213" bottom="0.74803149606299213" header="0.31496062992125984" footer="0.31496062992125984"/>
  <pageSetup paperSize="9" scale="4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sc19</vt:lpstr>
      <vt:lpstr>'sc19'!Print_Area</vt:lpstr>
    </vt:vector>
  </TitlesOfParts>
  <Manager/>
  <Company>NAG Ltd/Inc. (The Numerical Algorithms Group)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Example HPC TCO model from SC18 tutorial</dc:title>
  <dc:subject>NAG HPC Consulting &amp; Services</dc:subject>
  <dc:creator>Andrew</dc:creator>
  <cp:keywords/>
  <dc:description>Created live during SC18 tutorial 'Business of HPC' - Jones &amp; Thomas
</dc:description>
  <cp:lastModifiedBy>Andrew Jones</cp:lastModifiedBy>
  <cp:revision/>
  <dcterms:created xsi:type="dcterms:W3CDTF">2018-11-10T17:27:52Z</dcterms:created>
  <dcterms:modified xsi:type="dcterms:W3CDTF">2019-12-01T22:23:10Z</dcterms:modified>
  <cp:category/>
  <cp:contentStatus>Copyright NAG 2018 - supplied for educational use only</cp:contentStatus>
</cp:coreProperties>
</file>