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529508\OneDrive\PHD\2021\Benchmark Paper Work\Results and Hyperparameters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19" i="1"/>
  <c r="H19" i="1"/>
  <c r="D105" i="1" l="1"/>
  <c r="O67" i="1"/>
  <c r="P67" i="1" s="1"/>
  <c r="N67" i="1"/>
  <c r="O79" i="1"/>
  <c r="N79" i="1"/>
  <c r="C79" i="1"/>
  <c r="B79" i="1"/>
  <c r="O66" i="1"/>
  <c r="N66" i="1"/>
  <c r="O78" i="1"/>
  <c r="N78" i="1"/>
  <c r="C78" i="1"/>
  <c r="B78" i="1"/>
  <c r="O65" i="1"/>
  <c r="N65" i="1"/>
  <c r="P66" i="1"/>
  <c r="P65" i="1"/>
  <c r="C106" i="1"/>
  <c r="B106" i="1"/>
  <c r="O106" i="1"/>
  <c r="N106" i="1"/>
  <c r="C68" i="1"/>
  <c r="B68" i="1"/>
  <c r="G68" i="1"/>
  <c r="F68" i="1"/>
  <c r="G21" i="1"/>
  <c r="F21" i="1"/>
  <c r="C21" i="1"/>
  <c r="B21" i="1"/>
  <c r="S20" i="1"/>
  <c r="G67" i="1"/>
  <c r="F67" i="1"/>
  <c r="AB118" i="1"/>
  <c r="AA118" i="1"/>
  <c r="X118" i="1"/>
  <c r="W118" i="1"/>
  <c r="G8" i="1" l="1"/>
  <c r="C8" i="1"/>
  <c r="C67" i="1"/>
  <c r="B67" i="1"/>
  <c r="R20" i="1"/>
  <c r="O20" i="1"/>
  <c r="N20" i="1"/>
  <c r="G20" i="1" l="1"/>
  <c r="F20" i="1"/>
  <c r="B5" i="1" l="1"/>
  <c r="C20" i="1"/>
  <c r="B20" i="1"/>
  <c r="F9" i="1"/>
  <c r="B9" i="1"/>
  <c r="R118" i="1"/>
  <c r="Q118" i="1"/>
  <c r="N118" i="1"/>
  <c r="M118" i="1"/>
  <c r="P118" i="1" s="1"/>
  <c r="AD122" i="1"/>
  <c r="AC122" i="1"/>
  <c r="Z122" i="1"/>
  <c r="Y122" i="1"/>
  <c r="T122" i="1"/>
  <c r="S122" i="1"/>
  <c r="P122" i="1"/>
  <c r="O122" i="1"/>
  <c r="I122" i="1"/>
  <c r="H122" i="1"/>
  <c r="E122" i="1"/>
  <c r="D122" i="1"/>
  <c r="AC121" i="1"/>
  <c r="Y121" i="1"/>
  <c r="T121" i="1"/>
  <c r="S121" i="1"/>
  <c r="P121" i="1"/>
  <c r="O121" i="1"/>
  <c r="H121" i="1"/>
  <c r="D121" i="1"/>
  <c r="AD120" i="1"/>
  <c r="AC120" i="1"/>
  <c r="Z120" i="1"/>
  <c r="Y120" i="1"/>
  <c r="T120" i="1"/>
  <c r="S120" i="1"/>
  <c r="P120" i="1"/>
  <c r="O120" i="1"/>
  <c r="I120" i="1"/>
  <c r="H120" i="1"/>
  <c r="E120" i="1"/>
  <c r="D120" i="1"/>
  <c r="AD119" i="1"/>
  <c r="AC119" i="1"/>
  <c r="Z119" i="1"/>
  <c r="Y119" i="1"/>
  <c r="T119" i="1"/>
  <c r="S119" i="1"/>
  <c r="P119" i="1"/>
  <c r="O119" i="1"/>
  <c r="I119" i="1"/>
  <c r="H119" i="1"/>
  <c r="E119" i="1"/>
  <c r="D119" i="1"/>
  <c r="AD118" i="1"/>
  <c r="AC118" i="1"/>
  <c r="Z118" i="1"/>
  <c r="Y118" i="1"/>
  <c r="S118" i="1"/>
  <c r="O118" i="1"/>
  <c r="I118" i="1"/>
  <c r="H118" i="1"/>
  <c r="E118" i="1"/>
  <c r="D118" i="1"/>
  <c r="G91" i="1"/>
  <c r="F91" i="1"/>
  <c r="C91" i="1"/>
  <c r="B91" i="1"/>
  <c r="R49" i="1"/>
  <c r="N49" i="1"/>
  <c r="S105" i="1"/>
  <c r="T105" i="1" s="1"/>
  <c r="R105" i="1"/>
  <c r="O105" i="1"/>
  <c r="P105" i="1" s="1"/>
  <c r="N105" i="1"/>
  <c r="S53" i="1"/>
  <c r="T53" i="1" s="1"/>
  <c r="R53" i="1"/>
  <c r="O53" i="1"/>
  <c r="P53" i="1" s="1"/>
  <c r="N53" i="1"/>
  <c r="G53" i="1"/>
  <c r="H53" i="1" s="1"/>
  <c r="F53" i="1"/>
  <c r="C53" i="1"/>
  <c r="D53" i="1" s="1"/>
  <c r="B53" i="1"/>
  <c r="S49" i="1"/>
  <c r="T49" i="1" s="1"/>
  <c r="O49" i="1"/>
  <c r="S52" i="1"/>
  <c r="T52" i="1" s="1"/>
  <c r="R52" i="1"/>
  <c r="O52" i="1"/>
  <c r="P52" i="1" s="1"/>
  <c r="N52" i="1"/>
  <c r="G105" i="1"/>
  <c r="H105" i="1" s="1"/>
  <c r="F105" i="1"/>
  <c r="C105" i="1"/>
  <c r="B105" i="1"/>
  <c r="U107" i="1"/>
  <c r="T107" i="1"/>
  <c r="Q107" i="1"/>
  <c r="P107" i="1"/>
  <c r="U106" i="1"/>
  <c r="T106" i="1"/>
  <c r="Q106" i="1"/>
  <c r="P106" i="1"/>
  <c r="H107" i="1"/>
  <c r="D107" i="1"/>
  <c r="I107" i="1"/>
  <c r="H106" i="1"/>
  <c r="D106" i="1"/>
  <c r="I106" i="1"/>
  <c r="U80" i="1"/>
  <c r="T80" i="1"/>
  <c r="Q80" i="1"/>
  <c r="P80" i="1"/>
  <c r="U79" i="1"/>
  <c r="T79" i="1"/>
  <c r="Q79" i="1"/>
  <c r="P79" i="1"/>
  <c r="U78" i="1"/>
  <c r="T78" i="1"/>
  <c r="Q78" i="1"/>
  <c r="P78" i="1"/>
  <c r="I80" i="1"/>
  <c r="H80" i="1"/>
  <c r="E80" i="1"/>
  <c r="D80" i="1"/>
  <c r="H79" i="1"/>
  <c r="D79" i="1"/>
  <c r="I79" i="1"/>
  <c r="H78" i="1"/>
  <c r="E78" i="1"/>
  <c r="D78" i="1"/>
  <c r="I78" i="1"/>
  <c r="G64" i="1"/>
  <c r="H64" i="1" s="1"/>
  <c r="F64" i="1"/>
  <c r="C64" i="1"/>
  <c r="D64" i="1" s="1"/>
  <c r="B64" i="1"/>
  <c r="G93" i="1"/>
  <c r="F93" i="1"/>
  <c r="C93" i="1"/>
  <c r="B93" i="1"/>
  <c r="G49" i="1"/>
  <c r="H49" i="1" s="1"/>
  <c r="F49" i="1"/>
  <c r="C49" i="1"/>
  <c r="D49" i="1" s="1"/>
  <c r="B49" i="1"/>
  <c r="G52" i="1"/>
  <c r="H52" i="1" s="1"/>
  <c r="F52" i="1"/>
  <c r="C52" i="1"/>
  <c r="D52" i="1" s="1"/>
  <c r="B52" i="1"/>
  <c r="O50" i="1"/>
  <c r="P50" i="1" s="1"/>
  <c r="S51" i="1"/>
  <c r="T51" i="1" s="1"/>
  <c r="R51" i="1"/>
  <c r="O51" i="1"/>
  <c r="P51" i="1" s="1"/>
  <c r="N51" i="1"/>
  <c r="G51" i="1"/>
  <c r="H51" i="1" s="1"/>
  <c r="F51" i="1"/>
  <c r="C51" i="1"/>
  <c r="D51" i="1" s="1"/>
  <c r="B51" i="1"/>
  <c r="S50" i="1"/>
  <c r="T50" i="1" s="1"/>
  <c r="R50" i="1"/>
  <c r="N50" i="1"/>
  <c r="G50" i="1"/>
  <c r="H50" i="1" s="1"/>
  <c r="F50" i="1"/>
  <c r="C50" i="1"/>
  <c r="D50" i="1" s="1"/>
  <c r="B50" i="1"/>
  <c r="S9" i="1"/>
  <c r="S7" i="1"/>
  <c r="R9" i="1"/>
  <c r="O9" i="1"/>
  <c r="N9" i="1"/>
  <c r="G92" i="1"/>
  <c r="F92" i="1"/>
  <c r="C92" i="1"/>
  <c r="B92" i="1"/>
  <c r="S6" i="1"/>
  <c r="R6" i="1"/>
  <c r="O6" i="1"/>
  <c r="N6" i="1"/>
  <c r="G95" i="1"/>
  <c r="F95" i="1"/>
  <c r="C95" i="1"/>
  <c r="B95" i="1"/>
  <c r="P49" i="1"/>
  <c r="G35" i="1"/>
  <c r="B65" i="1"/>
  <c r="C65" i="1"/>
  <c r="D65" i="1" s="1"/>
  <c r="F65" i="1"/>
  <c r="G65" i="1"/>
  <c r="H65" i="1" s="1"/>
  <c r="B66" i="1"/>
  <c r="C66" i="1"/>
  <c r="D66" i="1" s="1"/>
  <c r="F66" i="1"/>
  <c r="G66" i="1"/>
  <c r="H66" i="1" s="1"/>
  <c r="D67" i="1"/>
  <c r="E67" i="1"/>
  <c r="H67" i="1"/>
  <c r="I67" i="1"/>
  <c r="D68" i="1"/>
  <c r="E68" i="1"/>
  <c r="H68" i="1"/>
  <c r="I68" i="1"/>
  <c r="G7" i="1"/>
  <c r="F7" i="1"/>
  <c r="C7" i="1"/>
  <c r="B7" i="1"/>
  <c r="C6" i="1"/>
  <c r="B6" i="1"/>
  <c r="G6" i="1"/>
  <c r="F6" i="1"/>
  <c r="T118" i="1" l="1"/>
  <c r="Q52" i="1"/>
  <c r="I105" i="1"/>
  <c r="T124" i="1"/>
  <c r="P124" i="1"/>
  <c r="U105" i="1"/>
  <c r="Q105" i="1"/>
  <c r="Q109" i="1" s="1"/>
  <c r="AD121" i="1"/>
  <c r="AD124" i="1" s="1"/>
  <c r="Z121" i="1"/>
  <c r="Z124" i="1" s="1"/>
  <c r="I121" i="1"/>
  <c r="I124" i="1" s="1"/>
  <c r="E121" i="1"/>
  <c r="E124" i="1" s="1"/>
  <c r="Q49" i="1"/>
  <c r="U49" i="1"/>
  <c r="U109" i="1"/>
  <c r="E105" i="1"/>
  <c r="U82" i="1"/>
  <c r="U51" i="1"/>
  <c r="Q82" i="1"/>
  <c r="I109" i="1"/>
  <c r="E107" i="1"/>
  <c r="E106" i="1"/>
  <c r="I82" i="1"/>
  <c r="E79" i="1"/>
  <c r="E82" i="1" s="1"/>
  <c r="E51" i="1"/>
  <c r="U50" i="1"/>
  <c r="I49" i="1"/>
  <c r="I64" i="1"/>
  <c r="E64" i="1"/>
  <c r="E49" i="1"/>
  <c r="E52" i="1"/>
  <c r="I53" i="1"/>
  <c r="U53" i="1"/>
  <c r="E50" i="1"/>
  <c r="Q50" i="1"/>
  <c r="I52" i="1"/>
  <c r="U52" i="1"/>
  <c r="I50" i="1"/>
  <c r="Q51" i="1"/>
  <c r="Q53" i="1"/>
  <c r="E53" i="1"/>
  <c r="I51" i="1"/>
  <c r="E65" i="1"/>
  <c r="I65" i="1"/>
  <c r="E66" i="1"/>
  <c r="I66" i="1"/>
  <c r="E109" i="1" l="1"/>
  <c r="U55" i="1"/>
  <c r="I55" i="1"/>
  <c r="Q55" i="1"/>
  <c r="E55" i="1"/>
  <c r="S8" i="1"/>
  <c r="T8" i="1" s="1"/>
  <c r="R8" i="1"/>
  <c r="O8" i="1"/>
  <c r="N8" i="1"/>
  <c r="U8" i="1" s="1"/>
  <c r="G5" i="1"/>
  <c r="F5" i="1"/>
  <c r="P8" i="1"/>
  <c r="C5" i="1"/>
  <c r="D94" i="1"/>
  <c r="I94" i="1"/>
  <c r="H92" i="1"/>
  <c r="D92" i="1"/>
  <c r="H93" i="1"/>
  <c r="D93" i="1"/>
  <c r="S5" i="1"/>
  <c r="T5" i="1" s="1"/>
  <c r="R5" i="1"/>
  <c r="O5" i="1"/>
  <c r="N5" i="1"/>
  <c r="AB35" i="1"/>
  <c r="AA35" i="1"/>
  <c r="X35" i="1"/>
  <c r="W35" i="1"/>
  <c r="AB37" i="1"/>
  <c r="AA37" i="1"/>
  <c r="AB36" i="1"/>
  <c r="AA36" i="1"/>
  <c r="R36" i="1"/>
  <c r="Q36" i="1"/>
  <c r="G36" i="1"/>
  <c r="F36" i="1"/>
  <c r="I91" i="1"/>
  <c r="I95" i="1"/>
  <c r="H95" i="1"/>
  <c r="E95" i="1"/>
  <c r="D95" i="1"/>
  <c r="H94" i="1"/>
  <c r="H91" i="1"/>
  <c r="D91" i="1"/>
  <c r="R35" i="1"/>
  <c r="Q35" i="1"/>
  <c r="N35" i="1"/>
  <c r="M35" i="1"/>
  <c r="Q37" i="1"/>
  <c r="R37" i="1"/>
  <c r="X36" i="1"/>
  <c r="W36" i="1"/>
  <c r="N36" i="1"/>
  <c r="M36" i="1"/>
  <c r="C36" i="1"/>
  <c r="B36" i="1"/>
  <c r="F35" i="1"/>
  <c r="B8" i="1"/>
  <c r="F8" i="1"/>
  <c r="S21" i="1"/>
  <c r="R21" i="1"/>
  <c r="S19" i="1"/>
  <c r="R19" i="1"/>
  <c r="X37" i="1"/>
  <c r="W37" i="1"/>
  <c r="N37" i="1"/>
  <c r="M37" i="1"/>
  <c r="G37" i="1"/>
  <c r="F37" i="1"/>
  <c r="C37" i="1"/>
  <c r="B37" i="1"/>
  <c r="C35" i="1"/>
  <c r="B35" i="1"/>
  <c r="R7" i="1"/>
  <c r="O7" i="1"/>
  <c r="N7" i="1"/>
  <c r="O21" i="1"/>
  <c r="N21" i="1"/>
  <c r="I93" i="1" l="1"/>
  <c r="I92" i="1"/>
  <c r="E94" i="1"/>
  <c r="Q8" i="1"/>
  <c r="E92" i="1"/>
  <c r="E91" i="1"/>
  <c r="E93" i="1"/>
  <c r="AB33" i="1"/>
  <c r="AC33" i="1" s="1"/>
  <c r="AA33" i="1"/>
  <c r="O19" i="1"/>
  <c r="P19" i="1" s="1"/>
  <c r="N19" i="1"/>
  <c r="Q19" i="1" s="1"/>
  <c r="E19" i="1"/>
  <c r="I19" i="1"/>
  <c r="U7" i="1"/>
  <c r="P5" i="1"/>
  <c r="Q5" i="1"/>
  <c r="X34" i="1"/>
  <c r="Y34" i="1" s="1"/>
  <c r="W34" i="1"/>
  <c r="AB34" i="1"/>
  <c r="AC34" i="1" s="1"/>
  <c r="AA34" i="1"/>
  <c r="N34" i="1"/>
  <c r="O34" i="1" s="1"/>
  <c r="M34" i="1"/>
  <c r="R34" i="1"/>
  <c r="S34" i="1" s="1"/>
  <c r="Q34" i="1"/>
  <c r="G34" i="1"/>
  <c r="H34" i="1" s="1"/>
  <c r="F34" i="1"/>
  <c r="C34" i="1"/>
  <c r="D34" i="1" s="1"/>
  <c r="B34" i="1"/>
  <c r="X33" i="1"/>
  <c r="Y33" i="1" s="1"/>
  <c r="N33" i="1"/>
  <c r="O33" i="1" s="1"/>
  <c r="M33" i="1"/>
  <c r="R33" i="1"/>
  <c r="S33" i="1" s="1"/>
  <c r="Q33" i="1"/>
  <c r="C33" i="1"/>
  <c r="D33" i="1" s="1"/>
  <c r="B33" i="1"/>
  <c r="F33" i="1"/>
  <c r="G33" i="1"/>
  <c r="H33" i="1" s="1"/>
  <c r="AC35" i="1"/>
  <c r="AC36" i="1"/>
  <c r="AC37" i="1"/>
  <c r="Y35" i="1"/>
  <c r="Y36" i="1"/>
  <c r="Y37" i="1"/>
  <c r="H35" i="1"/>
  <c r="H36" i="1"/>
  <c r="H37" i="1"/>
  <c r="D35" i="1"/>
  <c r="D36" i="1"/>
  <c r="D37" i="1"/>
  <c r="O35" i="1"/>
  <c r="O36" i="1"/>
  <c r="O37" i="1"/>
  <c r="S35" i="1"/>
  <c r="S36" i="1"/>
  <c r="S37" i="1"/>
  <c r="T19" i="1"/>
  <c r="T20" i="1"/>
  <c r="T21" i="1"/>
  <c r="T22" i="1"/>
  <c r="T23" i="1"/>
  <c r="P20" i="1"/>
  <c r="P21" i="1"/>
  <c r="P22" i="1"/>
  <c r="P23" i="1"/>
  <c r="T6" i="1"/>
  <c r="T7" i="1"/>
  <c r="T9" i="1"/>
  <c r="P6" i="1"/>
  <c r="P7" i="1"/>
  <c r="P9" i="1"/>
  <c r="H20" i="1"/>
  <c r="H21" i="1"/>
  <c r="H22" i="1"/>
  <c r="H23" i="1"/>
  <c r="H6" i="1"/>
  <c r="H7" i="1"/>
  <c r="H8" i="1"/>
  <c r="H9" i="1"/>
  <c r="H5" i="1"/>
  <c r="D6" i="1"/>
  <c r="D7" i="1"/>
  <c r="D8" i="1"/>
  <c r="D9" i="1"/>
  <c r="D5" i="1"/>
  <c r="Q20" i="1"/>
  <c r="U20" i="1"/>
  <c r="Q21" i="1"/>
  <c r="U21" i="1"/>
  <c r="Q22" i="1"/>
  <c r="U22" i="1"/>
  <c r="Q23" i="1"/>
  <c r="U23" i="1"/>
  <c r="Q6" i="1"/>
  <c r="U6" i="1"/>
  <c r="Q7" i="1"/>
  <c r="Q9" i="1"/>
  <c r="U9" i="1"/>
  <c r="E20" i="1"/>
  <c r="I20" i="1"/>
  <c r="E21" i="1"/>
  <c r="I21" i="1"/>
  <c r="E22" i="1"/>
  <c r="I22" i="1"/>
  <c r="E23" i="1"/>
  <c r="I23" i="1"/>
  <c r="W33" i="1"/>
  <c r="AD37" i="1"/>
  <c r="Z37" i="1"/>
  <c r="T37" i="1"/>
  <c r="P37" i="1"/>
  <c r="I37" i="1"/>
  <c r="E37" i="1"/>
  <c r="AD36" i="1"/>
  <c r="Z36" i="1"/>
  <c r="T36" i="1"/>
  <c r="P36" i="1"/>
  <c r="I36" i="1"/>
  <c r="E36" i="1"/>
  <c r="T35" i="1"/>
  <c r="P35" i="1"/>
  <c r="I35" i="1"/>
  <c r="E35" i="1"/>
  <c r="I9" i="1"/>
  <c r="E9" i="1"/>
  <c r="I8" i="1"/>
  <c r="E8" i="1"/>
  <c r="I7" i="1"/>
  <c r="E7" i="1"/>
  <c r="I6" i="1"/>
  <c r="E6" i="1"/>
  <c r="I5" i="1"/>
  <c r="E5" i="1"/>
  <c r="I97" i="1" l="1"/>
  <c r="E97" i="1"/>
  <c r="E34" i="1"/>
  <c r="T33" i="1"/>
  <c r="I34" i="1"/>
  <c r="Q11" i="1"/>
  <c r="AD33" i="1"/>
  <c r="AD34" i="1"/>
  <c r="I25" i="1"/>
  <c r="I70" i="1"/>
  <c r="E25" i="1"/>
  <c r="E70" i="1"/>
  <c r="T34" i="1"/>
  <c r="Q25" i="1"/>
  <c r="Z35" i="1"/>
  <c r="AD35" i="1"/>
  <c r="P34" i="1"/>
  <c r="Z34" i="1"/>
  <c r="U19" i="1"/>
  <c r="U25" i="1" s="1"/>
  <c r="U5" i="1"/>
  <c r="U11" i="1" s="1"/>
  <c r="Z33" i="1"/>
  <c r="P33" i="1"/>
  <c r="E11" i="1"/>
  <c r="I11" i="1"/>
  <c r="I33" i="1"/>
  <c r="E33" i="1"/>
  <c r="E39" i="1" l="1"/>
  <c r="I39" i="1"/>
  <c r="T39" i="1"/>
  <c r="P39" i="1"/>
  <c r="AD39" i="1"/>
  <c r="Z39" i="1"/>
</calcChain>
</file>

<file path=xl/sharedStrings.xml><?xml version="1.0" encoding="utf-8"?>
<sst xmlns="http://schemas.openxmlformats.org/spreadsheetml/2006/main" count="371" uniqueCount="31">
  <si>
    <t>ESC-50</t>
  </si>
  <si>
    <t>5-way 1-shot</t>
  </si>
  <si>
    <t>ALGORITHM</t>
  </si>
  <si>
    <t>HYBRID MEAN</t>
  </si>
  <si>
    <t>rank</t>
  </si>
  <si>
    <t>CNN</t>
  </si>
  <si>
    <t>ProtoNets</t>
  </si>
  <si>
    <t>FO-MC</t>
  </si>
  <si>
    <t>AVG RANK</t>
  </si>
  <si>
    <t>NSYNTH</t>
  </si>
  <si>
    <t>SimpleShot CL2N (Weighted)</t>
  </si>
  <si>
    <t>KAGGLE 18</t>
  </si>
  <si>
    <t>1 second</t>
  </si>
  <si>
    <t xml:space="preserve">5 second </t>
  </si>
  <si>
    <t>10 Second</t>
  </si>
  <si>
    <t>95% CI</t>
  </si>
  <si>
    <t>5 second</t>
  </si>
  <si>
    <t>Meta-Baseline (weighted)</t>
  </si>
  <si>
    <t>HYBRID STD</t>
  </si>
  <si>
    <t>CNN STD</t>
  </si>
  <si>
    <t>SimpleShot CL2N (weighted)</t>
  </si>
  <si>
    <t>FO-MAML (8 inner)</t>
  </si>
  <si>
    <t>5-way 5-shot</t>
  </si>
  <si>
    <t>VoxCeleb (NOT AWARE)</t>
  </si>
  <si>
    <t>NORM</t>
  </si>
  <si>
    <t>SHIFT</t>
  </si>
  <si>
    <t>STRAT</t>
  </si>
  <si>
    <t>\</t>
  </si>
  <si>
    <t>BirdClef20 (NON PRUNED)</t>
  </si>
  <si>
    <t>BirdClef20 (PRUNED)</t>
  </si>
  <si>
    <t xml:space="preserve">got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</si>
</sst>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2" borderId="0" xfId="0" applyNumberForma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0" xfId="0" quotePrefix="1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0" borderId="0" xfId="0" quotePrefix="1" applyNumberFormat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1" fillId="9" borderId="0" xfId="0" applyNumberFormat="1" applyFont="1" applyFill="1" applyAlignment="1">
      <alignment horizontal="center" vertical="center"/>
    </xf>
    <xf numFmtId="2" fontId="0" fillId="10" borderId="0" xfId="0" applyNumberForma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13" borderId="0" xfId="0" applyNumberFormat="1" applyFill="1" applyAlignment="1">
      <alignment horizontal="center" vertical="center"/>
    </xf>
    <xf numFmtId="2" fontId="0" fillId="0" borderId="0" xfId="0" quotePrefix="1" applyNumberFormat="1" applyFill="1" applyAlignment="1">
      <alignment horizontal="center" vertical="center"/>
    </xf>
    <xf numFmtId="2" fontId="0" fillId="1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4"/>
  <sheetViews>
    <sheetView tabSelected="1" zoomScale="85" zoomScaleNormal="85" workbookViewId="0">
      <selection activeCell="D19" sqref="D19:D23"/>
    </sheetView>
  </sheetViews>
  <sheetFormatPr defaultColWidth="9.109375" defaultRowHeight="14.4" x14ac:dyDescent="0.3"/>
  <cols>
    <col min="1" max="1" width="29.33203125" style="6" customWidth="1"/>
    <col min="2" max="2" width="16.44140625" style="6" customWidth="1"/>
    <col min="3" max="3" width="14" style="6" customWidth="1"/>
    <col min="4" max="4" width="13.6640625" style="6" customWidth="1"/>
    <col min="5" max="5" width="9.109375" style="6"/>
    <col min="6" max="7" width="11.33203125" style="6" customWidth="1"/>
    <col min="8" max="8" width="15.5546875" style="6" customWidth="1"/>
    <col min="9" max="9" width="14.6640625" style="6" customWidth="1"/>
    <col min="10" max="10" width="5.6640625" style="6" customWidth="1"/>
    <col min="11" max="11" width="3.88671875" style="15" customWidth="1"/>
    <col min="12" max="12" width="5.33203125" style="6" customWidth="1"/>
    <col min="13" max="13" width="27.88671875" style="6" customWidth="1"/>
    <col min="14" max="14" width="15.88671875" style="6" customWidth="1"/>
    <col min="15" max="15" width="13.109375" style="6" customWidth="1"/>
    <col min="16" max="16" width="14.33203125" style="6" customWidth="1"/>
    <col min="17" max="17" width="10.109375" style="6" customWidth="1"/>
    <col min="18" max="18" width="9.109375" style="6"/>
    <col min="19" max="19" width="11.5546875" style="6" customWidth="1"/>
    <col min="20" max="20" width="14.33203125" style="6" customWidth="1"/>
    <col min="21" max="21" width="14.6640625" style="6" customWidth="1"/>
    <col min="22" max="22" width="0.109375" style="6" customWidth="1"/>
    <col min="23" max="23" width="17.5546875" style="6" customWidth="1"/>
    <col min="24" max="24" width="14.33203125" style="6" customWidth="1"/>
    <col min="25" max="26" width="14.109375" style="6" customWidth="1"/>
    <col min="27" max="27" width="9.109375" style="6"/>
    <col min="28" max="28" width="12.44140625" style="6" customWidth="1"/>
    <col min="29" max="16384" width="9.109375" style="6"/>
  </cols>
  <sheetData>
    <row r="1" spans="1:24" x14ac:dyDescent="0.3">
      <c r="A1" s="1" t="s">
        <v>0</v>
      </c>
      <c r="B1" s="2" t="s">
        <v>1</v>
      </c>
      <c r="D1" s="3"/>
      <c r="E1" s="3"/>
      <c r="F1" s="3"/>
      <c r="G1" s="3"/>
      <c r="H1" s="3"/>
      <c r="I1" s="3"/>
      <c r="J1" s="3"/>
      <c r="K1" s="10"/>
      <c r="L1" s="3"/>
      <c r="M1" s="1" t="s">
        <v>0</v>
      </c>
      <c r="N1" s="2" t="s">
        <v>22</v>
      </c>
      <c r="P1" s="3"/>
      <c r="Q1" s="3"/>
      <c r="R1" s="3"/>
      <c r="S1" s="3"/>
      <c r="T1" s="3"/>
      <c r="U1" s="3"/>
      <c r="V1" s="3"/>
      <c r="W1" s="10"/>
      <c r="X1" s="3"/>
    </row>
    <row r="2" spans="1:24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1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10"/>
      <c r="X2" s="3"/>
    </row>
    <row r="3" spans="1:24" x14ac:dyDescent="0.3">
      <c r="A3" s="3" t="s">
        <v>2</v>
      </c>
      <c r="B3" s="3" t="s">
        <v>3</v>
      </c>
      <c r="C3" s="6" t="s">
        <v>18</v>
      </c>
      <c r="D3" s="3" t="s">
        <v>15</v>
      </c>
      <c r="E3" s="3" t="s">
        <v>4</v>
      </c>
      <c r="F3" s="3" t="s">
        <v>5</v>
      </c>
      <c r="G3" s="3" t="s">
        <v>19</v>
      </c>
      <c r="H3" s="3" t="s">
        <v>15</v>
      </c>
      <c r="I3" s="3" t="s">
        <v>4</v>
      </c>
      <c r="J3" s="3"/>
      <c r="K3" s="10"/>
      <c r="L3" s="3"/>
      <c r="M3" s="3" t="s">
        <v>2</v>
      </c>
      <c r="N3" s="3" t="s">
        <v>3</v>
      </c>
      <c r="O3" s="6" t="s">
        <v>18</v>
      </c>
      <c r="P3" s="3" t="s">
        <v>15</v>
      </c>
      <c r="Q3" s="3" t="s">
        <v>4</v>
      </c>
      <c r="R3" s="3" t="s">
        <v>5</v>
      </c>
      <c r="S3" s="3" t="s">
        <v>19</v>
      </c>
      <c r="T3" s="3" t="s">
        <v>15</v>
      </c>
      <c r="U3" s="3" t="s">
        <v>4</v>
      </c>
      <c r="V3" s="3"/>
      <c r="W3" s="10"/>
      <c r="X3" s="3"/>
    </row>
    <row r="4" spans="1:24" x14ac:dyDescent="0.3">
      <c r="A4" s="3"/>
      <c r="B4" s="3"/>
      <c r="D4" s="3"/>
      <c r="E4" s="3"/>
      <c r="F4" s="3"/>
      <c r="H4" s="3"/>
      <c r="I4" s="3"/>
      <c r="J4" s="3"/>
      <c r="K4" s="10"/>
      <c r="L4" s="3"/>
      <c r="M4" s="3"/>
      <c r="N4" s="3"/>
      <c r="P4" s="3"/>
      <c r="Q4" s="3"/>
      <c r="R4" s="3"/>
      <c r="T4" s="3"/>
      <c r="U4" s="3"/>
      <c r="V4" s="3"/>
      <c r="W4" s="10"/>
      <c r="X4" s="3"/>
    </row>
    <row r="5" spans="1:24" x14ac:dyDescent="0.3">
      <c r="A5" s="3" t="s">
        <v>21</v>
      </c>
      <c r="B5" s="3">
        <f>100*0.746580010749399</f>
        <v>74.658001074939889</v>
      </c>
      <c r="C5" s="6">
        <f>100* 0.214229553723852</f>
        <v>21.4229553723852</v>
      </c>
      <c r="D5" s="3">
        <f>(1.96/SQRT(10000))*C5</f>
        <v>0.41988992529874991</v>
      </c>
      <c r="E5" s="3">
        <f>IF(B5&gt;F5, 1, 2)</f>
        <v>1</v>
      </c>
      <c r="F5" s="3">
        <f>100*0.691080011904239</f>
        <v>69.108001190423892</v>
      </c>
      <c r="G5" s="6">
        <f>100*0.2201100462714</f>
        <v>22.01100462714</v>
      </c>
      <c r="H5" s="3">
        <f>(1.96/SQRT(10000))*G5</f>
        <v>0.43141569069194396</v>
      </c>
      <c r="I5" s="3">
        <f>IF(B5&gt;F5, 2, 1)</f>
        <v>2</v>
      </c>
      <c r="J5" s="3"/>
      <c r="K5" s="10"/>
      <c r="L5" s="3"/>
      <c r="M5" s="3" t="s">
        <v>21</v>
      </c>
      <c r="N5" s="12">
        <f>100*0.96342798346877</f>
        <v>96.342798346877004</v>
      </c>
      <c r="O5" s="6">
        <f>100*0.0355832773283354</f>
        <v>3.5583277328335399</v>
      </c>
      <c r="P5" s="3">
        <f>(1.96/SQRT(10000))*O5</f>
        <v>6.9743223563537377E-2</v>
      </c>
      <c r="Q5" s="3">
        <f>IF(N5&gt;R5, 1, 2)</f>
        <v>1</v>
      </c>
      <c r="R5" s="12">
        <f>100*0.919415977311134</f>
        <v>91.941597731113404</v>
      </c>
      <c r="S5" s="15">
        <f>100*0.0608892383553312</f>
        <v>6.0889238355331203</v>
      </c>
      <c r="T5" s="3">
        <f>(1.96/SQRT(10000))*S5</f>
        <v>0.11934290717644916</v>
      </c>
      <c r="U5" s="3">
        <f>IF(N5&gt;R5, 2, 1)</f>
        <v>2</v>
      </c>
      <c r="V5" s="3"/>
      <c r="W5" s="10"/>
      <c r="X5" s="3"/>
    </row>
    <row r="6" spans="1:24" x14ac:dyDescent="0.3">
      <c r="A6" s="3" t="s">
        <v>6</v>
      </c>
      <c r="B6" s="3">
        <f>100*0.6883</f>
        <v>68.83</v>
      </c>
      <c r="C6" s="6">
        <f>100*0.195200179303196</f>
        <v>19.5200179303196</v>
      </c>
      <c r="D6" s="3">
        <f>(1.96/SQRT(10000))*C6</f>
        <v>0.38259235143426418</v>
      </c>
      <c r="E6" s="3">
        <f>IF(B6&gt;F6, 1, 2)</f>
        <v>1</v>
      </c>
      <c r="F6" s="3">
        <f>100*0.6771</f>
        <v>67.710000000000008</v>
      </c>
      <c r="G6" s="6">
        <f>100*0.195845832225248</f>
        <v>19.584583222524802</v>
      </c>
      <c r="H6" s="3">
        <f>(1.96/SQRT(10000))*G6</f>
        <v>0.38385783116148614</v>
      </c>
      <c r="I6" s="3">
        <f>IF(B6&gt;F6, 2, 1)</f>
        <v>2</v>
      </c>
      <c r="J6" s="3"/>
      <c r="K6" s="10"/>
      <c r="L6" s="3"/>
      <c r="M6" s="3" t="s">
        <v>6</v>
      </c>
      <c r="N6" s="3">
        <f>100*0.940768</f>
        <v>94.076800000000006</v>
      </c>
      <c r="O6" s="6">
        <f>100*0.0486724786301252</f>
        <v>4.86724786301252</v>
      </c>
      <c r="P6" s="3">
        <f>(1.96/SQRT(10000))*O6</f>
        <v>9.5398058115045384E-2</v>
      </c>
      <c r="Q6" s="3">
        <f>IF(N6&gt;R6, 1, 2)</f>
        <v>2</v>
      </c>
      <c r="R6" s="12">
        <f>100*0.943032</f>
        <v>94.303200000000004</v>
      </c>
      <c r="S6" s="6">
        <f>100*0.0478071854013599</f>
        <v>4.7807185401359895</v>
      </c>
      <c r="T6" s="3">
        <f>(1.96/SQRT(10000))*S6</f>
        <v>9.3702083386665386E-2</v>
      </c>
      <c r="U6" s="3">
        <f>IF(N6&gt;R6, 2, 1)</f>
        <v>1</v>
      </c>
      <c r="V6" s="3"/>
      <c r="W6" s="10"/>
      <c r="X6" s="3"/>
    </row>
    <row r="7" spans="1:24" x14ac:dyDescent="0.3">
      <c r="A7" s="3" t="s">
        <v>20</v>
      </c>
      <c r="B7" s="3">
        <f>100*0.688200013229251</f>
        <v>68.820001322925094</v>
      </c>
      <c r="C7" s="6">
        <f>100*0.196480938009333</f>
        <v>19.648093800933299</v>
      </c>
      <c r="D7" s="3">
        <f>(1.96/SQRT(10000))*C7</f>
        <v>0.38510263849829268</v>
      </c>
      <c r="E7" s="3">
        <f>IF(B7&gt;F7, 1, 2)</f>
        <v>1</v>
      </c>
      <c r="F7" s="3">
        <f>100*0.662120013625919</f>
        <v>66.212001362591906</v>
      </c>
      <c r="G7" s="6">
        <f>100*0.198990213274537</f>
        <v>19.899021327453699</v>
      </c>
      <c r="H7" s="3">
        <f>(1.96/SQRT(10000))*G7</f>
        <v>0.39002081801809246</v>
      </c>
      <c r="I7" s="3">
        <f>IF(B7&gt;F7, 2, 1)</f>
        <v>2</v>
      </c>
      <c r="J7" s="3"/>
      <c r="K7" s="10"/>
      <c r="L7" s="3"/>
      <c r="M7" s="3" t="s">
        <v>20</v>
      </c>
      <c r="N7" s="12">
        <f>100*0.9519599814713</f>
        <v>95.195998147129998</v>
      </c>
      <c r="O7" s="6">
        <f>100*0.0437922274981244</f>
        <v>4.3792227498124401</v>
      </c>
      <c r="P7" s="3">
        <f>(1.96/SQRT(10000))*O7</f>
        <v>8.5832765896323826E-2</v>
      </c>
      <c r="Q7" s="3">
        <f>IF(N7&gt;R7, 1, 2)</f>
        <v>1</v>
      </c>
      <c r="R7" s="3">
        <f>100*0.939179979097843</f>
        <v>93.917997909784305</v>
      </c>
      <c r="S7" s="6">
        <f>100* 0.0471759281183709</f>
        <v>4.7175928118370898</v>
      </c>
      <c r="T7" s="3">
        <f>(1.96/SQRT(10000))*S7</f>
        <v>9.2464819112006963E-2</v>
      </c>
      <c r="U7" s="3">
        <f>IF(N7&gt;R7, 2, 1)</f>
        <v>2</v>
      </c>
      <c r="V7" s="3"/>
      <c r="W7" s="10"/>
      <c r="X7" s="3"/>
    </row>
    <row r="8" spans="1:24" x14ac:dyDescent="0.3">
      <c r="A8" s="3" t="s">
        <v>7</v>
      </c>
      <c r="B8" s="3">
        <f>100*0.761749760274056</f>
        <v>76.174976027405606</v>
      </c>
      <c r="C8" s="6">
        <f>100*0.207539554461137</f>
        <v>20.7539554461137</v>
      </c>
      <c r="D8" s="3">
        <f>(1.96/SQRT(10000))*C8</f>
        <v>0.4067775267438285</v>
      </c>
      <c r="E8" s="3">
        <f>IF(B8&gt;F8, 1, 2)</f>
        <v>1</v>
      </c>
      <c r="F8" s="3">
        <f>100*0.720156011379361</f>
        <v>72.015601137936102</v>
      </c>
      <c r="G8" s="6">
        <f>100*0.215963859142058</f>
        <v>21.596385914205801</v>
      </c>
      <c r="H8" s="3">
        <f>(1.96/SQRT(10000))*G8</f>
        <v>0.42328916391843369</v>
      </c>
      <c r="I8" s="3">
        <f>IF(B8&gt;F8, 2, 1)</f>
        <v>2</v>
      </c>
      <c r="J8" s="3"/>
      <c r="K8" s="10"/>
      <c r="L8" s="3"/>
      <c r="M8" s="3" t="s">
        <v>7</v>
      </c>
      <c r="N8" s="22">
        <f>100*0.974311987102031</f>
        <v>97.431198710203105</v>
      </c>
      <c r="O8" s="13">
        <f>100*0.0295615869158874</f>
        <v>2.9561586915887403</v>
      </c>
      <c r="P8" s="3">
        <f>(1.96/SQRT(10000))*O8</f>
        <v>5.7940710355139306E-2</v>
      </c>
      <c r="Q8" s="3">
        <f>IF(N8&gt;R8, 1, 2)</f>
        <v>1</v>
      </c>
      <c r="R8" s="3">
        <f>100*0.967727984714508</f>
        <v>96.772798471450798</v>
      </c>
      <c r="S8" s="6">
        <f>100*0.0333820134811674</f>
        <v>3.3382013481167401</v>
      </c>
      <c r="T8" s="3">
        <f>(1.96/SQRT(10000))*S8</f>
        <v>6.5428746423088102E-2</v>
      </c>
      <c r="U8" s="3">
        <f>IF(N8&gt;R8, 2, 1)</f>
        <v>2</v>
      </c>
      <c r="V8" s="3"/>
      <c r="W8" s="10"/>
      <c r="X8" s="3"/>
    </row>
    <row r="9" spans="1:24" x14ac:dyDescent="0.3">
      <c r="A9" s="3" t="s">
        <v>17</v>
      </c>
      <c r="B9" s="3">
        <f>100*0.717179999999999</f>
        <v>71.717999999999904</v>
      </c>
      <c r="C9" s="6">
        <v>19.239999999999998</v>
      </c>
      <c r="D9" s="3">
        <f>(1.96/SQRT(10000))*C9</f>
        <v>0.37710399999999994</v>
      </c>
      <c r="E9" s="3">
        <f>IF(B9&gt;F9, 1, 2)</f>
        <v>1</v>
      </c>
      <c r="F9" s="3">
        <f>100*0.685879999999999</f>
        <v>68.587999999999909</v>
      </c>
      <c r="G9" s="6">
        <v>19.82</v>
      </c>
      <c r="H9" s="3">
        <f>(1.96/SQRT(10000))*G9</f>
        <v>0.38847199999999998</v>
      </c>
      <c r="I9" s="3">
        <f>IF(B9&gt;F9, 2, 1)</f>
        <v>2</v>
      </c>
      <c r="J9" s="3"/>
      <c r="K9" s="10"/>
      <c r="L9" s="3"/>
      <c r="M9" s="3" t="s">
        <v>17</v>
      </c>
      <c r="N9" s="22">
        <f>100*0.95674800000001</f>
        <v>95.674800000000999</v>
      </c>
      <c r="O9" s="6">
        <f>100*0.0497922274981244</f>
        <v>4.9792227498124397</v>
      </c>
      <c r="P9" s="3">
        <f>(1.96/SQRT(10000))*O9</f>
        <v>9.7592765896323819E-2</v>
      </c>
      <c r="Q9" s="3">
        <f>IF(N9&gt;R9, 1, 2)</f>
        <v>1</v>
      </c>
      <c r="R9" s="3">
        <f>100*0.921992000000006</f>
        <v>92.199200000000602</v>
      </c>
      <c r="S9" s="6">
        <f>100* 0.045317592811837</f>
        <v>4.5317592811836995</v>
      </c>
      <c r="T9" s="3">
        <f>(1.96/SQRT(10000))*S9</f>
        <v>8.8822481911200513E-2</v>
      </c>
      <c r="U9" s="3">
        <f>IF(N9&gt;R9, 2, 1)</f>
        <v>2</v>
      </c>
      <c r="V9" s="3"/>
      <c r="W9" s="10"/>
      <c r="X9" s="3"/>
    </row>
    <row r="10" spans="1:24" x14ac:dyDescent="0.3">
      <c r="B10" s="3"/>
      <c r="D10" s="3"/>
      <c r="E10" s="3"/>
      <c r="F10" s="3"/>
      <c r="H10" s="3"/>
      <c r="I10" s="3"/>
      <c r="J10" s="3"/>
      <c r="K10" s="10"/>
      <c r="N10" s="3"/>
      <c r="P10" s="3"/>
      <c r="Q10" s="3"/>
      <c r="R10" s="3"/>
      <c r="T10" s="3"/>
      <c r="U10" s="3"/>
      <c r="V10" s="3"/>
      <c r="W10" s="10"/>
      <c r="X10" s="3"/>
    </row>
    <row r="11" spans="1:24" x14ac:dyDescent="0.3">
      <c r="A11" s="3"/>
      <c r="B11" s="3"/>
      <c r="D11" s="3" t="s">
        <v>8</v>
      </c>
      <c r="E11" s="3">
        <f>AVERAGE(E5:E9)</f>
        <v>1</v>
      </c>
      <c r="F11" s="3"/>
      <c r="H11" s="3" t="s">
        <v>8</v>
      </c>
      <c r="I11" s="3">
        <f>AVERAGE(I5:I9)</f>
        <v>2</v>
      </c>
      <c r="J11" s="3"/>
      <c r="K11" s="10"/>
      <c r="L11" s="3"/>
      <c r="M11" s="3"/>
      <c r="N11" s="3"/>
      <c r="P11" s="3" t="s">
        <v>8</v>
      </c>
      <c r="Q11" s="3">
        <f>AVERAGE(Q5:Q9)</f>
        <v>1.2</v>
      </c>
      <c r="R11" s="3"/>
      <c r="T11" s="3" t="s">
        <v>8</v>
      </c>
      <c r="U11" s="3">
        <f>AVERAGE(U5:U9)</f>
        <v>1.8</v>
      </c>
      <c r="V11" s="3"/>
      <c r="W11" s="10"/>
      <c r="X11" s="3"/>
    </row>
    <row r="12" spans="1:24" x14ac:dyDescent="0.3">
      <c r="A12" s="3"/>
      <c r="B12" s="3"/>
      <c r="D12" s="3"/>
      <c r="E12" s="3"/>
      <c r="F12" s="3"/>
      <c r="H12" s="3"/>
      <c r="I12" s="3"/>
      <c r="J12" s="3"/>
      <c r="K12" s="10"/>
      <c r="L12" s="3"/>
      <c r="M12" s="3"/>
      <c r="N12" s="3"/>
      <c r="P12" s="3"/>
      <c r="Q12" s="3"/>
      <c r="R12" s="3"/>
      <c r="T12" s="3"/>
      <c r="U12" s="3"/>
      <c r="V12" s="3"/>
      <c r="W12" s="10"/>
      <c r="X12" s="3"/>
    </row>
    <row r="13" spans="1:24" s="14" customFormat="1" x14ac:dyDescent="0.3">
      <c r="B13" s="10"/>
      <c r="C13" s="10"/>
      <c r="D13" s="10"/>
      <c r="E13" s="10"/>
      <c r="F13" s="10"/>
      <c r="G13" s="10"/>
      <c r="H13" s="11"/>
      <c r="I13" s="11"/>
      <c r="J13" s="11"/>
      <c r="K13" s="11"/>
      <c r="L13" s="10"/>
      <c r="M13" s="11"/>
      <c r="N13" s="11"/>
      <c r="O13" s="11"/>
      <c r="P13" s="10"/>
      <c r="Q13" s="10"/>
      <c r="R13" s="10"/>
      <c r="S13" s="10"/>
      <c r="T13" s="10"/>
    </row>
    <row r="14" spans="1:24" x14ac:dyDescent="0.3">
      <c r="B14" s="3"/>
      <c r="D14" s="3"/>
      <c r="E14" s="3"/>
      <c r="F14" s="3"/>
      <c r="G14" s="3"/>
      <c r="H14" s="4"/>
      <c r="I14" s="4"/>
      <c r="J14" s="4"/>
      <c r="K14" s="11"/>
      <c r="L14" s="3"/>
      <c r="M14" s="4"/>
      <c r="N14" s="4"/>
      <c r="O14" s="4"/>
      <c r="P14" s="3"/>
      <c r="Q14" s="3"/>
      <c r="R14" s="3"/>
      <c r="S14" s="3"/>
      <c r="T14" s="3"/>
      <c r="W14" s="14"/>
    </row>
    <row r="15" spans="1:24" x14ac:dyDescent="0.3">
      <c r="A15" s="5" t="s">
        <v>9</v>
      </c>
      <c r="B15" s="2" t="s">
        <v>1</v>
      </c>
      <c r="C15" s="3"/>
      <c r="D15" s="3"/>
      <c r="E15" s="3"/>
      <c r="F15" s="3"/>
      <c r="G15" s="3"/>
      <c r="H15" s="3"/>
      <c r="I15" s="3"/>
      <c r="J15" s="3"/>
      <c r="K15" s="10"/>
      <c r="L15" s="3"/>
      <c r="M15" s="5" t="s">
        <v>9</v>
      </c>
      <c r="N15" s="2" t="s">
        <v>22</v>
      </c>
      <c r="O15" s="3"/>
      <c r="P15" s="3"/>
      <c r="Q15" s="3"/>
      <c r="R15" s="3"/>
      <c r="S15" s="3"/>
      <c r="T15" s="3"/>
      <c r="U15" s="3"/>
      <c r="V15" s="3"/>
      <c r="W15" s="10"/>
      <c r="X15" s="3"/>
    </row>
    <row r="16" spans="1:2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1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0"/>
      <c r="X16" s="3"/>
    </row>
    <row r="17" spans="1:30" x14ac:dyDescent="0.3">
      <c r="A17" s="3" t="s">
        <v>2</v>
      </c>
      <c r="B17" s="3" t="s">
        <v>3</v>
      </c>
      <c r="C17" s="6" t="s">
        <v>18</v>
      </c>
      <c r="D17" s="3" t="s">
        <v>15</v>
      </c>
      <c r="E17" s="3" t="s">
        <v>4</v>
      </c>
      <c r="F17" s="3" t="s">
        <v>5</v>
      </c>
      <c r="G17" s="3" t="s">
        <v>19</v>
      </c>
      <c r="H17" s="3" t="s">
        <v>15</v>
      </c>
      <c r="I17" s="3" t="s">
        <v>4</v>
      </c>
      <c r="J17" s="3"/>
      <c r="K17" s="10"/>
      <c r="L17" s="3"/>
      <c r="M17" s="3" t="s">
        <v>2</v>
      </c>
      <c r="N17" s="3" t="s">
        <v>3</v>
      </c>
      <c r="O17" s="6" t="s">
        <v>18</v>
      </c>
      <c r="P17" s="3" t="s">
        <v>15</v>
      </c>
      <c r="Q17" s="3" t="s">
        <v>4</v>
      </c>
      <c r="R17" s="3" t="s">
        <v>5</v>
      </c>
      <c r="S17" s="3" t="s">
        <v>19</v>
      </c>
      <c r="T17" s="3" t="s">
        <v>15</v>
      </c>
      <c r="U17" s="3" t="s">
        <v>4</v>
      </c>
      <c r="V17" s="3"/>
      <c r="W17" s="10"/>
      <c r="X17" s="3"/>
    </row>
    <row r="18" spans="1:30" x14ac:dyDescent="0.3">
      <c r="A18" s="3"/>
      <c r="B18" s="3"/>
      <c r="D18" s="3"/>
      <c r="E18" s="3"/>
      <c r="F18" s="3"/>
      <c r="H18" s="3"/>
      <c r="I18" s="3"/>
      <c r="J18" s="3"/>
      <c r="K18" s="10"/>
      <c r="L18" s="3"/>
      <c r="M18" s="3"/>
      <c r="N18" s="3"/>
      <c r="P18" s="3"/>
      <c r="Q18" s="3"/>
      <c r="R18" s="3"/>
      <c r="T18" s="3"/>
      <c r="U18" s="3"/>
      <c r="V18" s="3"/>
      <c r="W18" s="10"/>
      <c r="X18" s="3"/>
    </row>
    <row r="19" spans="1:30" x14ac:dyDescent="0.3">
      <c r="A19" s="3" t="s">
        <v>21</v>
      </c>
      <c r="B19" s="3">
        <v>93.848178477331899</v>
      </c>
      <c r="C19" s="3">
        <v>12.3219797950143</v>
      </c>
      <c r="D19" s="3">
        <f>(1.96/SQRT(10000))*C19</f>
        <v>0.24151080398228028</v>
      </c>
      <c r="E19" s="3">
        <f>IF(B19&gt;F19, 1, 2)</f>
        <v>1</v>
      </c>
      <c r="F19" s="3">
        <v>89.58299650082941</v>
      </c>
      <c r="G19" s="3">
        <v>15.655326380062402</v>
      </c>
      <c r="H19" s="3">
        <f>(1.96/SQRT(10000))*G19</f>
        <v>0.30684439704922306</v>
      </c>
      <c r="I19" s="3">
        <f>IF(B19&gt;F19, 2, 1)</f>
        <v>2</v>
      </c>
      <c r="J19" s="3"/>
      <c r="K19" s="10"/>
      <c r="L19" s="3"/>
      <c r="M19" s="3" t="s">
        <v>21</v>
      </c>
      <c r="N19" s="3">
        <f>100*0.990663995456695</f>
        <v>99.066399545669498</v>
      </c>
      <c r="O19" s="6">
        <f>100*0.0217006794195255</f>
        <v>2.1700679419525502</v>
      </c>
      <c r="P19" s="3">
        <f>(1.96/SQRT(10000))*O19</f>
        <v>4.2533331662269983E-2</v>
      </c>
      <c r="Q19" s="3">
        <f>IF(N19&gt;R19, 1, 2)</f>
        <v>1</v>
      </c>
      <c r="R19" s="3">
        <f>100*0.956247984963655</f>
        <v>95.6247984963655</v>
      </c>
      <c r="S19" s="6">
        <f>100*0.0532075504076602</f>
        <v>5.32075504076602</v>
      </c>
      <c r="T19" s="3">
        <f>(1.96/SQRT(10000))*S19</f>
        <v>0.10428679879901399</v>
      </c>
      <c r="U19" s="3">
        <f>IF(N19&gt;R19, 2, 1)</f>
        <v>2</v>
      </c>
      <c r="V19" s="3"/>
      <c r="W19" s="10"/>
      <c r="X19" s="3"/>
    </row>
    <row r="20" spans="1:30" x14ac:dyDescent="0.3">
      <c r="A20" s="3" t="s">
        <v>6</v>
      </c>
      <c r="B20" s="3">
        <f>100*0.95228</f>
        <v>95.228000000000009</v>
      </c>
      <c r="C20" s="3">
        <f>100*0.0977486654640358</f>
        <v>9.7748665464035795</v>
      </c>
      <c r="D20" s="3">
        <f t="shared" ref="D20:D23" si="0">(1.96/SQRT(10000))*C20</f>
        <v>0.19158738430951014</v>
      </c>
      <c r="E20" s="3">
        <f>IF(B20&gt;F20, 1, 2)</f>
        <v>1</v>
      </c>
      <c r="F20" s="3">
        <f>100*0.94236</f>
        <v>94.236000000000004</v>
      </c>
      <c r="G20" s="3">
        <f>100* 0.108321883292343</f>
        <v>10.832188329234301</v>
      </c>
      <c r="H20" s="3">
        <f>(1.96/SQRT(10000))*G20</f>
        <v>0.2123108912529923</v>
      </c>
      <c r="I20" s="3">
        <f>IF(B20&gt;F20, 2, 1)</f>
        <v>2</v>
      </c>
      <c r="J20" s="3"/>
      <c r="K20" s="10"/>
      <c r="L20" s="3"/>
      <c r="M20" s="3" t="s">
        <v>6</v>
      </c>
      <c r="N20" s="3">
        <f>100*0.993236</f>
        <v>99.323599999999999</v>
      </c>
      <c r="O20" s="6">
        <f>100*0.0209496611905777</f>
        <v>2.0949661190577702</v>
      </c>
      <c r="P20" s="3">
        <f>(1.96/SQRT(10000))*O20</f>
        <v>4.1061335933532297E-2</v>
      </c>
      <c r="Q20" s="3">
        <f>IF(N20&gt;R20, 1, 2)</f>
        <v>1</v>
      </c>
      <c r="R20" s="3">
        <f>100*0.991379999999999</f>
        <v>99.137999999999906</v>
      </c>
      <c r="S20" s="6">
        <f>100*0.0235714997401523</f>
        <v>2.35714997401523</v>
      </c>
      <c r="T20" s="3">
        <f>(1.96/SQRT(10000))*S20</f>
        <v>4.6200139490698504E-2</v>
      </c>
      <c r="U20" s="3">
        <f>IF(N20&gt;R20, 2, 1)</f>
        <v>2</v>
      </c>
      <c r="V20" s="3"/>
      <c r="W20" s="10"/>
      <c r="X20" s="3"/>
    </row>
    <row r="21" spans="1:30" x14ac:dyDescent="0.3">
      <c r="A21" s="3" t="s">
        <v>20</v>
      </c>
      <c r="B21" s="23">
        <f>100*0.900360005694627</f>
        <v>90.036000569462701</v>
      </c>
      <c r="C21" s="23">
        <f>100*0.135410001351087</f>
        <v>13.5410001351087</v>
      </c>
      <c r="D21" s="3">
        <f t="shared" si="0"/>
        <v>0.26540360264813051</v>
      </c>
      <c r="E21" s="3">
        <f>IF(B21&gt;F21, 1, 2)</f>
        <v>2</v>
      </c>
      <c r="F21" s="21">
        <f>100*0.912460004986822</f>
        <v>91.246000498682207</v>
      </c>
      <c r="G21" s="21">
        <f>100*0.128673022316048</f>
        <v>12.8673022316048</v>
      </c>
      <c r="H21" s="3">
        <f>(1.96/SQRT(10000))*G21</f>
        <v>0.25219912373945408</v>
      </c>
      <c r="I21" s="3">
        <f>IF(B21&gt;F21, 2, 1)</f>
        <v>1</v>
      </c>
      <c r="J21" s="3"/>
      <c r="K21" s="10"/>
      <c r="L21" s="3"/>
      <c r="M21" s="3" t="s">
        <v>20</v>
      </c>
      <c r="N21" s="3">
        <f>100*0.989307994896173</f>
        <v>98.9307994896173</v>
      </c>
      <c r="O21" s="6">
        <f>100*0.0237065726642818</f>
        <v>2.37065726642818</v>
      </c>
      <c r="P21" s="3">
        <f>(1.96/SQRT(10000))*O21</f>
        <v>4.6464882421992329E-2</v>
      </c>
      <c r="Q21" s="3">
        <f>IF(N21&gt;R21, 1, 2)</f>
        <v>2</v>
      </c>
      <c r="R21" s="3">
        <f>100*0.990295995593071</f>
        <v>99.029599559307101</v>
      </c>
      <c r="S21" s="6">
        <f>100*0.0238242061795151</f>
        <v>2.3824206179515102</v>
      </c>
      <c r="T21" s="3">
        <f>(1.96/SQRT(10000))*S21</f>
        <v>4.6695444111849595E-2</v>
      </c>
      <c r="U21" s="3">
        <f>IF(N21&gt;R21, 2, 1)</f>
        <v>1</v>
      </c>
      <c r="V21" s="3"/>
      <c r="W21" s="10"/>
      <c r="X21" s="3"/>
    </row>
    <row r="22" spans="1:30" x14ac:dyDescent="0.3">
      <c r="A22" s="3" t="s">
        <v>7</v>
      </c>
      <c r="B22" s="3">
        <v>96.472000200003293</v>
      </c>
      <c r="C22" s="3">
        <v>9.64</v>
      </c>
      <c r="D22" s="3">
        <f t="shared" si="0"/>
        <v>0.188944</v>
      </c>
      <c r="E22" s="3">
        <f>IF(B22&gt;F22, 1, 2)</f>
        <v>1</v>
      </c>
      <c r="F22" s="3">
        <v>90.064000530093907</v>
      </c>
      <c r="G22" s="3">
        <v>15.11</v>
      </c>
      <c r="H22" s="3">
        <f>(1.96/SQRT(10000))*G22</f>
        <v>0.29615599999999997</v>
      </c>
      <c r="I22" s="3">
        <f>IF(B22&gt;F22, 2, 1)</f>
        <v>2</v>
      </c>
      <c r="J22" s="3"/>
      <c r="K22" s="10"/>
      <c r="L22" s="3"/>
      <c r="M22" s="3" t="s">
        <v>7</v>
      </c>
      <c r="N22" s="3"/>
      <c r="P22" s="3">
        <f>(1.96/SQRT(10000))*O22</f>
        <v>0</v>
      </c>
      <c r="Q22" s="3">
        <f>IF(N22&gt;R22, 1, 2)</f>
        <v>2</v>
      </c>
      <c r="R22" s="3"/>
      <c r="T22" s="3">
        <f>(1.96/SQRT(10000))*S22</f>
        <v>0</v>
      </c>
      <c r="U22" s="3">
        <f>IF(N22&gt;R22, 2, 1)</f>
        <v>1</v>
      </c>
      <c r="V22" s="3"/>
      <c r="W22" s="10"/>
      <c r="X22" s="3"/>
    </row>
    <row r="23" spans="1:30" x14ac:dyDescent="0.3">
      <c r="A23" s="3" t="s">
        <v>17</v>
      </c>
      <c r="B23" s="6">
        <v>90.744000528901793</v>
      </c>
      <c r="C23" s="6">
        <v>12.98</v>
      </c>
      <c r="D23" s="3">
        <f t="shared" si="0"/>
        <v>0.25440800000000002</v>
      </c>
      <c r="E23" s="3">
        <f>IF(B23&gt;F23, 1, 2)</f>
        <v>2</v>
      </c>
      <c r="F23" s="6">
        <v>93.834000359475596</v>
      </c>
      <c r="G23" s="6">
        <v>10.82</v>
      </c>
      <c r="H23" s="3">
        <f>(1.96/SQRT(10000))*G23</f>
        <v>0.21207200000000001</v>
      </c>
      <c r="I23" s="3">
        <f>IF(B23&gt;F23, 2, 1)</f>
        <v>1</v>
      </c>
      <c r="J23" s="3"/>
      <c r="K23" s="10"/>
      <c r="L23" s="3"/>
      <c r="M23" s="3" t="s">
        <v>17</v>
      </c>
      <c r="N23" s="3"/>
      <c r="P23" s="3">
        <f>(1.96/SQRT(10000))*O23</f>
        <v>0</v>
      </c>
      <c r="Q23" s="3">
        <f>IF(N23&gt;R23, 1, 2)</f>
        <v>2</v>
      </c>
      <c r="R23" s="3"/>
      <c r="T23" s="3">
        <f>(1.96/SQRT(10000))*S23</f>
        <v>0</v>
      </c>
      <c r="U23" s="3">
        <f>IF(N23&gt;R23, 2, 1)</f>
        <v>1</v>
      </c>
      <c r="V23" s="3"/>
      <c r="W23" s="10"/>
      <c r="X23" s="3"/>
    </row>
    <row r="24" spans="1:30" x14ac:dyDescent="0.3">
      <c r="B24" s="3"/>
      <c r="D24" s="3"/>
      <c r="E24" s="3"/>
      <c r="F24" s="3"/>
      <c r="H24" s="3"/>
      <c r="I24" s="3"/>
      <c r="J24" s="3"/>
      <c r="K24" s="10"/>
      <c r="L24" s="3"/>
      <c r="N24" s="3"/>
      <c r="P24" s="3"/>
      <c r="Q24" s="3"/>
      <c r="R24" s="3"/>
      <c r="T24" s="3"/>
      <c r="U24" s="3"/>
      <c r="V24" s="3"/>
      <c r="W24" s="10"/>
      <c r="X24" s="3"/>
    </row>
    <row r="25" spans="1:30" x14ac:dyDescent="0.3">
      <c r="A25" s="3"/>
      <c r="B25" s="3"/>
      <c r="D25" s="3" t="s">
        <v>8</v>
      </c>
      <c r="E25" s="3">
        <f>AVERAGE(E19:E23)</f>
        <v>1.4</v>
      </c>
      <c r="F25" s="3"/>
      <c r="H25" s="3" t="s">
        <v>8</v>
      </c>
      <c r="I25" s="3">
        <f>AVERAGE(I19:I23)</f>
        <v>1.6</v>
      </c>
      <c r="J25" s="3"/>
      <c r="K25" s="10"/>
      <c r="L25" s="3"/>
      <c r="M25" s="3"/>
      <c r="N25" s="3"/>
      <c r="P25" s="3" t="s">
        <v>8</v>
      </c>
      <c r="Q25" s="3">
        <f>AVERAGE(Q19:Q23)</f>
        <v>1.6</v>
      </c>
      <c r="R25" s="3"/>
      <c r="T25" s="3" t="s">
        <v>8</v>
      </c>
      <c r="U25" s="3">
        <f>AVERAGE(U19:U23)</f>
        <v>1.4</v>
      </c>
      <c r="V25" s="3"/>
      <c r="W25" s="10"/>
      <c r="X25" s="3"/>
    </row>
    <row r="26" spans="1:30" x14ac:dyDescent="0.3">
      <c r="A26" s="3"/>
      <c r="B26" s="3"/>
      <c r="D26" s="3"/>
      <c r="E26" s="3"/>
      <c r="F26" s="3"/>
      <c r="H26" s="3"/>
      <c r="I26" s="3"/>
      <c r="J26" s="3"/>
      <c r="K26" s="10"/>
      <c r="L26" s="3"/>
      <c r="M26" s="3"/>
      <c r="N26" s="3"/>
      <c r="P26" s="3"/>
      <c r="Q26" s="3"/>
      <c r="R26" s="3"/>
      <c r="T26" s="3"/>
      <c r="U26" s="3"/>
      <c r="V26" s="3"/>
      <c r="W26" s="10"/>
      <c r="X26" s="3"/>
    </row>
    <row r="27" spans="1:30" s="14" customFormat="1" x14ac:dyDescent="0.3"/>
    <row r="28" spans="1:30" x14ac:dyDescent="0.3">
      <c r="B28" s="19" t="s">
        <v>24</v>
      </c>
    </row>
    <row r="29" spans="1:30" x14ac:dyDescent="0.3">
      <c r="A29" s="7" t="s">
        <v>11</v>
      </c>
      <c r="B29" s="2" t="s">
        <v>1</v>
      </c>
      <c r="C29" s="8" t="s">
        <v>12</v>
      </c>
      <c r="E29" s="3"/>
      <c r="F29" s="3"/>
      <c r="H29" s="3"/>
      <c r="I29" s="3"/>
      <c r="J29" s="3"/>
      <c r="K29" s="12"/>
      <c r="M29" s="16" t="s">
        <v>13</v>
      </c>
      <c r="N29" s="16"/>
      <c r="W29" s="16" t="s">
        <v>14</v>
      </c>
      <c r="X29" s="16"/>
    </row>
    <row r="30" spans="1:30" x14ac:dyDescent="0.3">
      <c r="A30" s="3"/>
      <c r="B30" s="3"/>
      <c r="D30" s="3"/>
      <c r="E30" s="3"/>
      <c r="F30" s="3"/>
      <c r="H30" s="3"/>
      <c r="I30" s="3"/>
      <c r="J30" s="3"/>
      <c r="K30" s="12"/>
    </row>
    <row r="31" spans="1:30" x14ac:dyDescent="0.3">
      <c r="A31" s="3" t="s">
        <v>2</v>
      </c>
      <c r="B31" s="3" t="s">
        <v>3</v>
      </c>
      <c r="C31" s="6" t="s">
        <v>18</v>
      </c>
      <c r="D31" s="3" t="s">
        <v>15</v>
      </c>
      <c r="E31" s="3" t="s">
        <v>4</v>
      </c>
      <c r="F31" s="3" t="s">
        <v>5</v>
      </c>
      <c r="G31" s="3" t="s">
        <v>19</v>
      </c>
      <c r="H31" s="3" t="s">
        <v>15</v>
      </c>
      <c r="I31" s="3" t="s">
        <v>4</v>
      </c>
      <c r="J31" s="3"/>
      <c r="K31" s="12"/>
      <c r="M31" s="3" t="s">
        <v>3</v>
      </c>
      <c r="N31" s="3" t="s">
        <v>18</v>
      </c>
      <c r="O31" s="3" t="s">
        <v>15</v>
      </c>
      <c r="P31" s="3" t="s">
        <v>4</v>
      </c>
      <c r="Q31" s="3" t="s">
        <v>5</v>
      </c>
      <c r="R31" s="3" t="s">
        <v>19</v>
      </c>
      <c r="S31" s="3" t="s">
        <v>15</v>
      </c>
      <c r="T31" s="3" t="s">
        <v>4</v>
      </c>
      <c r="W31" s="3" t="s">
        <v>3</v>
      </c>
      <c r="X31" s="3" t="s">
        <v>18</v>
      </c>
      <c r="Y31" s="3" t="s">
        <v>15</v>
      </c>
      <c r="Z31" s="3" t="s">
        <v>4</v>
      </c>
      <c r="AA31" s="3" t="s">
        <v>5</v>
      </c>
      <c r="AB31" s="3" t="s">
        <v>19</v>
      </c>
      <c r="AC31" s="3" t="s">
        <v>15</v>
      </c>
      <c r="AD31" s="3" t="s">
        <v>4</v>
      </c>
    </row>
    <row r="32" spans="1:30" x14ac:dyDescent="0.3">
      <c r="A32" s="3"/>
      <c r="B32" s="3"/>
      <c r="D32" s="3"/>
      <c r="E32" s="3"/>
      <c r="F32" s="3"/>
      <c r="H32" s="3"/>
      <c r="I32" s="3"/>
      <c r="J32" s="3"/>
      <c r="K32" s="12"/>
      <c r="M32" s="3"/>
      <c r="N32" s="3"/>
      <c r="O32" s="3"/>
      <c r="P32" s="3"/>
      <c r="Q32" s="3"/>
      <c r="R32" s="3"/>
      <c r="S32" s="3"/>
      <c r="T32" s="3"/>
      <c r="W32" s="3"/>
      <c r="X32" s="3"/>
      <c r="Y32" s="3"/>
      <c r="Z32" s="3"/>
      <c r="AA32" s="3"/>
      <c r="AB32" s="3"/>
      <c r="AC32" s="3"/>
      <c r="AD32" s="3"/>
    </row>
    <row r="33" spans="1:32" x14ac:dyDescent="0.3">
      <c r="A33" s="3" t="s">
        <v>21</v>
      </c>
      <c r="B33" s="6">
        <f>100*0.422200009682774</f>
        <v>42.220000968277397</v>
      </c>
      <c r="C33" s="6">
        <f>100*0.226015845758886</f>
        <v>22.601584575888602</v>
      </c>
      <c r="D33" s="3">
        <f>(1.96/SQRT(10000))*C33</f>
        <v>0.44299105768741659</v>
      </c>
      <c r="E33" s="3">
        <f>IF(B33&gt;F33, 1, 2)</f>
        <v>2</v>
      </c>
      <c r="F33" s="3">
        <f>100*0.42224000968337</f>
        <v>42.224000968337002</v>
      </c>
      <c r="G33" s="6">
        <f>100*0.225941109461619</f>
        <v>22.594110946161898</v>
      </c>
      <c r="H33" s="3">
        <f>(1.96/SQRT(10000))*G33</f>
        <v>0.44284457454477316</v>
      </c>
      <c r="I33" s="3">
        <f>IF(B33&gt;F33, 2, 1)</f>
        <v>1</v>
      </c>
      <c r="J33" s="3"/>
      <c r="K33" s="12"/>
      <c r="M33" s="6">
        <f>100*0.434460009787976</f>
        <v>43.446000978797599</v>
      </c>
      <c r="N33" s="6">
        <f>100*0.234743500122514</f>
        <v>23.474350012251399</v>
      </c>
      <c r="O33" s="3">
        <f>(1.96/SQRT(10000))*N33</f>
        <v>0.46009726024012743</v>
      </c>
      <c r="P33" s="3">
        <f>IF(M33&gt;Q33, 1, 2)</f>
        <v>1</v>
      </c>
      <c r="Q33" s="3">
        <f>100*0.407500009176135</f>
        <v>40.750000917613498</v>
      </c>
      <c r="R33" s="3">
        <f>100*0.231663015136722</f>
        <v>23.166301513672199</v>
      </c>
      <c r="S33" s="3">
        <f>(1.96/SQRT(10000))*R33</f>
        <v>0.45405950966797509</v>
      </c>
      <c r="T33" s="3">
        <f>IF(M33&gt;Q33, 2, 1)</f>
        <v>2</v>
      </c>
      <c r="W33" s="6">
        <f>100*0.429440009759366</f>
        <v>42.944000975936603</v>
      </c>
      <c r="X33" s="6">
        <f>100*0.234651419977615</f>
        <v>23.465141997761499</v>
      </c>
      <c r="Y33" s="3">
        <f>(1.96/SQRT(10000))*X33</f>
        <v>0.45991678315612539</v>
      </c>
      <c r="Z33" s="3">
        <f>IF(W33&gt;AA33, 1, 2)</f>
        <v>1</v>
      </c>
      <c r="AA33" s="3">
        <f>100*0.42294000955969</f>
        <v>42.294000955969004</v>
      </c>
      <c r="AB33" s="3">
        <f>100*0.232683817479254</f>
        <v>23.2683817479254</v>
      </c>
      <c r="AC33" s="3">
        <f>(1.96/SQRT(10000))*AB33</f>
        <v>0.45606028225933781</v>
      </c>
      <c r="AD33" s="3">
        <f>IF(W33&gt;AA33, 2, 1)</f>
        <v>2</v>
      </c>
    </row>
    <row r="34" spans="1:32" x14ac:dyDescent="0.3">
      <c r="A34" s="3" t="s">
        <v>6</v>
      </c>
      <c r="B34" s="3">
        <f>100*0.381680008648335</f>
        <v>38.168000864833502</v>
      </c>
      <c r="C34" s="6">
        <f>100*0.220581912762581</f>
        <v>22.0581912762581</v>
      </c>
      <c r="D34" s="3">
        <f>(1.96/SQRT(10000))*C34</f>
        <v>0.43234054901465874</v>
      </c>
      <c r="E34" s="3">
        <f>IF(B34&gt;F34, 1, 2)</f>
        <v>2</v>
      </c>
      <c r="F34" s="3">
        <f>100*0.400500009237229</f>
        <v>40.050000923722898</v>
      </c>
      <c r="G34" s="6">
        <f>100*0.21928007799148</f>
        <v>21.928007799147998</v>
      </c>
      <c r="H34" s="3">
        <f>(1.96/SQRT(10000))*G34</f>
        <v>0.42978895286330077</v>
      </c>
      <c r="I34" s="3">
        <f>IF(B34&gt;F34, 2, 1)</f>
        <v>1</v>
      </c>
      <c r="J34" s="3"/>
      <c r="K34" s="12"/>
      <c r="M34" s="3">
        <f>100*0.394360008916258</f>
        <v>39.436000891625802</v>
      </c>
      <c r="N34" s="3">
        <f>100*0.226769030107489</f>
        <v>22.676903010748902</v>
      </c>
      <c r="O34" s="3">
        <f>(1.96/SQRT(10000))*N34</f>
        <v>0.44446729901067844</v>
      </c>
      <c r="P34" s="3">
        <f t="shared" ref="P34" si="1">IF(M34&gt;Q34, 1, 2)</f>
        <v>1</v>
      </c>
      <c r="Q34" s="3">
        <f>100*0.363860008187592</f>
        <v>36.3860008187592</v>
      </c>
      <c r="R34" s="3">
        <f>100*0.219056848884648</f>
        <v>21.905684888464798</v>
      </c>
      <c r="S34" s="3">
        <f>(1.96/SQRT(10000))*R34</f>
        <v>0.42935142381391</v>
      </c>
      <c r="T34" s="3">
        <f t="shared" ref="T34" si="2">IF(M34&gt;Q34, 2, 1)</f>
        <v>2</v>
      </c>
      <c r="W34" s="3">
        <f>100*0.391760008788108</f>
        <v>39.176000878810804</v>
      </c>
      <c r="X34" s="3">
        <f>100*0.230052396262352</f>
        <v>23.005239626235198</v>
      </c>
      <c r="Y34" s="3">
        <f>(1.96/SQRT(10000))*X34</f>
        <v>0.45090269667420985</v>
      </c>
      <c r="Z34" s="3">
        <f t="shared" ref="Z34" si="3">IF(W34&gt;AA34, 1, 2)</f>
        <v>2</v>
      </c>
      <c r="AA34" s="3">
        <f>100*0.409160009247064</f>
        <v>40.916000924706402</v>
      </c>
      <c r="AB34" s="3">
        <f>100*0.228814547129091</f>
        <v>22.8814547129091</v>
      </c>
      <c r="AC34" s="3">
        <f>(1.96/SQRT(10000))*AB34</f>
        <v>0.44847651237301833</v>
      </c>
      <c r="AD34" s="3">
        <f t="shared" ref="AD34" si="4">IF(W34&gt;AA34, 2, 1)</f>
        <v>1</v>
      </c>
    </row>
    <row r="35" spans="1:32" x14ac:dyDescent="0.3">
      <c r="A35" s="3" t="s">
        <v>10</v>
      </c>
      <c r="B35" s="6">
        <f>100*0.390240009160339</f>
        <v>39.024000916033899</v>
      </c>
      <c r="C35" s="6">
        <f>100*0.20779014659852</f>
        <v>20.779014659851999</v>
      </c>
      <c r="D35" s="3">
        <f>(1.96/SQRT(10000))*C35</f>
        <v>0.40726868733309918</v>
      </c>
      <c r="E35" s="3">
        <f>IF(B35&gt;F35, 1, 2)</f>
        <v>1</v>
      </c>
      <c r="F35" s="6">
        <f>100*0.356020008015632</f>
        <v>35.6020008015632</v>
      </c>
      <c r="G35" s="6">
        <f>100*0.202004361576222</f>
        <v>20.2004361576222</v>
      </c>
      <c r="H35" s="3">
        <f>(1.96/SQRT(10000))*G35</f>
        <v>0.39592854868939509</v>
      </c>
      <c r="I35" s="3">
        <f>IF(B35&gt;F35, 2, 1)</f>
        <v>2</v>
      </c>
      <c r="J35" s="3"/>
      <c r="K35" s="12"/>
      <c r="M35" s="6">
        <f>100*0.420340010075271</f>
        <v>42.034001007527102</v>
      </c>
      <c r="N35" s="6">
        <f>100*0.213649916931464</f>
        <v>21.364991693146401</v>
      </c>
      <c r="O35" s="3">
        <f>(1.96/SQRT(10000))*N35</f>
        <v>0.41875383718566944</v>
      </c>
      <c r="P35" s="3">
        <f>IF(M35&gt;Q35, 1, 2)</f>
        <v>1</v>
      </c>
      <c r="Q35" s="6">
        <f>100*0.390800009062886</f>
        <v>39.080000906288596</v>
      </c>
      <c r="R35" s="6">
        <f>100*0.214875225752106</f>
        <v>21.487522575210598</v>
      </c>
      <c r="S35" s="3">
        <f>(1.96/SQRT(10000))*R35</f>
        <v>0.42115544247412767</v>
      </c>
      <c r="T35" s="3">
        <f>IF(M35&gt;Q35, 2, 1)</f>
        <v>2</v>
      </c>
      <c r="W35" s="6">
        <f>100*0.405820009540021</f>
        <v>40.582000954002098</v>
      </c>
      <c r="X35" s="6">
        <f>100*0.212871158695636</f>
        <v>21.2871158695636</v>
      </c>
      <c r="Y35" s="3">
        <f>(1.96/SQRT(10000))*X35</f>
        <v>0.41722747104344654</v>
      </c>
      <c r="Z35" s="3">
        <f>IF(W35&gt;AA35, 1, 2)</f>
        <v>1</v>
      </c>
      <c r="AA35" s="6">
        <f>100*0.397160008968412</f>
        <v>39.716000896841201</v>
      </c>
      <c r="AB35" s="6">
        <f>100*0.225210872297908</f>
        <v>22.521087229790801</v>
      </c>
      <c r="AC35" s="3">
        <f>(1.96/SQRT(10000))*AB35</f>
        <v>0.44141330970389969</v>
      </c>
      <c r="AD35" s="3">
        <f>IF(W35&gt;AA35, 2, 1)</f>
        <v>2</v>
      </c>
    </row>
    <row r="36" spans="1:32" x14ac:dyDescent="0.3">
      <c r="A36" s="3" t="s">
        <v>7</v>
      </c>
      <c r="B36" s="3">
        <f>100*0.41880000962764</f>
        <v>41.880000962764001</v>
      </c>
      <c r="C36" s="6">
        <f>100* 0.224905674778962</f>
        <v>22.490567477896199</v>
      </c>
      <c r="D36" s="3">
        <f>(1.96/SQRT(10000))*C36</f>
        <v>0.44081512256676547</v>
      </c>
      <c r="E36" s="3">
        <f>IF(B36&gt;F36, 1, 2)</f>
        <v>1</v>
      </c>
      <c r="F36" s="3">
        <f>100*0.4045600094527</f>
        <v>40.456000945269999</v>
      </c>
      <c r="G36" s="6">
        <f>100*0.222322308986858</f>
        <v>22.232230898685799</v>
      </c>
      <c r="H36" s="3">
        <f>(1.96/SQRT(10000))*G36</f>
        <v>0.43575172561424164</v>
      </c>
      <c r="I36" s="3">
        <f>IF(B36&gt;F36, 2, 1)</f>
        <v>2</v>
      </c>
      <c r="J36" s="3"/>
      <c r="K36" s="12"/>
      <c r="M36" s="3">
        <f>100*0.431780009903013</f>
        <v>43.1780009903013</v>
      </c>
      <c r="N36" s="3">
        <f>100*0.231590228862224</f>
        <v>23.159022886222399</v>
      </c>
      <c r="O36" s="3">
        <f>(1.96/SQRT(10000))*N36</f>
        <v>0.45391684856995901</v>
      </c>
      <c r="P36" s="3">
        <f t="shared" ref="P36:P37" si="5">IF(M36&gt;Q36, 1, 2)</f>
        <v>1</v>
      </c>
      <c r="Q36" s="3">
        <f>100*0.408740009260177</f>
        <v>40.8740009260177</v>
      </c>
      <c r="R36" s="3">
        <f>100*0.230927726774111</f>
        <v>23.092772677411098</v>
      </c>
      <c r="S36" s="3">
        <f>(1.96/SQRT(10000))*R36</f>
        <v>0.45261834447725752</v>
      </c>
      <c r="T36" s="3">
        <f t="shared" ref="T36:T37" si="6">IF(M36&gt;Q36, 2, 1)</f>
        <v>2</v>
      </c>
      <c r="W36" s="3">
        <f>100*0.425540009520947</f>
        <v>42.554000952094704</v>
      </c>
      <c r="X36" s="3">
        <f>100*0.236980401901085</f>
        <v>23.6980401901085</v>
      </c>
      <c r="Y36" s="3">
        <f>(1.96/SQRT(10000))*X36</f>
        <v>0.46448158772612658</v>
      </c>
      <c r="Z36" s="3">
        <f t="shared" ref="Z36:Z37" si="7">IF(W36&gt;AA36, 1, 2)</f>
        <v>1</v>
      </c>
      <c r="AA36" s="3">
        <f>100*0.410880009321868</f>
        <v>41.088000932186802</v>
      </c>
      <c r="AB36" s="3">
        <f>100*0.232348075505915</f>
        <v>23.234807550591498</v>
      </c>
      <c r="AC36" s="3">
        <f>(1.96/SQRT(10000))*AB36</f>
        <v>0.45540222799159336</v>
      </c>
      <c r="AD36" s="3">
        <f t="shared" ref="AD36:AD37" si="8">IF(W36&gt;AA36, 2, 1)</f>
        <v>2</v>
      </c>
    </row>
    <row r="37" spans="1:32" s="15" customFormat="1" x14ac:dyDescent="0.3">
      <c r="A37" s="12" t="s">
        <v>17</v>
      </c>
      <c r="B37" s="12">
        <f>100*0.41530000962615</f>
        <v>41.530000962614999</v>
      </c>
      <c r="C37" s="15">
        <f>100*0.215633746259005</f>
        <v>21.563374625900501</v>
      </c>
      <c r="D37" s="12">
        <f>(1.96/SQRT(10000))*C37</f>
        <v>0.42264214266764982</v>
      </c>
      <c r="E37" s="12">
        <f>IF(B37&gt;F37, 1, 2)</f>
        <v>2</v>
      </c>
      <c r="F37" s="12">
        <f>100*0.433980010350048</f>
        <v>43.398001035004803</v>
      </c>
      <c r="G37" s="15">
        <f>100* 0.215539699690796</f>
        <v>21.553969969079599</v>
      </c>
      <c r="H37" s="12">
        <f>(1.96/SQRT(10000))*G37</f>
        <v>0.4224578113939601</v>
      </c>
      <c r="I37" s="12">
        <f>IF(B37&gt;F37, 2, 1)</f>
        <v>1</v>
      </c>
      <c r="J37" s="12"/>
      <c r="K37" s="12"/>
      <c r="M37" s="12">
        <f>100*0.40268000921905</f>
        <v>40.268000921904999</v>
      </c>
      <c r="N37" s="12">
        <f>100*0.22307133440403</f>
        <v>22.307133440403</v>
      </c>
      <c r="O37" s="12">
        <f>(1.96/SQRT(10000))*N37</f>
        <v>0.43721981543189881</v>
      </c>
      <c r="P37" s="12">
        <f t="shared" si="5"/>
        <v>1</v>
      </c>
      <c r="Q37" s="12">
        <f>100*0.398480009204149</f>
        <v>39.848000920414897</v>
      </c>
      <c r="R37" s="12">
        <f>100*0.218333900747313</f>
        <v>21.833390074731298</v>
      </c>
      <c r="S37" s="12">
        <f>(1.96/SQRT(10000))*R37</f>
        <v>0.42793444546473342</v>
      </c>
      <c r="T37" s="12">
        <f t="shared" si="6"/>
        <v>2</v>
      </c>
      <c r="W37" s="12">
        <f>100*0.415340009538829</f>
        <v>41.534000953882902</v>
      </c>
      <c r="X37" s="12">
        <f>100*0.225727018733629</f>
        <v>22.572701873362899</v>
      </c>
      <c r="Y37" s="12">
        <f>(1.96/SQRT(10000))*X37</f>
        <v>0.44242495671791282</v>
      </c>
      <c r="Z37" s="12">
        <f t="shared" si="7"/>
        <v>2</v>
      </c>
      <c r="AA37" s="12">
        <f>100*0.41592000965029</f>
        <v>41.592000965029001</v>
      </c>
      <c r="AB37" s="12">
        <f>100*0.220586844931283</f>
        <v>22.0586844931283</v>
      </c>
      <c r="AC37" s="12">
        <f>(1.96/SQRT(10000))*AB37</f>
        <v>0.43235021606531465</v>
      </c>
      <c r="AD37" s="12">
        <f t="shared" si="8"/>
        <v>1</v>
      </c>
    </row>
    <row r="38" spans="1:32" x14ac:dyDescent="0.3">
      <c r="B38" s="3"/>
      <c r="D38" s="3"/>
      <c r="E38" s="3"/>
      <c r="F38" s="3"/>
      <c r="H38" s="3"/>
      <c r="I38" s="3"/>
      <c r="J38" s="3"/>
      <c r="K38" s="12"/>
      <c r="M38" s="3"/>
      <c r="N38" s="3"/>
      <c r="O38" s="3"/>
      <c r="P38" s="3"/>
      <c r="Q38" s="3"/>
      <c r="R38" s="3"/>
      <c r="S38" s="3"/>
      <c r="T38" s="3"/>
      <c r="W38" s="3"/>
      <c r="X38" s="3"/>
      <c r="Y38" s="3"/>
      <c r="Z38" s="3"/>
      <c r="AA38" s="3"/>
      <c r="AB38" s="3"/>
      <c r="AC38" s="3"/>
      <c r="AD38" s="3"/>
    </row>
    <row r="39" spans="1:32" x14ac:dyDescent="0.3">
      <c r="A39" s="3"/>
      <c r="B39" s="3"/>
      <c r="D39" s="3" t="s">
        <v>8</v>
      </c>
      <c r="E39" s="3">
        <f>AVERAGE(E33:E37)</f>
        <v>1.6</v>
      </c>
      <c r="F39" s="3"/>
      <c r="H39" s="3" t="s">
        <v>8</v>
      </c>
      <c r="I39" s="3">
        <f>AVERAGE(I33:I37)</f>
        <v>1.4</v>
      </c>
      <c r="J39" s="3"/>
      <c r="K39" s="12"/>
      <c r="M39" s="3"/>
      <c r="N39" s="3"/>
      <c r="O39" s="3" t="s">
        <v>8</v>
      </c>
      <c r="P39" s="3">
        <f>AVERAGE(P33:P37)</f>
        <v>1</v>
      </c>
      <c r="Q39" s="3"/>
      <c r="R39" s="3"/>
      <c r="S39" s="3" t="s">
        <v>8</v>
      </c>
      <c r="T39" s="3">
        <f>AVERAGE(T33:T37)</f>
        <v>2</v>
      </c>
      <c r="W39" s="3"/>
      <c r="X39" s="3"/>
      <c r="Y39" s="3" t="s">
        <v>8</v>
      </c>
      <c r="Z39" s="3">
        <f>AVERAGE(Z33:Z37)</f>
        <v>1.4</v>
      </c>
      <c r="AA39" s="3"/>
      <c r="AB39" s="3"/>
      <c r="AC39" s="3" t="s">
        <v>8</v>
      </c>
      <c r="AD39" s="3">
        <f>AVERAGE(AD33:AD37)</f>
        <v>1.6</v>
      </c>
    </row>
    <row r="40" spans="1:32" x14ac:dyDescent="0.3">
      <c r="A40" s="3"/>
      <c r="B40" s="3"/>
      <c r="D40" s="3"/>
      <c r="E40" s="3"/>
      <c r="F40" s="3"/>
      <c r="H40" s="3"/>
      <c r="I40" s="3"/>
      <c r="J40" s="3"/>
      <c r="K40" s="12"/>
      <c r="M40" s="3"/>
      <c r="N40" s="3"/>
      <c r="O40" s="3"/>
      <c r="P40" s="3"/>
      <c r="Q40" s="3"/>
      <c r="R40" s="3"/>
      <c r="S40" s="3"/>
      <c r="T40" s="3"/>
      <c r="W40" s="3"/>
      <c r="X40" s="3"/>
      <c r="Y40" s="3"/>
      <c r="Z40" s="3"/>
      <c r="AA40" s="3"/>
      <c r="AB40" s="3"/>
      <c r="AC40" s="3"/>
      <c r="AD40" s="3"/>
    </row>
    <row r="41" spans="1:32" x14ac:dyDescent="0.3">
      <c r="A41" s="3"/>
      <c r="B41" s="3"/>
      <c r="D41" s="3"/>
      <c r="E41" s="3"/>
      <c r="F41" s="3"/>
      <c r="H41" s="3"/>
      <c r="I41" s="3"/>
      <c r="J41" s="3"/>
      <c r="K41" s="12"/>
      <c r="M41" s="3"/>
      <c r="N41" s="3"/>
      <c r="O41" s="3"/>
      <c r="P41" s="3"/>
      <c r="Q41" s="3"/>
      <c r="R41" s="3"/>
      <c r="S41" s="3"/>
      <c r="T41" s="3"/>
      <c r="Y41" s="3"/>
      <c r="Z41" s="3"/>
      <c r="AA41" s="3"/>
      <c r="AB41" s="3"/>
      <c r="AC41" s="3"/>
      <c r="AD41" s="3"/>
      <c r="AE41" s="3"/>
      <c r="AF41" s="3"/>
    </row>
    <row r="42" spans="1:32" s="20" customFormat="1" x14ac:dyDescent="0.3"/>
    <row r="44" spans="1:32" x14ac:dyDescent="0.3">
      <c r="B44" s="19" t="s">
        <v>25</v>
      </c>
      <c r="N44" s="19" t="s">
        <v>26</v>
      </c>
    </row>
    <row r="45" spans="1:32" x14ac:dyDescent="0.3">
      <c r="A45" s="7" t="s">
        <v>11</v>
      </c>
      <c r="B45" s="2" t="s">
        <v>1</v>
      </c>
      <c r="C45" s="8" t="s">
        <v>16</v>
      </c>
      <c r="E45" s="3"/>
      <c r="F45" s="3"/>
      <c r="H45" s="3"/>
      <c r="I45" s="3"/>
      <c r="J45" s="3"/>
      <c r="K45" s="12"/>
      <c r="M45" s="7" t="s">
        <v>11</v>
      </c>
      <c r="N45" s="2" t="s">
        <v>1</v>
      </c>
      <c r="O45" s="8" t="s">
        <v>16</v>
      </c>
      <c r="Q45" s="3"/>
      <c r="R45" s="3"/>
      <c r="T45" s="3"/>
      <c r="U45" s="3"/>
      <c r="Y45" s="15"/>
      <c r="Z45" s="15"/>
    </row>
    <row r="46" spans="1:32" x14ac:dyDescent="0.3">
      <c r="A46" s="3"/>
      <c r="B46" s="3"/>
      <c r="D46" s="3"/>
      <c r="E46" s="3"/>
      <c r="F46" s="3"/>
      <c r="H46" s="3"/>
      <c r="I46" s="3"/>
      <c r="J46" s="3"/>
      <c r="K46" s="12"/>
      <c r="M46" s="3"/>
      <c r="N46" s="3"/>
      <c r="P46" s="3"/>
      <c r="Q46" s="3"/>
      <c r="R46" s="3"/>
      <c r="T46" s="3"/>
      <c r="U46" s="3"/>
    </row>
    <row r="47" spans="1:32" x14ac:dyDescent="0.3">
      <c r="A47" s="3" t="s">
        <v>2</v>
      </c>
      <c r="B47" s="3" t="s">
        <v>3</v>
      </c>
      <c r="C47" s="6" t="s">
        <v>18</v>
      </c>
      <c r="D47" s="3" t="s">
        <v>15</v>
      </c>
      <c r="E47" s="3" t="s">
        <v>4</v>
      </c>
      <c r="F47" s="3" t="s">
        <v>5</v>
      </c>
      <c r="G47" s="3" t="s">
        <v>19</v>
      </c>
      <c r="H47" s="3" t="s">
        <v>15</v>
      </c>
      <c r="I47" s="3" t="s">
        <v>4</v>
      </c>
      <c r="J47" s="3"/>
      <c r="K47" s="12"/>
      <c r="M47" s="3" t="s">
        <v>2</v>
      </c>
      <c r="N47" s="3" t="s">
        <v>3</v>
      </c>
      <c r="O47" s="6" t="s">
        <v>18</v>
      </c>
      <c r="P47" s="3" t="s">
        <v>15</v>
      </c>
      <c r="Q47" s="3" t="s">
        <v>4</v>
      </c>
      <c r="R47" s="3" t="s">
        <v>5</v>
      </c>
      <c r="S47" s="3" t="s">
        <v>19</v>
      </c>
      <c r="T47" s="3" t="s">
        <v>15</v>
      </c>
      <c r="U47" s="3" t="s">
        <v>4</v>
      </c>
      <c r="Y47" s="3"/>
      <c r="Z47" s="3"/>
      <c r="AA47" s="3"/>
      <c r="AB47" s="3"/>
      <c r="AC47" s="3"/>
      <c r="AD47" s="3"/>
      <c r="AE47" s="3"/>
      <c r="AF47" s="3"/>
    </row>
    <row r="48" spans="1:32" x14ac:dyDescent="0.3">
      <c r="A48" s="3"/>
      <c r="B48" s="3"/>
      <c r="D48" s="3"/>
      <c r="E48" s="3"/>
      <c r="F48" s="3"/>
      <c r="H48" s="3"/>
      <c r="I48" s="3"/>
      <c r="J48" s="3"/>
      <c r="K48" s="12"/>
      <c r="M48" s="3"/>
      <c r="N48" s="3"/>
      <c r="P48" s="3"/>
      <c r="Q48" s="3"/>
      <c r="R48" s="3"/>
      <c r="T48" s="3"/>
      <c r="U48" s="3"/>
      <c r="Y48" s="3"/>
      <c r="Z48" s="3"/>
      <c r="AA48" s="3"/>
      <c r="AB48" s="3"/>
      <c r="AC48" s="3"/>
      <c r="AD48" s="3"/>
      <c r="AE48" s="3"/>
      <c r="AF48" s="3"/>
    </row>
    <row r="49" spans="1:32" x14ac:dyDescent="0.3">
      <c r="A49" s="3" t="s">
        <v>21</v>
      </c>
      <c r="B49" s="6">
        <f>100*0.500160011132061</f>
        <v>50.016001113206102</v>
      </c>
      <c r="C49" s="6">
        <f>100*0.237873866338692</f>
        <v>23.7873866338692</v>
      </c>
      <c r="D49" s="3">
        <f>(1.96/SQRT(10000))*C49</f>
        <v>0.46623277802383634</v>
      </c>
      <c r="E49" s="3">
        <f>IF(B49&gt;F49, 1, 2)</f>
        <v>2</v>
      </c>
      <c r="F49" s="3">
        <f>100*0.501440011206269</f>
        <v>50.144001120626903</v>
      </c>
      <c r="G49" s="6">
        <f>100*0.234942393528419</f>
        <v>23.494239352841902</v>
      </c>
      <c r="H49" s="3">
        <f>(1.96/SQRT(10000))*G49</f>
        <v>0.46048709131570126</v>
      </c>
      <c r="I49" s="3">
        <f>IF(B49&gt;F49, 2, 1)</f>
        <v>1</v>
      </c>
      <c r="J49" s="3"/>
      <c r="K49" s="12"/>
      <c r="M49" s="3" t="s">
        <v>21</v>
      </c>
      <c r="N49" s="6">
        <f>100*0.435260009849071</f>
        <v>43.5260009849071</v>
      </c>
      <c r="O49" s="6">
        <f>100*0.229836321769746</f>
        <v>22.983632176974599</v>
      </c>
      <c r="P49" s="3">
        <f>(1.96/SQRT(10000))*O49</f>
        <v>0.45047919066870212</v>
      </c>
      <c r="Q49" s="3">
        <f>IF(N49&gt;R49, 1, 2)</f>
        <v>1</v>
      </c>
      <c r="R49" s="3">
        <f>100*0.416580009511113</f>
        <v>41.658000951111305</v>
      </c>
      <c r="S49" s="6">
        <f>100*0.221587861040987</f>
        <v>22.158786104098699</v>
      </c>
      <c r="T49" s="3">
        <f>(1.96/SQRT(10000))*S49</f>
        <v>0.43431220764033446</v>
      </c>
      <c r="U49" s="3">
        <f>IF(N49&gt;R49, 2, 1)</f>
        <v>2</v>
      </c>
      <c r="AA49" s="3"/>
      <c r="AB49" s="3"/>
      <c r="AC49" s="3"/>
      <c r="AD49" s="3"/>
      <c r="AE49" s="3"/>
      <c r="AF49" s="3"/>
    </row>
    <row r="50" spans="1:32" x14ac:dyDescent="0.3">
      <c r="A50" s="3" t="s">
        <v>6</v>
      </c>
      <c r="B50" s="3">
        <f>100*0.431480009931325</f>
        <v>43.148000993132499</v>
      </c>
      <c r="C50" s="6">
        <f>100*0.229401421331635</f>
        <v>22.940142133163498</v>
      </c>
      <c r="D50" s="3">
        <f>(1.96/SQRT(10000))*C50</f>
        <v>0.44962678581000454</v>
      </c>
      <c r="E50" s="3">
        <f>IF(B50&gt;F50, 1, 2)</f>
        <v>2</v>
      </c>
      <c r="F50" s="3">
        <f>100*0.447660010309517</f>
        <v>44.766001030951699</v>
      </c>
      <c r="G50" s="6">
        <f>100*0.226919648310519</f>
        <v>22.691964831051902</v>
      </c>
      <c r="H50" s="3">
        <f>(1.96/SQRT(10000))*G50</f>
        <v>0.44476251068861727</v>
      </c>
      <c r="I50" s="3">
        <f>IF(B50&gt;F50, 2, 1)</f>
        <v>1</v>
      </c>
      <c r="J50" s="3"/>
      <c r="K50" s="12"/>
      <c r="M50" s="3" t="s">
        <v>6</v>
      </c>
      <c r="N50" s="3">
        <f>100*0.42338000973761</f>
        <v>42.338000973760998</v>
      </c>
      <c r="O50" s="6">
        <f>100*0.224591580742464</f>
        <v>22.4591580742464</v>
      </c>
      <c r="P50" s="3">
        <f>(1.96/SQRT(10000))*O50</f>
        <v>0.44019949825522942</v>
      </c>
      <c r="Q50" s="3">
        <f>IF(N50&gt;R50, 1, 2)</f>
        <v>1</v>
      </c>
      <c r="R50" s="3">
        <f>100*0.392220008926093</f>
        <v>39.222000892609302</v>
      </c>
      <c r="S50" s="6">
        <f>100*0.220144212251438</f>
        <v>22.014421225143799</v>
      </c>
      <c r="T50" s="3">
        <f>(1.96/SQRT(10000))*S50</f>
        <v>0.43148265601281843</v>
      </c>
      <c r="U50" s="3">
        <f>IF(N50&gt;R50, 2, 1)</f>
        <v>2</v>
      </c>
      <c r="Y50" s="3"/>
      <c r="Z50" s="3"/>
      <c r="AA50" s="3"/>
      <c r="AB50" s="3"/>
      <c r="AC50" s="3"/>
      <c r="AD50" s="3"/>
      <c r="AE50" s="3"/>
      <c r="AF50" s="3"/>
    </row>
    <row r="51" spans="1:32" x14ac:dyDescent="0.3">
      <c r="A51" s="3" t="s">
        <v>10</v>
      </c>
      <c r="B51" s="6">
        <f>100*0.48348001152426</f>
        <v>48.348001152426001</v>
      </c>
      <c r="C51" s="6">
        <f>100* 0.215348767648468</f>
        <v>21.5348767648468</v>
      </c>
      <c r="D51" s="3">
        <f>(1.96/SQRT(10000))*C51</f>
        <v>0.42208358459099726</v>
      </c>
      <c r="E51" s="3">
        <f>IF(B51&gt;F51, 1, 2)</f>
        <v>1</v>
      </c>
      <c r="F51" s="6">
        <f>100*0.468820011155307</f>
        <v>46.882001115530706</v>
      </c>
      <c r="G51" s="6">
        <f>100* 0.216914291562197</f>
        <v>21.691429156219698</v>
      </c>
      <c r="H51" s="3">
        <f>(1.96/SQRT(10000))*G51</f>
        <v>0.42515201146190607</v>
      </c>
      <c r="I51" s="3">
        <f>IF(B51&gt;F51, 2, 1)</f>
        <v>2</v>
      </c>
      <c r="J51" s="3"/>
      <c r="K51" s="12"/>
      <c r="M51" s="3" t="s">
        <v>10</v>
      </c>
      <c r="N51" s="6">
        <f>100*0.423940010036528</f>
        <v>42.394001003652797</v>
      </c>
      <c r="O51" s="6">
        <f>100*0.209300929085977</f>
        <v>20.9300929085977</v>
      </c>
      <c r="P51" s="3">
        <f>(1.96/SQRT(10000))*O51</f>
        <v>0.41022982100851491</v>
      </c>
      <c r="Q51" s="3">
        <f>IF(N51&gt;R51, 1, 2)</f>
        <v>1</v>
      </c>
      <c r="R51" s="6">
        <f>100*0.405580009438097</f>
        <v>40.558000943809702</v>
      </c>
      <c r="S51" s="6">
        <f>100*0.211709390775252</f>
        <v>21.170939077525201</v>
      </c>
      <c r="T51" s="3">
        <f>(1.96/SQRT(10000))*S51</f>
        <v>0.41495040591949395</v>
      </c>
      <c r="U51" s="3">
        <f>IF(N51&gt;R51, 2, 1)</f>
        <v>2</v>
      </c>
      <c r="AA51" s="3"/>
      <c r="AB51" s="3"/>
      <c r="AE51" s="3"/>
      <c r="AF51" s="3"/>
    </row>
    <row r="52" spans="1:32" x14ac:dyDescent="0.3">
      <c r="A52" s="3" t="s">
        <v>7</v>
      </c>
      <c r="B52" s="3">
        <f>100*0.490040011022985</f>
        <v>49.004001102298503</v>
      </c>
      <c r="C52" s="6">
        <f>100*0.234888910726213</f>
        <v>23.4888910726213</v>
      </c>
      <c r="D52" s="3">
        <f>(1.96/SQRT(10000))*C52</f>
        <v>0.46038226502337748</v>
      </c>
      <c r="E52" s="3">
        <f>IF(B52&gt;F52, 1, 2)</f>
        <v>2</v>
      </c>
      <c r="F52" s="3">
        <f>100*0.490540011233091</f>
        <v>49.054001123309099</v>
      </c>
      <c r="G52" s="6">
        <f>100*0.232565067142059</f>
        <v>23.256506714205898</v>
      </c>
      <c r="H52" s="3">
        <f>(1.96/SQRT(10000))*G52</f>
        <v>0.45582753159843559</v>
      </c>
      <c r="I52" s="3">
        <f>IF(B52&gt;F52, 2, 1)</f>
        <v>1</v>
      </c>
      <c r="J52" s="3"/>
      <c r="K52" s="12"/>
      <c r="M52" s="3" t="s">
        <v>7</v>
      </c>
      <c r="N52" s="3">
        <f>100*0.431660009863972</f>
        <v>43.166000986397201</v>
      </c>
      <c r="O52" s="6">
        <f>100*0.228564316693478</f>
        <v>22.856431669347799</v>
      </c>
      <c r="P52" s="3">
        <f>(1.96/SQRT(10000))*O52</f>
        <v>0.44798606071921687</v>
      </c>
      <c r="Q52" s="3">
        <f>IF(N52&gt;R52, 1, 2)</f>
        <v>1</v>
      </c>
      <c r="R52" s="3">
        <f>100*0.393380008856952</f>
        <v>39.338000885695202</v>
      </c>
      <c r="S52" s="6">
        <f>100*0.223069895260804</f>
        <v>22.3069895260804</v>
      </c>
      <c r="T52" s="3">
        <f>(1.96/SQRT(10000))*S52</f>
        <v>0.43721699471117581</v>
      </c>
      <c r="U52" s="3">
        <f>IF(N52&gt;R52, 2, 1)</f>
        <v>2</v>
      </c>
      <c r="Y52" s="3"/>
      <c r="Z52" s="3"/>
      <c r="AA52" s="3"/>
      <c r="AB52" s="3"/>
      <c r="AC52" s="3"/>
      <c r="AD52" s="3"/>
      <c r="AE52" s="3"/>
      <c r="AF52" s="3"/>
    </row>
    <row r="53" spans="1:32" x14ac:dyDescent="0.3">
      <c r="A53" s="12" t="s">
        <v>17</v>
      </c>
      <c r="B53" s="12">
        <f>100*0.471640010978281</f>
        <v>47.164001097828098</v>
      </c>
      <c r="C53" s="15">
        <f>100*0.224632394458545</f>
        <v>22.463239445854498</v>
      </c>
      <c r="D53" s="12">
        <f>(1.96/SQRT(10000))*C53</f>
        <v>0.44027949313874815</v>
      </c>
      <c r="E53" s="12">
        <f>IF(B53&gt;F53, 1, 2)</f>
        <v>1</v>
      </c>
      <c r="F53" s="12">
        <f>100*0.464140010850131</f>
        <v>46.414001085013098</v>
      </c>
      <c r="G53" s="15">
        <f>100*0.219312705253011</f>
        <v>21.931270525301098</v>
      </c>
      <c r="H53" s="12">
        <f>(1.96/SQRT(10000))*G53</f>
        <v>0.42985290229590151</v>
      </c>
      <c r="I53" s="12">
        <f>IF(B53&gt;F53, 2, 1)</f>
        <v>2</v>
      </c>
      <c r="J53" s="12"/>
      <c r="K53" s="12"/>
      <c r="L53" s="15"/>
      <c r="M53" s="12" t="s">
        <v>17</v>
      </c>
      <c r="N53" s="12">
        <f>100*0.435260010167956</f>
        <v>43.526001016795604</v>
      </c>
      <c r="O53" s="15">
        <f>100*0.217606835467091</f>
        <v>21.7606835467091</v>
      </c>
      <c r="P53" s="12">
        <f>(1.96/SQRT(10000))*O53</f>
        <v>0.42650939751549832</v>
      </c>
      <c r="Q53" s="12">
        <f>IF(N53&gt;R53, 1, 2)</f>
        <v>1</v>
      </c>
      <c r="R53" s="12">
        <f>100*0.421700009915232</f>
        <v>42.170000991523196</v>
      </c>
      <c r="S53" s="15">
        <f>100* 0.20956410112662</f>
        <v>20.956410112661999</v>
      </c>
      <c r="T53" s="12">
        <f>(1.96/SQRT(10000))*S53</f>
        <v>0.41074563820817517</v>
      </c>
      <c r="U53" s="12">
        <f>IF(N53&gt;R53, 2, 1)</f>
        <v>2</v>
      </c>
      <c r="V53" s="15"/>
      <c r="W53" s="15"/>
      <c r="X53" s="15"/>
      <c r="Y53" s="12"/>
      <c r="Z53" s="12"/>
      <c r="AA53" s="12"/>
      <c r="AB53" s="12"/>
      <c r="AC53" s="12"/>
      <c r="AD53" s="12"/>
      <c r="AE53" s="12"/>
      <c r="AF53" s="12"/>
    </row>
    <row r="54" spans="1:32" x14ac:dyDescent="0.3">
      <c r="B54" s="3"/>
      <c r="D54" s="3"/>
      <c r="E54" s="3"/>
      <c r="F54" s="3"/>
      <c r="H54" s="3"/>
      <c r="I54" s="3"/>
      <c r="J54" s="3"/>
      <c r="K54" s="12"/>
      <c r="N54" s="3"/>
      <c r="P54" s="3"/>
      <c r="Q54" s="3"/>
      <c r="R54" s="3"/>
      <c r="T54" s="3"/>
      <c r="U54" s="3"/>
      <c r="Y54" s="3"/>
      <c r="Z54" s="3"/>
      <c r="AA54" s="3"/>
      <c r="AB54" s="3"/>
      <c r="AC54" s="3"/>
      <c r="AD54" s="3"/>
      <c r="AE54" s="3"/>
      <c r="AF54" s="3"/>
    </row>
    <row r="55" spans="1:32" x14ac:dyDescent="0.3">
      <c r="A55" s="3"/>
      <c r="B55" s="3"/>
      <c r="D55" s="3" t="s">
        <v>8</v>
      </c>
      <c r="E55" s="3">
        <f>AVERAGE(E49:E53)</f>
        <v>1.6</v>
      </c>
      <c r="F55" s="3"/>
      <c r="H55" s="3" t="s">
        <v>8</v>
      </c>
      <c r="I55" s="3">
        <f>AVERAGE(I49:I53)</f>
        <v>1.4</v>
      </c>
      <c r="J55" s="3"/>
      <c r="K55" s="12"/>
      <c r="M55" s="3"/>
      <c r="N55" s="3"/>
      <c r="P55" s="3" t="s">
        <v>8</v>
      </c>
      <c r="Q55" s="3">
        <f>AVERAGE(Q49:Q53)</f>
        <v>1</v>
      </c>
      <c r="R55" s="3"/>
      <c r="T55" s="3" t="s">
        <v>8</v>
      </c>
      <c r="U55" s="3">
        <f>AVERAGE(U49:U53)</f>
        <v>2</v>
      </c>
      <c r="Y55" s="3"/>
      <c r="Z55" s="3"/>
      <c r="AA55" s="3"/>
      <c r="AB55" s="3"/>
      <c r="AC55" s="3"/>
      <c r="AD55" s="3"/>
      <c r="AE55" s="3"/>
      <c r="AF55" s="3"/>
    </row>
    <row r="56" spans="1:32" x14ac:dyDescent="0.3">
      <c r="A56" s="3"/>
      <c r="B56" s="3"/>
      <c r="D56" s="3"/>
      <c r="E56" s="3"/>
      <c r="F56" s="3"/>
      <c r="H56" s="3"/>
      <c r="I56" s="3"/>
      <c r="J56" s="3"/>
      <c r="K56" s="12"/>
      <c r="M56" s="3"/>
      <c r="N56" s="3"/>
      <c r="P56" s="3"/>
      <c r="Q56" s="3"/>
      <c r="R56" s="3"/>
      <c r="T56" s="3"/>
      <c r="U56" s="3"/>
      <c r="Y56" s="3"/>
      <c r="Z56" s="3"/>
      <c r="AA56" s="3"/>
      <c r="AB56" s="3"/>
      <c r="AC56" s="3"/>
      <c r="AD56" s="3"/>
      <c r="AE56" s="3"/>
      <c r="AF56" s="3"/>
    </row>
    <row r="57" spans="1:32" x14ac:dyDescent="0.3">
      <c r="A57" s="3"/>
      <c r="B57" s="3"/>
      <c r="D57" s="3"/>
      <c r="E57" s="3"/>
      <c r="F57" s="3"/>
      <c r="H57" s="3"/>
      <c r="I57" s="3"/>
      <c r="J57" s="3"/>
      <c r="K57" s="12"/>
      <c r="M57" s="3"/>
      <c r="N57" s="3"/>
      <c r="P57" s="3"/>
      <c r="Q57" s="3"/>
      <c r="R57" s="3"/>
      <c r="T57" s="3"/>
      <c r="U57" s="3"/>
      <c r="Y57" s="3"/>
      <c r="Z57" s="3"/>
      <c r="AA57" s="3"/>
      <c r="AB57" s="3"/>
      <c r="AC57" s="3"/>
      <c r="AD57" s="3"/>
      <c r="AE57" s="3"/>
      <c r="AF57" s="3"/>
    </row>
    <row r="58" spans="1:32" s="14" customFormat="1" x14ac:dyDescent="0.3"/>
    <row r="59" spans="1:32" x14ac:dyDescent="0.3">
      <c r="B59" s="19" t="s">
        <v>24</v>
      </c>
      <c r="K59" s="14"/>
      <c r="N59" s="19" t="s">
        <v>24</v>
      </c>
    </row>
    <row r="60" spans="1:32" x14ac:dyDescent="0.3">
      <c r="A60" s="9" t="s">
        <v>28</v>
      </c>
      <c r="B60" s="2" t="s">
        <v>1</v>
      </c>
      <c r="C60" s="8" t="s">
        <v>16</v>
      </c>
      <c r="D60" s="3"/>
      <c r="E60" s="3"/>
      <c r="F60" s="3"/>
      <c r="G60" s="3"/>
      <c r="K60" s="14"/>
      <c r="M60" s="9" t="s">
        <v>29</v>
      </c>
      <c r="N60" s="2" t="s">
        <v>1</v>
      </c>
      <c r="O60" s="8" t="s">
        <v>16</v>
      </c>
      <c r="P60" s="3"/>
      <c r="Q60" s="3"/>
      <c r="R60" s="3"/>
      <c r="S60" s="3"/>
    </row>
    <row r="61" spans="1:32" x14ac:dyDescent="0.3">
      <c r="A61" s="3"/>
      <c r="B61" s="3"/>
      <c r="C61" s="3"/>
      <c r="D61" s="3"/>
      <c r="E61" s="3"/>
      <c r="F61" s="3"/>
      <c r="G61" s="3"/>
      <c r="K61" s="14"/>
      <c r="M61" s="3"/>
      <c r="N61" s="3"/>
      <c r="O61" s="3"/>
      <c r="P61" s="3"/>
      <c r="Q61" s="3"/>
      <c r="R61" s="3"/>
      <c r="S61" s="3"/>
    </row>
    <row r="62" spans="1:32" x14ac:dyDescent="0.3">
      <c r="A62" s="3" t="s">
        <v>2</v>
      </c>
      <c r="B62" s="3" t="s">
        <v>3</v>
      </c>
      <c r="C62" s="6" t="s">
        <v>18</v>
      </c>
      <c r="D62" s="3" t="s">
        <v>15</v>
      </c>
      <c r="E62" s="3" t="s">
        <v>4</v>
      </c>
      <c r="F62" s="3" t="s">
        <v>5</v>
      </c>
      <c r="G62" s="3" t="s">
        <v>19</v>
      </c>
      <c r="H62" s="3" t="s">
        <v>15</v>
      </c>
      <c r="I62" s="3" t="s">
        <v>4</v>
      </c>
      <c r="K62" s="14"/>
      <c r="M62" s="3" t="s">
        <v>2</v>
      </c>
      <c r="N62" s="3" t="s">
        <v>3</v>
      </c>
      <c r="O62" s="6" t="s">
        <v>18</v>
      </c>
      <c r="P62" s="3" t="s">
        <v>15</v>
      </c>
      <c r="Q62" s="3"/>
      <c r="R62" s="3"/>
      <c r="S62" s="3"/>
      <c r="T62" s="3"/>
      <c r="U62" s="3"/>
    </row>
    <row r="63" spans="1:32" x14ac:dyDescent="0.3">
      <c r="A63" s="3"/>
      <c r="B63" s="3"/>
      <c r="D63" s="3"/>
      <c r="E63" s="3"/>
      <c r="F63" s="3"/>
      <c r="H63" s="3"/>
      <c r="I63" s="3"/>
      <c r="K63" s="14"/>
      <c r="M63" s="3"/>
      <c r="N63" s="3"/>
      <c r="P63" s="3"/>
      <c r="Q63" s="3"/>
      <c r="R63" s="3"/>
      <c r="T63" s="3"/>
      <c r="U63" s="3"/>
    </row>
    <row r="64" spans="1:32" x14ac:dyDescent="0.3">
      <c r="A64" s="3" t="s">
        <v>21</v>
      </c>
      <c r="B64" s="15">
        <f>100*0.555820012106001</f>
        <v>55.582001210600097</v>
      </c>
      <c r="C64" s="15">
        <f>100*0.23107602375737</f>
        <v>23.107602375736999</v>
      </c>
      <c r="D64" s="3">
        <f>(1.96/SQRT(10000))*C64</f>
        <v>0.45290900656444516</v>
      </c>
      <c r="E64" s="3">
        <f>IF(B64&gt;F64, 1, 2)</f>
        <v>1</v>
      </c>
      <c r="F64" s="12">
        <f>100*0.464320010659098</f>
        <v>46.432001065909802</v>
      </c>
      <c r="G64" s="15">
        <f>100*0.233886596250119</f>
        <v>23.388659625011901</v>
      </c>
      <c r="H64" s="3">
        <f>(1.96/SQRT(10000))*G64</f>
        <v>0.45841772865023322</v>
      </c>
      <c r="I64" s="3">
        <f>IF(B64&gt;F64, 2, 1)</f>
        <v>2</v>
      </c>
      <c r="K64" s="14"/>
      <c r="M64" s="3" t="s">
        <v>21</v>
      </c>
      <c r="N64" s="15">
        <v>52.26</v>
      </c>
      <c r="O64" s="15"/>
      <c r="P64" s="3">
        <v>0.45</v>
      </c>
      <c r="Q64" s="3"/>
      <c r="R64" s="12"/>
      <c r="S64" s="15"/>
      <c r="T64" s="3"/>
      <c r="U64" s="3"/>
    </row>
    <row r="65" spans="1:32" x14ac:dyDescent="0.3">
      <c r="A65" s="3" t="s">
        <v>6</v>
      </c>
      <c r="B65" s="3">
        <f>100*0.541280011793971</f>
        <v>54.128001179397103</v>
      </c>
      <c r="C65" s="6">
        <f>100*0.23373481328211</f>
        <v>23.373481328211</v>
      </c>
      <c r="D65" s="3">
        <f>(1.96/SQRT(10000))*C65</f>
        <v>0.45812023403293556</v>
      </c>
      <c r="E65" s="3">
        <f>IF(B65&gt;F65, 1, 2)</f>
        <v>1</v>
      </c>
      <c r="F65" s="3">
        <f>100*0.500760011287033</f>
        <v>50.076001128703297</v>
      </c>
      <c r="G65" s="6">
        <f>100*0.23144637461863</f>
        <v>23.144637461862999</v>
      </c>
      <c r="H65" s="3">
        <f>(1.96/SQRT(10000))*G65</f>
        <v>0.45363489425251474</v>
      </c>
      <c r="I65" s="3">
        <f>IF(B65&gt;F65, 2, 1)</f>
        <v>2</v>
      </c>
      <c r="K65" s="14"/>
      <c r="M65" s="3" t="s">
        <v>6</v>
      </c>
      <c r="N65" s="3">
        <f>100*0.561080012126266</f>
        <v>56.108001212626604</v>
      </c>
      <c r="O65" s="6">
        <f>100*0.232510719483128</f>
        <v>23.251071948312799</v>
      </c>
      <c r="P65" s="3">
        <f>(1.96/SQRT(10000))*O65</f>
        <v>0.45572101018693084</v>
      </c>
      <c r="Q65" s="3"/>
      <c r="R65" s="3"/>
      <c r="T65" s="3"/>
      <c r="U65" s="3"/>
    </row>
    <row r="66" spans="1:32" x14ac:dyDescent="0.3">
      <c r="A66" s="3" t="s">
        <v>10</v>
      </c>
      <c r="B66" s="6">
        <f>100*0.519400012341141</f>
        <v>51.940001234114099</v>
      </c>
      <c r="C66" s="6">
        <f>100*0.216165773727996</f>
        <v>21.6165773727996</v>
      </c>
      <c r="D66" s="3">
        <f>(1.96/SQRT(10000))*C66</f>
        <v>0.42368491650687218</v>
      </c>
      <c r="E66" s="3">
        <f>IF(B66&gt;F66, 1, 2)</f>
        <v>1</v>
      </c>
      <c r="F66" s="6">
        <f>100*0.488140011432766</f>
        <v>48.814001143276599</v>
      </c>
      <c r="G66" s="6">
        <f>100*0.220733645996574</f>
        <v>22.073364599657399</v>
      </c>
      <c r="H66" s="3">
        <f>(1.96/SQRT(10000))*G66</f>
        <v>0.43263794615328499</v>
      </c>
      <c r="I66" s="3">
        <f>IF(B66&gt;F66, 2, 1)</f>
        <v>2</v>
      </c>
      <c r="K66" s="14"/>
      <c r="M66" s="3" t="s">
        <v>10</v>
      </c>
      <c r="N66" s="6">
        <f>100*0.576640012937784</f>
        <v>57.664001293778398</v>
      </c>
      <c r="O66" s="6">
        <f>100* 0.218023648525348</f>
        <v>21.802364852534801</v>
      </c>
      <c r="P66" s="3">
        <f>(1.96/SQRT(10000))*O66</f>
        <v>0.42732635110968209</v>
      </c>
      <c r="Q66" s="3"/>
      <c r="T66" s="3"/>
      <c r="U66" s="3"/>
    </row>
    <row r="67" spans="1:32" x14ac:dyDescent="0.3">
      <c r="A67" s="3" t="s">
        <v>7</v>
      </c>
      <c r="B67" s="3">
        <f>100*0.596040012151002</f>
        <v>59.604001215100197</v>
      </c>
      <c r="C67" s="6">
        <f>100*0.23322160906717</f>
        <v>23.322160906716999</v>
      </c>
      <c r="D67" s="3">
        <f>(1.96/SQRT(10000))*C67</f>
        <v>0.45711435377165316</v>
      </c>
      <c r="E67" s="3">
        <f>IF(B67&gt;F67, 1, 2)</f>
        <v>1</v>
      </c>
      <c r="F67" s="12">
        <f>100*0.535280011957883</f>
        <v>53.528001195788299</v>
      </c>
      <c r="G67" s="15">
        <f>100*0.230293992694764</f>
        <v>23.0293992694764</v>
      </c>
      <c r="H67" s="3">
        <f>(1.96/SQRT(10000))*G67</f>
        <v>0.45137622568173741</v>
      </c>
      <c r="I67" s="3">
        <f>IF(B67&gt;F67, 2, 1)</f>
        <v>2</v>
      </c>
      <c r="K67" s="14"/>
      <c r="M67" s="3" t="s">
        <v>7</v>
      </c>
      <c r="N67" s="3">
        <f>100*0.613440012153983</f>
        <v>61.344001215398301</v>
      </c>
      <c r="O67" s="6">
        <f>100*0.233090897729317</f>
        <v>23.309089772931699</v>
      </c>
      <c r="P67" s="3">
        <f>(1.96/SQRT(10000))*O67</f>
        <v>0.4568581595494613</v>
      </c>
      <c r="Q67" s="3"/>
      <c r="R67" s="12"/>
      <c r="S67" s="15"/>
      <c r="T67" s="3"/>
      <c r="U67" s="3"/>
    </row>
    <row r="68" spans="1:32" x14ac:dyDescent="0.3">
      <c r="A68" s="3" t="s">
        <v>17</v>
      </c>
      <c r="B68" s="3">
        <f>100*0.563800012779235</f>
        <v>56.380001277923498</v>
      </c>
      <c r="C68" s="6">
        <f>100*0.218983015581324</f>
        <v>21.898301558132399</v>
      </c>
      <c r="D68" s="3">
        <f>(1.96/SQRT(10000))*C68</f>
        <v>0.42920671053939502</v>
      </c>
      <c r="E68" s="3">
        <f>IF(B68&gt;F68, 1, 2)</f>
        <v>1</v>
      </c>
      <c r="F68" s="3">
        <f>100*0.55716001278162</f>
        <v>55.716001278161997</v>
      </c>
      <c r="G68" s="6">
        <f>100*0.21767116395261</f>
        <v>21.767116395260999</v>
      </c>
      <c r="H68" s="3">
        <f>(1.96/SQRT(10000))*G68</f>
        <v>0.42663548134711554</v>
      </c>
      <c r="I68" s="3">
        <f>IF(B68&gt;F68, 2, 1)</f>
        <v>2</v>
      </c>
      <c r="K68" s="14"/>
      <c r="M68" s="3" t="s">
        <v>17</v>
      </c>
      <c r="N68" s="3">
        <v>57.28</v>
      </c>
      <c r="P68" s="3">
        <v>0.41</v>
      </c>
      <c r="Q68" s="3"/>
      <c r="R68" s="3"/>
      <c r="T68" s="3"/>
      <c r="U68" s="3"/>
    </row>
    <row r="69" spans="1:32" x14ac:dyDescent="0.3">
      <c r="B69" s="3"/>
      <c r="D69" s="3"/>
      <c r="E69" s="3"/>
      <c r="F69" s="3"/>
      <c r="H69" s="3"/>
      <c r="I69" s="3"/>
      <c r="K69" s="14"/>
      <c r="N69" s="3"/>
      <c r="P69" s="3"/>
      <c r="Q69" s="3"/>
      <c r="R69" s="3"/>
      <c r="T69" s="3"/>
      <c r="U69" s="3"/>
    </row>
    <row r="70" spans="1:32" x14ac:dyDescent="0.3">
      <c r="A70" s="3"/>
      <c r="B70" s="3"/>
      <c r="D70" s="3" t="s">
        <v>8</v>
      </c>
      <c r="E70" s="3">
        <f>AVERAGE(E64:E68)</f>
        <v>1</v>
      </c>
      <c r="F70" s="3"/>
      <c r="H70" s="3" t="s">
        <v>8</v>
      </c>
      <c r="I70" s="3">
        <f>AVERAGE(I64:I68)</f>
        <v>2</v>
      </c>
      <c r="K70" s="14"/>
      <c r="M70" s="3"/>
      <c r="N70" s="3"/>
      <c r="P70" s="3"/>
      <c r="Q70" s="3"/>
      <c r="R70" s="3"/>
      <c r="T70" s="3"/>
      <c r="U70" s="3"/>
    </row>
    <row r="71" spans="1:32" s="15" customFormat="1" x14ac:dyDescent="0.3">
      <c r="K71" s="14"/>
    </row>
    <row r="72" spans="1:32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</row>
    <row r="73" spans="1:32" x14ac:dyDescent="0.3">
      <c r="B73" s="19" t="s">
        <v>25</v>
      </c>
      <c r="N73" s="19" t="s">
        <v>26</v>
      </c>
    </row>
    <row r="74" spans="1:32" x14ac:dyDescent="0.3">
      <c r="A74" s="9" t="s">
        <v>29</v>
      </c>
      <c r="B74" s="2" t="s">
        <v>1</v>
      </c>
      <c r="C74" s="8" t="s">
        <v>16</v>
      </c>
      <c r="D74" s="3"/>
      <c r="E74" s="3"/>
      <c r="F74" s="3"/>
      <c r="G74" s="3"/>
      <c r="J74" s="15"/>
      <c r="M74" s="9" t="s">
        <v>29</v>
      </c>
      <c r="N74" s="2" t="s">
        <v>1</v>
      </c>
      <c r="O74" s="8" t="s">
        <v>16</v>
      </c>
      <c r="P74" s="3"/>
      <c r="Q74" s="3"/>
      <c r="R74" s="3"/>
      <c r="S74" s="3"/>
    </row>
    <row r="75" spans="1:32" x14ac:dyDescent="0.3">
      <c r="A75" s="3"/>
      <c r="B75" s="3"/>
      <c r="C75" s="3"/>
      <c r="D75" s="3"/>
      <c r="E75" s="3"/>
      <c r="F75" s="3"/>
      <c r="G75" s="3"/>
      <c r="M75" s="3"/>
      <c r="N75" s="3"/>
      <c r="O75" s="3"/>
      <c r="P75" s="3"/>
      <c r="Q75" s="3"/>
      <c r="R75" s="3"/>
      <c r="S75" s="3"/>
    </row>
    <row r="76" spans="1:32" x14ac:dyDescent="0.3">
      <c r="A76" s="3" t="s">
        <v>2</v>
      </c>
      <c r="B76" s="3" t="s">
        <v>3</v>
      </c>
      <c r="C76" s="6" t="s">
        <v>18</v>
      </c>
      <c r="D76" s="3" t="s">
        <v>15</v>
      </c>
      <c r="E76" s="3" t="s">
        <v>4</v>
      </c>
      <c r="F76" s="3" t="s">
        <v>5</v>
      </c>
      <c r="G76" s="3" t="s">
        <v>19</v>
      </c>
      <c r="H76" s="3" t="s">
        <v>15</v>
      </c>
      <c r="I76" s="3" t="s">
        <v>4</v>
      </c>
      <c r="J76" s="3"/>
      <c r="K76" s="12"/>
      <c r="M76" s="3" t="s">
        <v>2</v>
      </c>
      <c r="N76" s="3" t="s">
        <v>3</v>
      </c>
      <c r="O76" s="6" t="s">
        <v>18</v>
      </c>
      <c r="P76" s="3" t="s">
        <v>15</v>
      </c>
      <c r="Q76" s="3" t="s">
        <v>4</v>
      </c>
      <c r="R76" s="3" t="s">
        <v>5</v>
      </c>
      <c r="S76" s="3" t="s">
        <v>19</v>
      </c>
      <c r="T76" s="3" t="s">
        <v>15</v>
      </c>
      <c r="U76" s="3" t="s">
        <v>4</v>
      </c>
      <c r="Y76" s="3"/>
      <c r="Z76" s="3"/>
      <c r="AA76" s="3"/>
      <c r="AB76" s="3"/>
      <c r="AC76" s="3"/>
      <c r="AD76" s="3"/>
      <c r="AE76" s="3"/>
      <c r="AF76" s="3"/>
    </row>
    <row r="77" spans="1:32" x14ac:dyDescent="0.3">
      <c r="A77" s="3"/>
      <c r="B77" s="3"/>
      <c r="D77" s="3"/>
      <c r="E77" s="3"/>
      <c r="F77" s="3"/>
      <c r="H77" s="3"/>
      <c r="I77" s="3"/>
      <c r="J77" s="3"/>
      <c r="K77" s="12"/>
      <c r="M77" s="3"/>
      <c r="N77" s="3"/>
      <c r="P77" s="3"/>
      <c r="Q77" s="3"/>
      <c r="R77" s="3"/>
      <c r="T77" s="3"/>
      <c r="U77" s="3"/>
      <c r="Y77" s="3"/>
      <c r="Z77" s="3"/>
      <c r="AA77" s="3"/>
      <c r="AB77" s="3"/>
      <c r="AC77" s="3"/>
      <c r="AD77" s="3"/>
      <c r="AE77" s="3"/>
      <c r="AF77" s="3"/>
    </row>
    <row r="78" spans="1:32" x14ac:dyDescent="0.3">
      <c r="A78" s="3" t="s">
        <v>6</v>
      </c>
      <c r="B78" s="3">
        <f>100*0.526380011764168</f>
        <v>52.638001176416807</v>
      </c>
      <c r="C78" s="6">
        <f>100*0.230928770824144</f>
        <v>23.0928770824144</v>
      </c>
      <c r="D78" s="3">
        <f>(1.96/SQRT(10000))*C78</f>
        <v>0.45262039081532224</v>
      </c>
      <c r="E78" s="3">
        <f>IF(B78&gt;F78, 1, 2)</f>
        <v>2</v>
      </c>
      <c r="F78" s="3" t="s">
        <v>27</v>
      </c>
      <c r="G78" s="6" t="s">
        <v>27</v>
      </c>
      <c r="H78" s="3" t="e">
        <f>(1.96/SQRT(10000))*G78</f>
        <v>#VALUE!</v>
      </c>
      <c r="I78" s="3">
        <f>IF(B78&gt;F78, 2, 1)</f>
        <v>1</v>
      </c>
      <c r="J78" s="3"/>
      <c r="K78" s="12"/>
      <c r="M78" s="3" t="s">
        <v>6</v>
      </c>
      <c r="N78" s="3">
        <f>100*0.557740012048184</f>
        <v>55.774001204818404</v>
      </c>
      <c r="O78" s="6">
        <f>100*0.232813430808236</f>
        <v>23.2813430808236</v>
      </c>
      <c r="P78" s="3">
        <f>(1.96/SQRT(10000))*O78</f>
        <v>0.45631432438414254</v>
      </c>
      <c r="Q78" s="3">
        <f>IF(N78&gt;R78, 1, 2)</f>
        <v>2</v>
      </c>
      <c r="R78" s="3" t="s">
        <v>27</v>
      </c>
      <c r="S78" s="6" t="s">
        <v>27</v>
      </c>
      <c r="T78" s="3" t="e">
        <f>(1.96/SQRT(10000))*S78</f>
        <v>#VALUE!</v>
      </c>
      <c r="U78" s="3">
        <f>IF(N78&gt;R78, 2, 1)</f>
        <v>1</v>
      </c>
      <c r="Y78" s="3"/>
      <c r="Z78" s="3"/>
      <c r="AA78" s="3"/>
      <c r="AB78" s="3"/>
      <c r="AC78" s="3"/>
      <c r="AD78" s="3"/>
      <c r="AE78" s="3"/>
      <c r="AF78" s="3"/>
    </row>
    <row r="79" spans="1:32" x14ac:dyDescent="0.3">
      <c r="A79" s="3" t="s">
        <v>10</v>
      </c>
      <c r="B79" s="6">
        <f>100*0.54306001252532</f>
        <v>54.306001252531999</v>
      </c>
      <c r="C79" s="6">
        <f>100*0.218599720493143</f>
        <v>21.859972049314301</v>
      </c>
      <c r="D79" s="3">
        <f>(1.96/SQRT(10000))*C79</f>
        <v>0.42845545216656028</v>
      </c>
      <c r="E79" s="3">
        <f>IF(B79&gt;F79, 1, 2)</f>
        <v>2</v>
      </c>
      <c r="F79" s="6" t="s">
        <v>27</v>
      </c>
      <c r="G79" s="6" t="s">
        <v>27</v>
      </c>
      <c r="H79" s="3" t="e">
        <f>(1.96/SQRT(10000))*G79</f>
        <v>#VALUE!</v>
      </c>
      <c r="I79" s="3">
        <f>IF(B79&gt;F79, 2, 1)</f>
        <v>1</v>
      </c>
      <c r="J79" s="3"/>
      <c r="K79" s="12"/>
      <c r="M79" s="3" t="s">
        <v>10</v>
      </c>
      <c r="N79" s="6">
        <f>100*0.586440012983977</f>
        <v>58.644001298397697</v>
      </c>
      <c r="O79" s="6">
        <f>100*0.218284509521672</f>
        <v>21.828450952167199</v>
      </c>
      <c r="P79" s="3">
        <f>(1.96/SQRT(10000))*O79</f>
        <v>0.42783763866247709</v>
      </c>
      <c r="Q79" s="3">
        <f>IF(N79&gt;R79, 1, 2)</f>
        <v>2</v>
      </c>
      <c r="R79" s="6" t="s">
        <v>27</v>
      </c>
      <c r="S79" s="6" t="s">
        <v>27</v>
      </c>
      <c r="T79" s="3" t="e">
        <f>(1.96/SQRT(10000))*S79</f>
        <v>#VALUE!</v>
      </c>
      <c r="U79" s="3">
        <f>IF(N79&gt;R79, 2, 1)</f>
        <v>1</v>
      </c>
      <c r="AA79" s="3"/>
      <c r="AB79" s="3"/>
      <c r="AE79" s="3"/>
      <c r="AF79" s="3"/>
    </row>
    <row r="80" spans="1:32" x14ac:dyDescent="0.3">
      <c r="A80" s="3" t="s">
        <v>17</v>
      </c>
      <c r="B80" s="3" t="s">
        <v>30</v>
      </c>
      <c r="D80" s="3">
        <f>(1.96/SQRT(10000))*C80</f>
        <v>0</v>
      </c>
      <c r="E80" s="3">
        <f>IF(B80&gt;F80, 1, 2)</f>
        <v>1</v>
      </c>
      <c r="F80" s="3" t="s">
        <v>27</v>
      </c>
      <c r="G80" s="6" t="s">
        <v>27</v>
      </c>
      <c r="H80" s="3" t="e">
        <f>(1.96/SQRT(10000))*G80</f>
        <v>#VALUE!</v>
      </c>
      <c r="I80" s="3">
        <f>IF(B80&gt;F80, 2, 1)</f>
        <v>2</v>
      </c>
      <c r="J80" s="3"/>
      <c r="K80" s="12"/>
      <c r="M80" s="3" t="s">
        <v>17</v>
      </c>
      <c r="N80" s="3" t="s">
        <v>30</v>
      </c>
      <c r="P80" s="3">
        <f>(1.96/SQRT(10000))*O80</f>
        <v>0</v>
      </c>
      <c r="Q80" s="3">
        <f>IF(N80&gt;R80, 1, 2)</f>
        <v>1</v>
      </c>
      <c r="R80" s="3" t="s">
        <v>27</v>
      </c>
      <c r="S80" s="6" t="s">
        <v>27</v>
      </c>
      <c r="T80" s="3" t="e">
        <f>(1.96/SQRT(10000))*S80</f>
        <v>#VALUE!</v>
      </c>
      <c r="U80" s="3">
        <f>IF(N80&gt;R80, 2, 1)</f>
        <v>2</v>
      </c>
      <c r="Y80" s="3"/>
      <c r="Z80" s="3"/>
      <c r="AA80" s="3"/>
      <c r="AB80" s="3"/>
      <c r="AC80" s="3"/>
      <c r="AD80" s="3"/>
      <c r="AE80" s="3"/>
      <c r="AF80" s="3"/>
    </row>
    <row r="81" spans="1:32" x14ac:dyDescent="0.3">
      <c r="B81" s="3"/>
      <c r="D81" s="3"/>
      <c r="E81" s="3"/>
      <c r="F81" s="3"/>
      <c r="H81" s="3"/>
      <c r="I81" s="3"/>
      <c r="J81" s="3"/>
      <c r="K81" s="12"/>
      <c r="N81" s="3"/>
      <c r="P81" s="3"/>
      <c r="Q81" s="3"/>
      <c r="R81" s="3"/>
      <c r="T81" s="3"/>
      <c r="U81" s="3"/>
      <c r="Y81" s="3"/>
      <c r="Z81" s="3"/>
      <c r="AA81" s="3"/>
      <c r="AB81" s="3"/>
      <c r="AC81" s="3"/>
      <c r="AD81" s="3"/>
      <c r="AE81" s="3"/>
      <c r="AF81" s="3"/>
    </row>
    <row r="82" spans="1:32" x14ac:dyDescent="0.3">
      <c r="A82" s="3"/>
      <c r="B82" s="3"/>
      <c r="D82" s="3" t="s">
        <v>8</v>
      </c>
      <c r="E82" s="3">
        <f>AVERAGE(E78:E80)</f>
        <v>1.6666666666666667</v>
      </c>
      <c r="F82" s="3"/>
      <c r="H82" s="3" t="s">
        <v>8</v>
      </c>
      <c r="I82" s="3">
        <f>AVERAGE(I78:I80)</f>
        <v>1.3333333333333333</v>
      </c>
      <c r="J82" s="3"/>
      <c r="K82" s="12"/>
      <c r="M82" s="3"/>
      <c r="N82" s="3"/>
      <c r="P82" s="3" t="s">
        <v>8</v>
      </c>
      <c r="Q82" s="3">
        <f>AVERAGE(Q78:Q80)</f>
        <v>1.6666666666666667</v>
      </c>
      <c r="R82" s="3"/>
      <c r="T82" s="3" t="s">
        <v>8</v>
      </c>
      <c r="U82" s="3">
        <f>AVERAGE(U78:U80)</f>
        <v>1.3333333333333333</v>
      </c>
      <c r="Y82" s="3"/>
      <c r="Z82" s="3"/>
      <c r="AA82" s="3"/>
      <c r="AB82" s="3"/>
      <c r="AC82" s="3"/>
      <c r="AD82" s="3"/>
      <c r="AE82" s="3"/>
      <c r="AF82" s="3"/>
    </row>
    <row r="83" spans="1:32" x14ac:dyDescent="0.3">
      <c r="A83" s="3"/>
      <c r="B83" s="3"/>
      <c r="D83" s="3"/>
      <c r="E83" s="3"/>
      <c r="F83" s="3"/>
      <c r="H83" s="3"/>
      <c r="I83" s="3"/>
      <c r="J83" s="3"/>
      <c r="K83" s="12"/>
      <c r="M83" s="12"/>
      <c r="N83" s="12"/>
      <c r="O83" s="12"/>
      <c r="P83" s="12"/>
      <c r="Q83" s="12"/>
      <c r="R83" s="12"/>
      <c r="S83" s="12"/>
      <c r="T83" s="12"/>
      <c r="Y83" s="3"/>
      <c r="Z83" s="3"/>
      <c r="AA83" s="3"/>
      <c r="AB83" s="3"/>
      <c r="AC83" s="3"/>
      <c r="AD83" s="3"/>
      <c r="AE83" s="3"/>
      <c r="AF83" s="3"/>
    </row>
    <row r="84" spans="1:32" s="14" customFormat="1" x14ac:dyDescent="0.3">
      <c r="A84" s="10"/>
      <c r="B84" s="10"/>
      <c r="D84" s="10"/>
      <c r="E84" s="10"/>
      <c r="F84" s="10"/>
      <c r="H84" s="10"/>
      <c r="I84" s="10"/>
      <c r="J84" s="10"/>
      <c r="K84" s="10"/>
      <c r="M84" s="10"/>
      <c r="N84" s="10"/>
      <c r="O84" s="10"/>
      <c r="P84" s="10"/>
      <c r="Q84" s="10"/>
      <c r="R84" s="10"/>
      <c r="S84" s="10"/>
      <c r="T84" s="10"/>
      <c r="Y84" s="10"/>
      <c r="Z84" s="10"/>
      <c r="AA84" s="10"/>
      <c r="AB84" s="10"/>
      <c r="AC84" s="10"/>
      <c r="AD84" s="10"/>
      <c r="AE84" s="10"/>
      <c r="AF84" s="10"/>
    </row>
    <row r="85" spans="1:32" x14ac:dyDescent="0.3">
      <c r="J85" s="3"/>
      <c r="K85" s="10"/>
      <c r="M85" s="12"/>
      <c r="N85" s="12"/>
      <c r="O85" s="12"/>
      <c r="P85" s="12"/>
      <c r="Q85" s="12"/>
      <c r="R85" s="12"/>
      <c r="S85" s="12"/>
      <c r="T85" s="12"/>
      <c r="Y85" s="3"/>
      <c r="Z85" s="3"/>
      <c r="AA85" s="3"/>
      <c r="AB85" s="3"/>
      <c r="AC85" s="3"/>
      <c r="AD85" s="3"/>
      <c r="AE85" s="3"/>
      <c r="AF85" s="3"/>
    </row>
    <row r="86" spans="1:32" x14ac:dyDescent="0.3">
      <c r="B86" s="19" t="s">
        <v>24</v>
      </c>
      <c r="J86" s="3"/>
      <c r="K86" s="10"/>
      <c r="M86" s="12"/>
      <c r="N86" s="12"/>
      <c r="O86" s="12"/>
      <c r="P86" s="12"/>
      <c r="Q86" s="12"/>
      <c r="R86" s="12"/>
      <c r="S86" s="12"/>
      <c r="T86" s="12"/>
      <c r="Y86" s="3"/>
      <c r="Z86" s="3"/>
      <c r="AA86" s="3"/>
      <c r="AB86" s="3"/>
      <c r="AC86" s="3"/>
      <c r="AD86" s="3"/>
      <c r="AE86" s="3"/>
      <c r="AF86" s="3"/>
    </row>
    <row r="87" spans="1:32" x14ac:dyDescent="0.3">
      <c r="A87" s="17" t="s">
        <v>23</v>
      </c>
      <c r="B87" s="2" t="s">
        <v>1</v>
      </c>
      <c r="C87" s="8" t="s">
        <v>16</v>
      </c>
      <c r="D87" s="3"/>
      <c r="E87" s="3"/>
      <c r="F87" s="3"/>
      <c r="G87" s="3"/>
      <c r="J87" s="3"/>
      <c r="K87" s="10"/>
      <c r="M87" s="12"/>
      <c r="N87" s="12"/>
      <c r="O87" s="12"/>
      <c r="P87" s="12"/>
      <c r="Q87" s="12"/>
      <c r="R87" s="12"/>
      <c r="S87" s="12"/>
      <c r="T87" s="12"/>
      <c r="Y87" s="3"/>
      <c r="Z87" s="3"/>
      <c r="AA87" s="3"/>
      <c r="AB87" s="3"/>
      <c r="AC87" s="3"/>
      <c r="AD87" s="3"/>
      <c r="AE87" s="3"/>
      <c r="AF87" s="3"/>
    </row>
    <row r="88" spans="1:32" x14ac:dyDescent="0.3">
      <c r="A88" s="3"/>
      <c r="B88" s="3"/>
      <c r="C88" s="3"/>
      <c r="D88" s="3"/>
      <c r="E88" s="3"/>
      <c r="F88" s="3"/>
      <c r="G88" s="3"/>
      <c r="J88" s="3"/>
      <c r="K88" s="10"/>
      <c r="M88" s="12"/>
      <c r="N88" s="12"/>
      <c r="O88" s="12"/>
      <c r="P88" s="12"/>
      <c r="Q88" s="12"/>
      <c r="R88" s="12"/>
      <c r="S88" s="12"/>
      <c r="T88" s="12"/>
      <c r="Y88" s="3"/>
      <c r="Z88" s="3"/>
      <c r="AA88" s="3"/>
      <c r="AB88" s="3"/>
      <c r="AC88" s="3"/>
      <c r="AD88" s="3"/>
      <c r="AE88" s="3"/>
      <c r="AF88" s="3"/>
    </row>
    <row r="89" spans="1:32" x14ac:dyDescent="0.3">
      <c r="A89" s="3" t="s">
        <v>2</v>
      </c>
      <c r="B89" s="3" t="s">
        <v>3</v>
      </c>
      <c r="C89" s="6" t="s">
        <v>18</v>
      </c>
      <c r="D89" s="3" t="s">
        <v>15</v>
      </c>
      <c r="E89" s="3" t="s">
        <v>4</v>
      </c>
      <c r="F89" s="3" t="s">
        <v>5</v>
      </c>
      <c r="G89" s="3" t="s">
        <v>19</v>
      </c>
      <c r="H89" s="3" t="s">
        <v>15</v>
      </c>
      <c r="I89" s="3" t="s">
        <v>4</v>
      </c>
      <c r="J89" s="3"/>
      <c r="K89" s="10"/>
      <c r="M89" s="12"/>
      <c r="N89" s="12"/>
      <c r="O89" s="12"/>
      <c r="P89" s="12"/>
      <c r="Q89" s="12"/>
      <c r="R89" s="12"/>
      <c r="S89" s="12"/>
      <c r="T89" s="12"/>
      <c r="Y89" s="3"/>
      <c r="Z89" s="3"/>
      <c r="AA89" s="3"/>
      <c r="AB89" s="3"/>
      <c r="AC89" s="3"/>
      <c r="AD89" s="3"/>
      <c r="AE89" s="3"/>
      <c r="AF89" s="3"/>
    </row>
    <row r="90" spans="1:32" x14ac:dyDescent="0.3">
      <c r="A90" s="3"/>
      <c r="B90" s="3"/>
      <c r="D90" s="3"/>
      <c r="E90" s="3"/>
      <c r="F90" s="3"/>
      <c r="H90" s="3"/>
      <c r="I90" s="3"/>
      <c r="J90" s="3"/>
      <c r="K90" s="10"/>
      <c r="M90" s="12"/>
      <c r="N90" s="12"/>
      <c r="O90" s="12"/>
      <c r="P90" s="12"/>
      <c r="Q90" s="12"/>
      <c r="R90" s="12"/>
      <c r="S90" s="12"/>
      <c r="T90" s="12"/>
      <c r="Y90" s="3"/>
      <c r="Z90" s="3"/>
      <c r="AA90" s="3"/>
      <c r="AB90" s="3"/>
      <c r="AC90" s="3"/>
      <c r="AD90" s="3"/>
      <c r="AE90" s="3"/>
      <c r="AF90" s="3"/>
    </row>
    <row r="91" spans="1:32" x14ac:dyDescent="0.3">
      <c r="A91" s="3" t="s">
        <v>21</v>
      </c>
      <c r="B91" s="6">
        <f>100*0.608940012280643</f>
        <v>60.894001228064297</v>
      </c>
      <c r="C91" s="6">
        <f>100*0.229111494088143</f>
        <v>22.9111494088143</v>
      </c>
      <c r="D91" s="3">
        <f>(1.96/SQRT(10000))*C91</f>
        <v>0.44905852841276028</v>
      </c>
      <c r="E91" s="3">
        <f>IF(B91&gt;F91, 1, 2)</f>
        <v>1</v>
      </c>
      <c r="F91" s="3">
        <f>100*0.507260011656582</f>
        <v>50.726001165658197</v>
      </c>
      <c r="G91" s="6">
        <f>100*0.228340303646301</f>
        <v>22.834030364630102</v>
      </c>
      <c r="H91" s="3">
        <f>(1.96/SQRT(10000))*G91</f>
        <v>0.44754699514675</v>
      </c>
      <c r="I91" s="3">
        <f>IF(B91&gt;F91, 2, 1)</f>
        <v>2</v>
      </c>
      <c r="J91" s="3"/>
      <c r="K91" s="10"/>
      <c r="M91" s="12"/>
      <c r="N91" s="12"/>
      <c r="O91" s="12"/>
      <c r="P91" s="12"/>
      <c r="Q91" s="12"/>
      <c r="R91" s="12"/>
      <c r="S91" s="12"/>
      <c r="T91" s="12"/>
      <c r="Y91" s="3"/>
      <c r="Z91" s="3"/>
      <c r="AA91" s="3"/>
      <c r="AB91" s="3"/>
      <c r="AC91" s="3"/>
      <c r="AD91" s="3"/>
      <c r="AE91" s="3"/>
      <c r="AF91" s="3"/>
    </row>
    <row r="92" spans="1:32" x14ac:dyDescent="0.3">
      <c r="A92" s="3" t="s">
        <v>6</v>
      </c>
      <c r="B92" s="12">
        <f>100*0.596400012698769</f>
        <v>59.640001269876898</v>
      </c>
      <c r="C92" s="15">
        <f>100*0.223917485990413</f>
        <v>22.3917485990413</v>
      </c>
      <c r="D92" s="3">
        <f>(1.96/SQRT(10000))*C92</f>
        <v>0.43887827254120948</v>
      </c>
      <c r="E92" s="3">
        <f>IF(B92&gt;F92, 1, 2)</f>
        <v>1</v>
      </c>
      <c r="F92" s="12">
        <f>100*0.545580012334883</f>
        <v>54.558001233488298</v>
      </c>
      <c r="G92" s="15">
        <f>100*0.22118423309474</f>
        <v>22.118423309474</v>
      </c>
      <c r="H92" s="3">
        <f>(1.96/SQRT(10000))*G92</f>
        <v>0.4335210968656904</v>
      </c>
      <c r="I92" s="3">
        <f>IF(B92&gt;F92, 2, 1)</f>
        <v>2</v>
      </c>
      <c r="J92" s="3"/>
      <c r="K92" s="10"/>
      <c r="M92" s="12"/>
      <c r="N92" s="12"/>
      <c r="O92" s="12"/>
      <c r="P92" s="12"/>
      <c r="Q92" s="12"/>
      <c r="R92" s="12"/>
      <c r="S92" s="12"/>
      <c r="T92" s="12"/>
      <c r="Y92" s="3"/>
      <c r="Z92" s="3"/>
      <c r="AA92" s="3"/>
      <c r="AB92" s="3"/>
      <c r="AC92" s="3"/>
      <c r="AD92" s="3"/>
      <c r="AE92" s="3"/>
      <c r="AF92" s="3"/>
    </row>
    <row r="93" spans="1:32" x14ac:dyDescent="0.3">
      <c r="A93" s="3" t="s">
        <v>10</v>
      </c>
      <c r="B93" s="15">
        <f>100*0.484980011571943</f>
        <v>48.498001157194295</v>
      </c>
      <c r="C93" s="15">
        <f>100*0.213762488992563</f>
        <v>21.3762488992563</v>
      </c>
      <c r="D93" s="3">
        <f>(1.96/SQRT(10000))*C93</f>
        <v>0.41897447842542346</v>
      </c>
      <c r="E93" s="3">
        <f>IF(B93&gt;F93, 1, 2)</f>
        <v>1</v>
      </c>
      <c r="F93" s="15">
        <f>100*0.482480011570453</f>
        <v>48.248001157045302</v>
      </c>
      <c r="G93" s="15">
        <f>100*0.215306878078225</f>
        <v>21.530687807822499</v>
      </c>
      <c r="H93" s="3">
        <f>(1.96/SQRT(10000))*G93</f>
        <v>0.42200148103332097</v>
      </c>
      <c r="I93" s="3">
        <f>IF(B93&gt;F93, 2, 1)</f>
        <v>2</v>
      </c>
      <c r="J93" s="3"/>
      <c r="K93" s="10"/>
      <c r="M93" s="12"/>
      <c r="N93" s="12"/>
      <c r="O93" s="12"/>
      <c r="P93" s="12"/>
      <c r="Q93" s="12"/>
      <c r="R93" s="12"/>
      <c r="S93" s="12"/>
      <c r="T93" s="12"/>
      <c r="Y93" s="3"/>
      <c r="Z93" s="3"/>
      <c r="AA93" s="3"/>
      <c r="AB93" s="3"/>
      <c r="AC93" s="3"/>
      <c r="AD93" s="3"/>
      <c r="AE93" s="3"/>
      <c r="AF93" s="3"/>
    </row>
    <row r="94" spans="1:32" x14ac:dyDescent="0.3">
      <c r="A94" s="3" t="s">
        <v>7</v>
      </c>
      <c r="B94" s="12">
        <v>63.822001248150997</v>
      </c>
      <c r="C94" s="15">
        <v>22.431948523013702</v>
      </c>
      <c r="D94" s="3">
        <f>(1.96/SQRT(10000))*C94</f>
        <v>0.43966619105106852</v>
      </c>
      <c r="E94" s="3">
        <f>IF(B94&gt;F94, 1, 2)</f>
        <v>1</v>
      </c>
      <c r="F94" s="12">
        <v>53.630001217871005</v>
      </c>
      <c r="G94" s="15">
        <v>22.721424141855202</v>
      </c>
      <c r="H94" s="3">
        <f>(1.96/SQRT(10000))*G94</f>
        <v>0.44533991318036192</v>
      </c>
      <c r="I94" s="3">
        <f>IF(B94&gt;F94, 2, 1)</f>
        <v>2</v>
      </c>
      <c r="J94" s="3"/>
      <c r="K94" s="10"/>
      <c r="M94" s="12"/>
      <c r="N94" s="12"/>
      <c r="O94" s="12"/>
      <c r="P94" s="12"/>
      <c r="Q94" s="12"/>
      <c r="R94" s="12"/>
      <c r="S94" s="12"/>
      <c r="T94" s="12"/>
      <c r="Y94" s="3"/>
      <c r="Z94" s="3"/>
      <c r="AA94" s="3"/>
      <c r="AB94" s="3"/>
      <c r="AC94" s="3"/>
      <c r="AD94" s="3"/>
      <c r="AE94" s="3"/>
      <c r="AF94" s="3"/>
    </row>
    <row r="95" spans="1:32" x14ac:dyDescent="0.3">
      <c r="A95" s="3" t="s">
        <v>17</v>
      </c>
      <c r="B95" s="3">
        <f>100*0.555360012800991</f>
        <v>55.5360012800991</v>
      </c>
      <c r="C95" s="6">
        <f>100*0.214735352480352</f>
        <v>21.473535248035201</v>
      </c>
      <c r="D95" s="3">
        <f>(1.96/SQRT(10000))*C95</f>
        <v>0.42088129086148995</v>
      </c>
      <c r="E95" s="3">
        <f>IF(B95&gt;F95, 1, 2)</f>
        <v>1</v>
      </c>
      <c r="F95" s="3">
        <f>100*0.535460012687742</f>
        <v>53.546001268774205</v>
      </c>
      <c r="G95" s="6">
        <f>100*0.212618413905936</f>
        <v>21.261841390593599</v>
      </c>
      <c r="H95" s="3">
        <f>(1.96/SQRT(10000))*G95</f>
        <v>0.41673209125563454</v>
      </c>
      <c r="I95" s="3">
        <f>IF(B95&gt;F95, 2, 1)</f>
        <v>2</v>
      </c>
      <c r="J95" s="3"/>
      <c r="K95" s="10"/>
      <c r="M95" s="12"/>
      <c r="N95" s="12"/>
      <c r="O95" s="12"/>
      <c r="P95" s="12"/>
      <c r="Q95" s="12"/>
      <c r="R95" s="12"/>
      <c r="S95" s="12"/>
      <c r="T95" s="12"/>
      <c r="Y95" s="3"/>
      <c r="Z95" s="3"/>
      <c r="AA95" s="3"/>
      <c r="AB95" s="3"/>
      <c r="AC95" s="3"/>
      <c r="AD95" s="3"/>
      <c r="AE95" s="3"/>
      <c r="AF95" s="3"/>
    </row>
    <row r="96" spans="1:32" x14ac:dyDescent="0.3">
      <c r="B96" s="3"/>
      <c r="D96" s="3"/>
      <c r="E96" s="3"/>
      <c r="F96" s="3"/>
      <c r="H96" s="3"/>
      <c r="I96" s="3"/>
      <c r="J96" s="3"/>
      <c r="K96" s="10"/>
      <c r="M96" s="12"/>
      <c r="N96" s="12"/>
      <c r="O96" s="12"/>
      <c r="P96" s="12"/>
      <c r="Q96" s="12"/>
      <c r="R96" s="12"/>
      <c r="S96" s="12"/>
      <c r="T96" s="12"/>
      <c r="Y96" s="3"/>
      <c r="Z96" s="3"/>
      <c r="AA96" s="3"/>
      <c r="AB96" s="3"/>
      <c r="AC96" s="3"/>
      <c r="AD96" s="3"/>
      <c r="AE96" s="3"/>
      <c r="AF96" s="3"/>
    </row>
    <row r="97" spans="1:32" x14ac:dyDescent="0.3">
      <c r="A97" s="3"/>
      <c r="B97" s="3"/>
      <c r="D97" s="3" t="s">
        <v>8</v>
      </c>
      <c r="E97" s="3">
        <f>AVERAGE(E91:E95)</f>
        <v>1</v>
      </c>
      <c r="F97" s="3"/>
      <c r="H97" s="3" t="s">
        <v>8</v>
      </c>
      <c r="I97" s="3">
        <f>AVERAGE(I91:I95)</f>
        <v>2</v>
      </c>
      <c r="J97" s="3"/>
      <c r="K97" s="10"/>
      <c r="M97" s="12"/>
      <c r="N97" s="12"/>
      <c r="O97" s="12"/>
      <c r="P97" s="12"/>
      <c r="Q97" s="12"/>
      <c r="R97" s="12"/>
      <c r="S97" s="12"/>
      <c r="T97" s="12"/>
      <c r="Y97" s="3"/>
      <c r="Z97" s="3"/>
      <c r="AA97" s="3"/>
      <c r="AB97" s="3"/>
      <c r="AC97" s="3"/>
      <c r="AD97" s="3"/>
      <c r="AE97" s="3"/>
      <c r="AF97" s="3"/>
    </row>
    <row r="98" spans="1:32" x14ac:dyDescent="0.3">
      <c r="K98" s="14"/>
    </row>
    <row r="99" spans="1:32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</row>
    <row r="100" spans="1:32" x14ac:dyDescent="0.3">
      <c r="B100" s="19" t="s">
        <v>25</v>
      </c>
      <c r="N100" s="19" t="s">
        <v>26</v>
      </c>
    </row>
    <row r="101" spans="1:32" x14ac:dyDescent="0.3">
      <c r="A101" s="17" t="s">
        <v>23</v>
      </c>
      <c r="B101" s="2" t="s">
        <v>1</v>
      </c>
      <c r="C101" s="8" t="s">
        <v>16</v>
      </c>
      <c r="D101" s="3"/>
      <c r="E101" s="3"/>
      <c r="F101" s="3"/>
      <c r="G101" s="3"/>
      <c r="J101" s="15"/>
      <c r="M101" s="17" t="s">
        <v>23</v>
      </c>
      <c r="N101" s="2" t="s">
        <v>1</v>
      </c>
      <c r="O101" s="8" t="s">
        <v>16</v>
      </c>
      <c r="P101" s="3"/>
      <c r="Q101" s="3"/>
      <c r="R101" s="3"/>
      <c r="S101" s="3"/>
    </row>
    <row r="102" spans="1:32" x14ac:dyDescent="0.3">
      <c r="A102" s="3"/>
      <c r="B102" s="3"/>
      <c r="C102" s="3"/>
      <c r="D102" s="3"/>
      <c r="E102" s="3"/>
      <c r="F102" s="3"/>
      <c r="G102" s="3"/>
      <c r="M102" s="3"/>
      <c r="N102" s="3"/>
      <c r="O102" s="3"/>
      <c r="P102" s="3"/>
      <c r="Q102" s="3"/>
      <c r="R102" s="3"/>
      <c r="S102" s="3"/>
    </row>
    <row r="103" spans="1:32" x14ac:dyDescent="0.3">
      <c r="A103" s="3" t="s">
        <v>2</v>
      </c>
      <c r="B103" s="3" t="s">
        <v>3</v>
      </c>
      <c r="C103" s="6" t="s">
        <v>18</v>
      </c>
      <c r="D103" s="3" t="s">
        <v>15</v>
      </c>
      <c r="E103" s="3" t="s">
        <v>4</v>
      </c>
      <c r="F103" s="3" t="s">
        <v>5</v>
      </c>
      <c r="G103" s="3" t="s">
        <v>19</v>
      </c>
      <c r="H103" s="3" t="s">
        <v>15</v>
      </c>
      <c r="I103" s="3" t="s">
        <v>4</v>
      </c>
      <c r="J103" s="3"/>
      <c r="K103" s="12"/>
      <c r="M103" s="3" t="s">
        <v>2</v>
      </c>
      <c r="N103" s="3" t="s">
        <v>3</v>
      </c>
      <c r="O103" s="6" t="s">
        <v>18</v>
      </c>
      <c r="P103" s="3" t="s">
        <v>15</v>
      </c>
      <c r="Q103" s="3" t="s">
        <v>4</v>
      </c>
      <c r="R103" s="3" t="s">
        <v>5</v>
      </c>
      <c r="S103" s="3" t="s">
        <v>19</v>
      </c>
      <c r="T103" s="3" t="s">
        <v>15</v>
      </c>
      <c r="U103" s="3" t="s">
        <v>4</v>
      </c>
    </row>
    <row r="104" spans="1:32" x14ac:dyDescent="0.3">
      <c r="A104" s="3"/>
      <c r="B104" s="3"/>
      <c r="D104" s="3"/>
      <c r="E104" s="3"/>
      <c r="F104" s="3"/>
      <c r="H104" s="3"/>
      <c r="I104" s="3"/>
      <c r="J104" s="3"/>
      <c r="K104" s="12"/>
      <c r="M104" s="3"/>
      <c r="N104" s="3"/>
      <c r="P104" s="3"/>
      <c r="Q104" s="3"/>
      <c r="R104" s="3"/>
      <c r="T104" s="3"/>
      <c r="U104" s="3"/>
    </row>
    <row r="105" spans="1:32" x14ac:dyDescent="0.3">
      <c r="A105" s="3" t="s">
        <v>6</v>
      </c>
      <c r="B105" s="12">
        <f>100*0.594960012474656</f>
        <v>59.4960012474656</v>
      </c>
      <c r="C105" s="15">
        <f>100* 0.226624356427741</f>
        <v>22.662435642774099</v>
      </c>
      <c r="D105" s="3">
        <f>(1.96/SQRT(10000))*C105</f>
        <v>0.44418373859837235</v>
      </c>
      <c r="E105" s="3">
        <f>IF(B105&gt;F105, 1, 2)</f>
        <v>1</v>
      </c>
      <c r="F105" s="12">
        <f>100*0.549700012429058</f>
        <v>54.970001242905795</v>
      </c>
      <c r="G105" s="15">
        <f>100*0.224039977036874</f>
        <v>22.403997703687402</v>
      </c>
      <c r="H105" s="3">
        <f>(1.96/SQRT(10000))*G105</f>
        <v>0.43911835499227309</v>
      </c>
      <c r="I105" s="3">
        <f>IF(B105&gt;F105, 2, 1)</f>
        <v>2</v>
      </c>
      <c r="J105" s="3"/>
      <c r="K105" s="12"/>
      <c r="M105" s="3" t="s">
        <v>6</v>
      </c>
      <c r="N105" s="12">
        <f>100*0.605040012590587</f>
        <v>60.504001259058704</v>
      </c>
      <c r="O105" s="15">
        <f>100*0.224941323005494</f>
        <v>22.494132300549399</v>
      </c>
      <c r="P105" s="3">
        <f>(1.96/SQRT(10000))*O105</f>
        <v>0.44088499309076823</v>
      </c>
      <c r="Q105" s="3">
        <f>IF(N105&gt;R105, 1, 2)</f>
        <v>1</v>
      </c>
      <c r="R105" s="12">
        <f>100*0.554040012475848</f>
        <v>55.404001247584802</v>
      </c>
      <c r="S105" s="15">
        <f>100*0.221105584773041</f>
        <v>22.1105584773041</v>
      </c>
      <c r="T105" s="3">
        <f>(1.96/SQRT(10000))*S105</f>
        <v>0.43336694615516036</v>
      </c>
      <c r="U105" s="3">
        <f>IF(N105&gt;R105, 2, 1)</f>
        <v>2</v>
      </c>
    </row>
    <row r="106" spans="1:32" x14ac:dyDescent="0.3">
      <c r="A106" s="3" t="s">
        <v>10</v>
      </c>
      <c r="B106" s="15">
        <f>100*0.474000011311471</f>
        <v>47.4000011311471</v>
      </c>
      <c r="C106" s="15">
        <f>100*0.214802239790832</f>
        <v>21.480223979083199</v>
      </c>
      <c r="D106" s="3">
        <f>(1.96/SQRT(10000))*C106</f>
        <v>0.42101238999003071</v>
      </c>
      <c r="E106" s="3">
        <f>IF(B106&gt;F106, 1, 2)</f>
        <v>2</v>
      </c>
      <c r="F106" s="15" t="s">
        <v>27</v>
      </c>
      <c r="G106" s="15" t="s">
        <v>27</v>
      </c>
      <c r="H106" s="3" t="e">
        <f>(1.96/SQRT(10000))*G106</f>
        <v>#VALUE!</v>
      </c>
      <c r="I106" s="3">
        <f>IF(B106&gt;F106, 2, 1)</f>
        <v>1</v>
      </c>
      <c r="J106" s="3"/>
      <c r="K106" s="12"/>
      <c r="M106" s="3" t="s">
        <v>10</v>
      </c>
      <c r="N106" s="15">
        <f>100*0.503540011954307</f>
        <v>50.354001195430698</v>
      </c>
      <c r="O106" s="15">
        <f>100*0.215358933679234</f>
        <v>21.5358933679234</v>
      </c>
      <c r="P106" s="3">
        <f>(1.96/SQRT(10000))*O106</f>
        <v>0.42210351001129864</v>
      </c>
      <c r="Q106" s="3">
        <f>IF(N106&gt;R106, 1, 2)</f>
        <v>2</v>
      </c>
      <c r="R106" s="15" t="s">
        <v>27</v>
      </c>
      <c r="S106" s="15" t="s">
        <v>27</v>
      </c>
      <c r="T106" s="3" t="e">
        <f>(1.96/SQRT(10000))*S106</f>
        <v>#VALUE!</v>
      </c>
      <c r="U106" s="3">
        <f>IF(N106&gt;R106, 2, 1)</f>
        <v>1</v>
      </c>
    </row>
    <row r="107" spans="1:32" x14ac:dyDescent="0.3">
      <c r="A107" s="3" t="s">
        <v>17</v>
      </c>
      <c r="B107" s="3" t="s">
        <v>30</v>
      </c>
      <c r="D107" s="3">
        <f>(1.96/SQRT(10000))*C107</f>
        <v>0</v>
      </c>
      <c r="E107" s="3">
        <f>IF(B107&gt;F107, 1, 2)</f>
        <v>1</v>
      </c>
      <c r="F107" s="3" t="s">
        <v>27</v>
      </c>
      <c r="G107" s="6" t="s">
        <v>27</v>
      </c>
      <c r="H107" s="3" t="e">
        <f>(1.96/SQRT(10000))*G107</f>
        <v>#VALUE!</v>
      </c>
      <c r="I107" s="3">
        <f>IF(B107&gt;F107, 2, 1)</f>
        <v>2</v>
      </c>
      <c r="J107" s="3"/>
      <c r="K107" s="12"/>
      <c r="M107" s="3" t="s">
        <v>17</v>
      </c>
      <c r="N107" s="3" t="s">
        <v>30</v>
      </c>
      <c r="P107" s="3">
        <f>(1.96/SQRT(10000))*O107</f>
        <v>0</v>
      </c>
      <c r="Q107" s="3">
        <f>IF(N107&gt;R107, 1, 2)</f>
        <v>1</v>
      </c>
      <c r="R107" s="3" t="s">
        <v>27</v>
      </c>
      <c r="S107" s="6" t="s">
        <v>27</v>
      </c>
      <c r="T107" s="3" t="e">
        <f>(1.96/SQRT(10000))*S107</f>
        <v>#VALUE!</v>
      </c>
      <c r="U107" s="3">
        <f>IF(N107&gt;R107, 2, 1)</f>
        <v>2</v>
      </c>
    </row>
    <row r="108" spans="1:32" x14ac:dyDescent="0.3">
      <c r="B108" s="3"/>
      <c r="D108" s="3"/>
      <c r="E108" s="3"/>
      <c r="F108" s="3"/>
      <c r="H108" s="3"/>
      <c r="I108" s="3"/>
      <c r="J108" s="3"/>
      <c r="K108" s="12"/>
      <c r="N108" s="3"/>
      <c r="P108" s="3"/>
      <c r="Q108" s="3"/>
      <c r="R108" s="3"/>
      <c r="T108" s="3"/>
      <c r="U108" s="3"/>
    </row>
    <row r="109" spans="1:32" x14ac:dyDescent="0.3">
      <c r="A109" s="3"/>
      <c r="B109" s="3"/>
      <c r="D109" s="3" t="s">
        <v>8</v>
      </c>
      <c r="E109" s="3">
        <f>AVERAGE(E105:E107)</f>
        <v>1.3333333333333333</v>
      </c>
      <c r="F109" s="3"/>
      <c r="H109" s="3" t="s">
        <v>8</v>
      </c>
      <c r="I109" s="3">
        <f>AVERAGE(I105:I107)</f>
        <v>1.6666666666666667</v>
      </c>
      <c r="J109" s="3"/>
      <c r="K109" s="12"/>
      <c r="M109" s="3"/>
      <c r="N109" s="3"/>
      <c r="P109" s="3" t="s">
        <v>8</v>
      </c>
      <c r="Q109" s="3">
        <f>AVERAGE(Q105:Q107)</f>
        <v>1.3333333333333333</v>
      </c>
      <c r="R109" s="3"/>
      <c r="T109" s="3" t="s">
        <v>8</v>
      </c>
      <c r="U109" s="3">
        <f>AVERAGE(U105:U107)</f>
        <v>1.6666666666666667</v>
      </c>
    </row>
    <row r="110" spans="1:32" x14ac:dyDescent="0.3">
      <c r="J110" s="3"/>
      <c r="K110" s="12"/>
      <c r="M110" s="12"/>
      <c r="N110" s="12"/>
      <c r="O110" s="12"/>
      <c r="P110" s="12"/>
      <c r="Q110" s="12"/>
      <c r="R110" s="12"/>
      <c r="S110" s="12"/>
      <c r="T110" s="12"/>
    </row>
    <row r="111" spans="1:32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x14ac:dyDescent="0.3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L112" s="15"/>
      <c r="M112" s="15"/>
      <c r="N112" s="15"/>
      <c r="O112" s="15"/>
      <c r="P112" s="15"/>
      <c r="Q112" s="15"/>
      <c r="R112" s="15"/>
      <c r="S112" s="15"/>
    </row>
    <row r="113" spans="1:30" x14ac:dyDescent="0.3">
      <c r="B113" s="19" t="s">
        <v>24</v>
      </c>
    </row>
    <row r="114" spans="1:30" x14ac:dyDescent="0.3">
      <c r="A114" s="7" t="s">
        <v>11</v>
      </c>
      <c r="B114" s="2" t="s">
        <v>22</v>
      </c>
      <c r="C114" s="8" t="s">
        <v>12</v>
      </c>
      <c r="E114" s="3"/>
      <c r="F114" s="3"/>
      <c r="H114" s="3"/>
      <c r="I114" s="3"/>
      <c r="J114" s="3"/>
      <c r="K114" s="12"/>
      <c r="M114" s="16" t="s">
        <v>13</v>
      </c>
      <c r="N114" s="16"/>
      <c r="W114" s="16" t="s">
        <v>14</v>
      </c>
      <c r="X114" s="16"/>
    </row>
    <row r="115" spans="1:30" x14ac:dyDescent="0.3">
      <c r="A115" s="3"/>
      <c r="B115" s="3"/>
      <c r="D115" s="3"/>
      <c r="E115" s="3"/>
      <c r="F115" s="3"/>
      <c r="H115" s="3"/>
      <c r="I115" s="3"/>
      <c r="J115" s="3"/>
      <c r="K115" s="12"/>
    </row>
    <row r="116" spans="1:30" x14ac:dyDescent="0.3">
      <c r="A116" s="3" t="s">
        <v>2</v>
      </c>
      <c r="B116" s="3" t="s">
        <v>3</v>
      </c>
      <c r="C116" s="6" t="s">
        <v>18</v>
      </c>
      <c r="D116" s="3" t="s">
        <v>15</v>
      </c>
      <c r="E116" s="3" t="s">
        <v>4</v>
      </c>
      <c r="F116" s="3" t="s">
        <v>5</v>
      </c>
      <c r="G116" s="3" t="s">
        <v>19</v>
      </c>
      <c r="H116" s="3" t="s">
        <v>15</v>
      </c>
      <c r="I116" s="3" t="s">
        <v>4</v>
      </c>
      <c r="J116" s="3"/>
      <c r="K116" s="12"/>
      <c r="M116" s="3" t="s">
        <v>3</v>
      </c>
      <c r="N116" s="3" t="s">
        <v>18</v>
      </c>
      <c r="O116" s="3" t="s">
        <v>15</v>
      </c>
      <c r="P116" s="3" t="s">
        <v>4</v>
      </c>
      <c r="Q116" s="3" t="s">
        <v>5</v>
      </c>
      <c r="R116" s="3" t="s">
        <v>19</v>
      </c>
      <c r="S116" s="3" t="s">
        <v>15</v>
      </c>
      <c r="T116" s="3" t="s">
        <v>4</v>
      </c>
      <c r="W116" s="3" t="s">
        <v>3</v>
      </c>
      <c r="X116" s="3" t="s">
        <v>18</v>
      </c>
      <c r="Y116" s="3" t="s">
        <v>15</v>
      </c>
      <c r="Z116" s="3" t="s">
        <v>4</v>
      </c>
      <c r="AA116" s="3" t="s">
        <v>5</v>
      </c>
      <c r="AB116" s="3" t="s">
        <v>19</v>
      </c>
      <c r="AC116" s="3" t="s">
        <v>15</v>
      </c>
      <c r="AD116" s="3" t="s">
        <v>4</v>
      </c>
    </row>
    <row r="117" spans="1:30" x14ac:dyDescent="0.3">
      <c r="A117" s="3"/>
      <c r="B117" s="3"/>
      <c r="D117" s="3"/>
      <c r="E117" s="3"/>
      <c r="F117" s="3"/>
      <c r="H117" s="3"/>
      <c r="I117" s="3"/>
      <c r="J117" s="3"/>
      <c r="K117" s="12"/>
      <c r="M117" s="3"/>
      <c r="N117" s="3"/>
      <c r="O117" s="3"/>
      <c r="P117" s="3"/>
      <c r="Q117" s="3"/>
      <c r="R117" s="3"/>
      <c r="S117" s="3"/>
      <c r="T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3">
      <c r="A118" s="3" t="s">
        <v>21</v>
      </c>
      <c r="D118" s="3">
        <f>(1.96/SQRT(10000))*C118</f>
        <v>0</v>
      </c>
      <c r="E118" s="3">
        <f>IF(B118&gt;F118, 1, 2)</f>
        <v>2</v>
      </c>
      <c r="F118" s="3" t="s">
        <v>27</v>
      </c>
      <c r="G118" s="6" t="s">
        <v>27</v>
      </c>
      <c r="H118" s="3" t="e">
        <f>(1.96/SQRT(10000))*G118</f>
        <v>#VALUE!</v>
      </c>
      <c r="I118" s="3">
        <f t="shared" ref="I118:I122" si="9">IF(B118&gt;F118, 2, 1)</f>
        <v>1</v>
      </c>
      <c r="J118" s="3"/>
      <c r="K118" s="12"/>
      <c r="M118" s="6">
        <f>100*0.60164798528552</f>
        <v>60.164798528551998</v>
      </c>
      <c r="N118" s="6">
        <f>100*0.109409339361616</f>
        <v>10.940933936161599</v>
      </c>
      <c r="O118" s="3">
        <f>(1.96/SQRT(10000))*N118</f>
        <v>0.21444230514876733</v>
      </c>
      <c r="P118" s="3">
        <f>IF(M118&gt;Q118, 1, 2)</f>
        <v>1</v>
      </c>
      <c r="Q118" s="3">
        <f>100*0.58369998576343</f>
        <v>58.369998576342994</v>
      </c>
      <c r="R118" s="3">
        <f>100*0.108182389830225</f>
        <v>10.8182389830225</v>
      </c>
      <c r="S118" s="3">
        <f>(1.96/SQRT(10000))*R118</f>
        <v>0.21203748406724099</v>
      </c>
      <c r="T118" s="3">
        <f t="shared" ref="T118:T122" si="10">IF(M118&gt;Q118, 2, 1)</f>
        <v>2</v>
      </c>
      <c r="W118" s="6">
        <f>100*0.609335985074937</f>
        <v>60.933598507493706</v>
      </c>
      <c r="X118" s="6">
        <f>100*0.107281492056787</f>
        <v>10.728149205678699</v>
      </c>
      <c r="Y118" s="3">
        <f>(1.96/SQRT(10000))*X118</f>
        <v>0.21027172443130249</v>
      </c>
      <c r="Z118" s="3">
        <f>IF(W118&gt;AA118, 1, 2)</f>
        <v>1</v>
      </c>
      <c r="AA118" s="3">
        <f>100*0.595219985251128</f>
        <v>59.521998525112792</v>
      </c>
      <c r="AB118" s="3">
        <f>100*0.108189607153716</f>
        <v>10.818960715371601</v>
      </c>
      <c r="AC118" s="3">
        <f>(1.96/SQRT(10000))*AB118</f>
        <v>0.21205163002128335</v>
      </c>
      <c r="AD118" s="3">
        <f t="shared" ref="AD118:AD122" si="11">IF(W118&gt;AA118, 2, 1)</f>
        <v>2</v>
      </c>
    </row>
    <row r="119" spans="1:30" x14ac:dyDescent="0.3">
      <c r="A119" s="3" t="s">
        <v>6</v>
      </c>
      <c r="B119" s="3"/>
      <c r="D119" s="3">
        <f>(1.96/SQRT(10000))*C119</f>
        <v>0</v>
      </c>
      <c r="E119" s="3">
        <f>IF(B119&gt;F119, 1, 2)</f>
        <v>2</v>
      </c>
      <c r="F119" s="3" t="s">
        <v>27</v>
      </c>
      <c r="G119" s="6" t="s">
        <v>27</v>
      </c>
      <c r="H119" s="3" t="e">
        <f>(1.96/SQRT(10000))*G119</f>
        <v>#VALUE!</v>
      </c>
      <c r="I119" s="3">
        <f t="shared" si="9"/>
        <v>1</v>
      </c>
      <c r="J119" s="3"/>
      <c r="K119" s="12"/>
      <c r="M119" s="3"/>
      <c r="N119" s="3"/>
      <c r="O119" s="3">
        <f>(1.96/SQRT(10000))*N119</f>
        <v>0</v>
      </c>
      <c r="P119" s="3">
        <f t="shared" ref="P119:P122" si="12">IF(M119&gt;Q119, 1, 2)</f>
        <v>2</v>
      </c>
      <c r="Q119" s="3" t="s">
        <v>27</v>
      </c>
      <c r="R119" s="3" t="s">
        <v>27</v>
      </c>
      <c r="S119" s="3" t="e">
        <f>(1.96/SQRT(10000))*R119</f>
        <v>#VALUE!</v>
      </c>
      <c r="T119" s="3">
        <f t="shared" si="10"/>
        <v>1</v>
      </c>
      <c r="W119" s="3"/>
      <c r="X119" s="3"/>
      <c r="Y119" s="3">
        <f>(1.96/SQRT(10000))*X119</f>
        <v>0</v>
      </c>
      <c r="Z119" s="3">
        <f t="shared" ref="Z119:Z122" si="13">IF(W119&gt;AA119, 1, 2)</f>
        <v>2</v>
      </c>
      <c r="AA119" s="3" t="s">
        <v>27</v>
      </c>
      <c r="AB119" s="3" t="s">
        <v>27</v>
      </c>
      <c r="AC119" s="3" t="e">
        <f>(1.96/SQRT(10000))*AB119</f>
        <v>#VALUE!</v>
      </c>
      <c r="AD119" s="3">
        <f t="shared" si="11"/>
        <v>1</v>
      </c>
    </row>
    <row r="120" spans="1:30" x14ac:dyDescent="0.3">
      <c r="A120" s="3" t="s">
        <v>10</v>
      </c>
      <c r="D120" s="3">
        <f>(1.96/SQRT(10000))*C120</f>
        <v>0</v>
      </c>
      <c r="E120" s="3">
        <f>IF(B120&gt;F120, 1, 2)</f>
        <v>2</v>
      </c>
      <c r="F120" s="6" t="s">
        <v>27</v>
      </c>
      <c r="G120" s="6" t="s">
        <v>27</v>
      </c>
      <c r="H120" s="3" t="e">
        <f>(1.96/SQRT(10000))*G120</f>
        <v>#VALUE!</v>
      </c>
      <c r="I120" s="3">
        <f t="shared" si="9"/>
        <v>1</v>
      </c>
      <c r="J120" s="3"/>
      <c r="K120" s="12"/>
      <c r="O120" s="3">
        <f>(1.96/SQRT(10000))*N120</f>
        <v>0</v>
      </c>
      <c r="P120" s="3">
        <f t="shared" si="12"/>
        <v>2</v>
      </c>
      <c r="Q120" s="6" t="s">
        <v>27</v>
      </c>
      <c r="R120" s="6" t="s">
        <v>27</v>
      </c>
      <c r="S120" s="3" t="e">
        <f>(1.96/SQRT(10000))*R120</f>
        <v>#VALUE!</v>
      </c>
      <c r="T120" s="3">
        <f t="shared" si="10"/>
        <v>1</v>
      </c>
      <c r="Y120" s="3">
        <f>(1.96/SQRT(10000))*X120</f>
        <v>0</v>
      </c>
      <c r="Z120" s="3">
        <f t="shared" si="13"/>
        <v>2</v>
      </c>
      <c r="AA120" s="6" t="s">
        <v>27</v>
      </c>
      <c r="AB120" s="6" t="s">
        <v>27</v>
      </c>
      <c r="AC120" s="3" t="e">
        <f>(1.96/SQRT(10000))*AB120</f>
        <v>#VALUE!</v>
      </c>
      <c r="AD120" s="3">
        <f t="shared" si="11"/>
        <v>1</v>
      </c>
    </row>
    <row r="121" spans="1:30" x14ac:dyDescent="0.3">
      <c r="A121" s="3" t="s">
        <v>7</v>
      </c>
      <c r="B121" s="3"/>
      <c r="D121" s="3">
        <f>(1.96/SQRT(10000))*C121</f>
        <v>0</v>
      </c>
      <c r="E121" s="3">
        <f>IF(B121&gt;F121, 1, 2)</f>
        <v>2</v>
      </c>
      <c r="F121" s="3" t="s">
        <v>27</v>
      </c>
      <c r="G121" s="6" t="s">
        <v>27</v>
      </c>
      <c r="H121" s="3" t="e">
        <f>(1.96/SQRT(10000))*G121</f>
        <v>#VALUE!</v>
      </c>
      <c r="I121" s="3">
        <f t="shared" si="9"/>
        <v>1</v>
      </c>
      <c r="J121" s="3"/>
      <c r="K121" s="12"/>
      <c r="M121" s="3"/>
      <c r="N121" s="3"/>
      <c r="O121" s="3">
        <f>(1.96/SQRT(10000))*N121</f>
        <v>0</v>
      </c>
      <c r="P121" s="3">
        <f t="shared" si="12"/>
        <v>2</v>
      </c>
      <c r="Q121" s="3" t="s">
        <v>27</v>
      </c>
      <c r="R121" s="3" t="s">
        <v>27</v>
      </c>
      <c r="S121" s="3" t="e">
        <f>(1.96/SQRT(10000))*R121</f>
        <v>#VALUE!</v>
      </c>
      <c r="T121" s="3">
        <f t="shared" si="10"/>
        <v>1</v>
      </c>
      <c r="W121" s="3"/>
      <c r="X121" s="3"/>
      <c r="Y121" s="3">
        <f>(1.96/SQRT(10000))*X121</f>
        <v>0</v>
      </c>
      <c r="Z121" s="3">
        <f t="shared" si="13"/>
        <v>2</v>
      </c>
      <c r="AA121" s="3" t="s">
        <v>27</v>
      </c>
      <c r="AB121" s="3" t="s">
        <v>27</v>
      </c>
      <c r="AC121" s="3" t="e">
        <f>(1.96/SQRT(10000))*AB121</f>
        <v>#VALUE!</v>
      </c>
      <c r="AD121" s="3">
        <f t="shared" si="11"/>
        <v>1</v>
      </c>
    </row>
    <row r="122" spans="1:30" x14ac:dyDescent="0.3">
      <c r="A122" s="12" t="s">
        <v>17</v>
      </c>
      <c r="B122" s="12"/>
      <c r="C122" s="15"/>
      <c r="D122" s="12">
        <f>(1.96/SQRT(10000))*C122</f>
        <v>0</v>
      </c>
      <c r="E122" s="12">
        <f>IF(B122&gt;F122, 1, 2)</f>
        <v>2</v>
      </c>
      <c r="F122" s="12" t="s">
        <v>27</v>
      </c>
      <c r="G122" s="15" t="s">
        <v>27</v>
      </c>
      <c r="H122" s="12" t="e">
        <f>(1.96/SQRT(10000))*G122</f>
        <v>#VALUE!</v>
      </c>
      <c r="I122" s="12">
        <f t="shared" si="9"/>
        <v>1</v>
      </c>
      <c r="J122" s="12"/>
      <c r="K122" s="12"/>
      <c r="L122" s="15"/>
      <c r="M122" s="12"/>
      <c r="N122" s="12"/>
      <c r="O122" s="12">
        <f>(1.96/SQRT(10000))*N122</f>
        <v>0</v>
      </c>
      <c r="P122" s="12">
        <f t="shared" si="12"/>
        <v>2</v>
      </c>
      <c r="Q122" s="12" t="s">
        <v>27</v>
      </c>
      <c r="R122" s="12" t="s">
        <v>27</v>
      </c>
      <c r="S122" s="12" t="e">
        <f>(1.96/SQRT(10000))*R122</f>
        <v>#VALUE!</v>
      </c>
      <c r="T122" s="12">
        <f t="shared" si="10"/>
        <v>1</v>
      </c>
      <c r="U122" s="15"/>
      <c r="V122" s="15"/>
      <c r="W122" s="12"/>
      <c r="X122" s="12"/>
      <c r="Y122" s="12">
        <f>(1.96/SQRT(10000))*X122</f>
        <v>0</v>
      </c>
      <c r="Z122" s="12">
        <f t="shared" si="13"/>
        <v>2</v>
      </c>
      <c r="AA122" s="12" t="s">
        <v>27</v>
      </c>
      <c r="AB122" s="12" t="s">
        <v>27</v>
      </c>
      <c r="AC122" s="12" t="e">
        <f>(1.96/SQRT(10000))*AB122</f>
        <v>#VALUE!</v>
      </c>
      <c r="AD122" s="12">
        <f t="shared" si="11"/>
        <v>1</v>
      </c>
    </row>
    <row r="123" spans="1:30" x14ac:dyDescent="0.3">
      <c r="B123" s="3"/>
      <c r="D123" s="3"/>
      <c r="E123" s="3"/>
      <c r="F123" s="3"/>
      <c r="H123" s="3"/>
      <c r="I123" s="3"/>
      <c r="J123" s="3"/>
      <c r="K123" s="12"/>
      <c r="M123" s="3"/>
      <c r="N123" s="3"/>
      <c r="O123" s="3"/>
      <c r="P123" s="3"/>
      <c r="Q123" s="3"/>
      <c r="R123" s="3"/>
      <c r="S123" s="3"/>
      <c r="T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3">
      <c r="A124" s="3"/>
      <c r="B124" s="3"/>
      <c r="D124" s="3" t="s">
        <v>8</v>
      </c>
      <c r="E124" s="3">
        <f>AVERAGE(E118:E122)</f>
        <v>2</v>
      </c>
      <c r="F124" s="3"/>
      <c r="H124" s="3" t="s">
        <v>8</v>
      </c>
      <c r="I124" s="3">
        <f>AVERAGE(I118:I122)</f>
        <v>1</v>
      </c>
      <c r="J124" s="3"/>
      <c r="K124" s="12"/>
      <c r="M124" s="3"/>
      <c r="N124" s="3"/>
      <c r="O124" s="3" t="s">
        <v>8</v>
      </c>
      <c r="P124" s="3">
        <f>AVERAGE(P118:P122)</f>
        <v>1.8</v>
      </c>
      <c r="Q124" s="3"/>
      <c r="R124" s="3"/>
      <c r="S124" s="3" t="s">
        <v>8</v>
      </c>
      <c r="T124" s="3">
        <f>AVERAGE(T118:T122)</f>
        <v>1.2</v>
      </c>
      <c r="W124" s="3"/>
      <c r="X124" s="3"/>
      <c r="Y124" s="3" t="s">
        <v>8</v>
      </c>
      <c r="Z124" s="3">
        <f>AVERAGE(Z118:Z122)</f>
        <v>1.8</v>
      </c>
      <c r="AA124" s="3"/>
      <c r="AB124" s="3"/>
      <c r="AC124" s="3" t="s">
        <v>8</v>
      </c>
      <c r="AD124" s="3">
        <f>AVERAGE(AD118:AD122)</f>
        <v>1.2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Heggan</dc:creator>
  <cp:lastModifiedBy>HEGGAN Calum</cp:lastModifiedBy>
  <dcterms:created xsi:type="dcterms:W3CDTF">2015-06-05T18:17:20Z</dcterms:created>
  <dcterms:modified xsi:type="dcterms:W3CDTF">2022-08-08T15:53:05Z</dcterms:modified>
</cp:coreProperties>
</file>