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cgiar-my.sharepoint.com/personal/p_steward_cgiar_org/Documents/Projects/AICCRA/AICCRA_EFA/Documents/"/>
    </mc:Choice>
  </mc:AlternateContent>
  <xr:revisionPtr revIDLastSave="150" documentId="13_ncr:1_{65DB0E83-1CF3-41B4-B75A-E65A3ECC901B}" xr6:coauthVersionLast="47" xr6:coauthVersionMax="47" xr10:uidLastSave="{8D3B8B96-DD9B-4ED6-AEA3-3DFB4DAA9A05}"/>
  <bookViews>
    <workbookView xWindow="-93" yWindow="-93" windowWidth="25786" windowHeight="13866" activeTab="6" xr2:uid="{00000000-000D-0000-FFFF-FFFF00000000}"/>
  </bookViews>
  <sheets>
    <sheet name="systems" sheetId="1" r:id="rId1"/>
    <sheet name="calcs" sheetId="2" r:id="rId2"/>
    <sheet name="inv crit" sheetId="4" r:id="rId3"/>
    <sheet name="CIS" sheetId="3" r:id="rId4"/>
    <sheet name="CIS example" sheetId="5" r:id="rId5"/>
    <sheet name="Sheet1" sheetId="6" r:id="rId6"/>
    <sheet name="Jun22 Revision" sheetId="7" r:id="rId7"/>
    <sheet name="Jun22 Note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 i="7" l="1"/>
  <c r="K8" i="7"/>
  <c r="J7" i="7"/>
  <c r="K6" i="7"/>
  <c r="K4" i="7"/>
  <c r="R4" i="7"/>
  <c r="H8" i="7"/>
  <c r="Y28" i="4"/>
  <c r="Y27" i="4"/>
  <c r="S16" i="7"/>
  <c r="W15" i="7"/>
  <c r="W13" i="7"/>
  <c r="W12" i="7"/>
  <c r="W11" i="7"/>
  <c r="W10" i="7"/>
  <c r="W9" i="7"/>
  <c r="W8" i="7"/>
  <c r="W7" i="7"/>
  <c r="W6" i="7"/>
  <c r="W5" i="7"/>
  <c r="W4" i="7"/>
  <c r="W3" i="7"/>
  <c r="U16" i="7"/>
  <c r="S15" i="7"/>
  <c r="U15" i="7"/>
  <c r="U4" i="7"/>
  <c r="S17" i="7"/>
  <c r="R5" i="7"/>
  <c r="T4" i="7"/>
  <c r="O4" i="7"/>
  <c r="S4" i="7"/>
  <c r="U6" i="7"/>
  <c r="O12" i="7" l="1"/>
  <c r="O11" i="7"/>
  <c r="O10" i="7"/>
  <c r="O9" i="7"/>
  <c r="O8" i="7"/>
  <c r="O7" i="7"/>
  <c r="O6" i="7"/>
  <c r="O5" i="7"/>
  <c r="K3" i="7"/>
  <c r="J3" i="7"/>
  <c r="H9" i="7"/>
  <c r="H3" i="7" l="1"/>
  <c r="F3" i="7"/>
  <c r="D3" i="7"/>
  <c r="H12" i="4" l="1"/>
  <c r="H5" i="4"/>
  <c r="M4" i="7" l="1"/>
  <c r="Q4" i="7" s="1"/>
  <c r="G3" i="7"/>
  <c r="E3" i="7"/>
  <c r="F4" i="6"/>
  <c r="I3" i="7" l="1"/>
  <c r="J4" i="7"/>
  <c r="M5" i="7" s="1"/>
  <c r="J5" i="7" s="1"/>
  <c r="I9" i="7"/>
  <c r="I8" i="7"/>
  <c r="I7" i="7"/>
  <c r="I6" i="7"/>
  <c r="I5" i="7"/>
  <c r="I4" i="7"/>
  <c r="L11" i="7"/>
  <c r="L6" i="7"/>
  <c r="L5" i="7"/>
  <c r="L4" i="7"/>
  <c r="L13" i="7"/>
  <c r="L12" i="7"/>
  <c r="L10" i="7"/>
  <c r="L9" i="7"/>
  <c r="L8" i="7"/>
  <c r="L7" i="7"/>
  <c r="I11" i="7"/>
  <c r="I12" i="7"/>
  <c r="I13" i="7"/>
  <c r="I10" i="7"/>
  <c r="N6" i="4"/>
  <c r="J4" i="3"/>
  <c r="F5" i="4"/>
  <c r="D5" i="4"/>
  <c r="C5" i="5"/>
  <c r="G3" i="5"/>
  <c r="E3" i="5"/>
  <c r="F14" i="5"/>
  <c r="E14" i="5"/>
  <c r="F13" i="5"/>
  <c r="F12" i="5"/>
  <c r="F11" i="5"/>
  <c r="F10" i="5"/>
  <c r="F9" i="5"/>
  <c r="F8" i="5"/>
  <c r="F7" i="5"/>
  <c r="F6" i="5"/>
  <c r="F5" i="5"/>
  <c r="F4" i="5"/>
  <c r="F3" i="5"/>
  <c r="E13" i="5"/>
  <c r="E12" i="5"/>
  <c r="E11" i="5"/>
  <c r="E10" i="5"/>
  <c r="E9" i="5"/>
  <c r="E8" i="5"/>
  <c r="E7" i="5"/>
  <c r="E6" i="5"/>
  <c r="E5" i="5"/>
  <c r="E4" i="5"/>
  <c r="B5" i="5"/>
  <c r="Q45" i="5"/>
  <c r="N2" i="3"/>
  <c r="M6" i="7" l="1"/>
  <c r="R6" i="7" s="1"/>
  <c r="K5" i="7"/>
  <c r="Q5" i="7"/>
  <c r="E5" i="4"/>
  <c r="J6" i="4"/>
  <c r="W6" i="4"/>
  <c r="E15" i="5"/>
  <c r="G4" i="5"/>
  <c r="G6" i="5"/>
  <c r="G5" i="5"/>
  <c r="O12" i="3"/>
  <c r="O11" i="3"/>
  <c r="O10" i="3"/>
  <c r="O9" i="3"/>
  <c r="O8" i="3"/>
  <c r="O7" i="3"/>
  <c r="O6" i="3"/>
  <c r="O5" i="3"/>
  <c r="O4" i="3"/>
  <c r="O3" i="3"/>
  <c r="O2" i="3"/>
  <c r="N5" i="7" l="1"/>
  <c r="S5" i="7" s="1"/>
  <c r="T5" i="7" s="1"/>
  <c r="U5" i="7" s="1"/>
  <c r="N6" i="7"/>
  <c r="J6" i="7"/>
  <c r="Q6" i="7"/>
  <c r="N7" i="4"/>
  <c r="G15" i="5"/>
  <c r="G16" i="5" s="1"/>
  <c r="M7" i="7" l="1"/>
  <c r="R7" i="7" s="1"/>
  <c r="S6" i="7"/>
  <c r="T6" i="7" s="1"/>
  <c r="N12" i="3"/>
  <c r="N11" i="3"/>
  <c r="N10" i="3"/>
  <c r="N9" i="3"/>
  <c r="N8" i="3"/>
  <c r="N7" i="3"/>
  <c r="N6" i="3"/>
  <c r="N5" i="3"/>
  <c r="P5" i="3" s="1"/>
  <c r="N4" i="3"/>
  <c r="P4" i="3" s="1"/>
  <c r="N3" i="3"/>
  <c r="P3" i="3" s="1"/>
  <c r="K12" i="3"/>
  <c r="K11" i="3"/>
  <c r="K10" i="3"/>
  <c r="K9" i="3"/>
  <c r="K8" i="3"/>
  <c r="K7" i="3"/>
  <c r="K6" i="3"/>
  <c r="K5" i="3"/>
  <c r="K4" i="3"/>
  <c r="K3" i="3"/>
  <c r="K2" i="3"/>
  <c r="J12" i="3"/>
  <c r="J11" i="3"/>
  <c r="J10" i="3"/>
  <c r="J9" i="3"/>
  <c r="J8" i="3"/>
  <c r="J7" i="3"/>
  <c r="J6" i="3"/>
  <c r="J5" i="3"/>
  <c r="J3" i="3"/>
  <c r="J2" i="3"/>
  <c r="Q363" i="2"/>
  <c r="Q358" i="2"/>
  <c r="Q351" i="2"/>
  <c r="Q350" i="2"/>
  <c r="Q346" i="2"/>
  <c r="Q345" i="2"/>
  <c r="Q335" i="2"/>
  <c r="Q330" i="2"/>
  <c r="Q323" i="2"/>
  <c r="Q322" i="2"/>
  <c r="Q318" i="2"/>
  <c r="Q317" i="2"/>
  <c r="Q307" i="2"/>
  <c r="Q302" i="2"/>
  <c r="Q295" i="2"/>
  <c r="Q294" i="2"/>
  <c r="Q290" i="2"/>
  <c r="Q289" i="2"/>
  <c r="Q279" i="2"/>
  <c r="Q274" i="2"/>
  <c r="Q267" i="2"/>
  <c r="Q266" i="2"/>
  <c r="Q262" i="2"/>
  <c r="Q261" i="2"/>
  <c r="Q251" i="2"/>
  <c r="Q246" i="2"/>
  <c r="Q239" i="2"/>
  <c r="Q238" i="2"/>
  <c r="Q234" i="2"/>
  <c r="Q233" i="2"/>
  <c r="Q195" i="2"/>
  <c r="Q190" i="2"/>
  <c r="Q183" i="2"/>
  <c r="Q178" i="2"/>
  <c r="Q167" i="2"/>
  <c r="Q162" i="2"/>
  <c r="Q155" i="2"/>
  <c r="Q150" i="2"/>
  <c r="Q111" i="2"/>
  <c r="Q106" i="2"/>
  <c r="Q99" i="2"/>
  <c r="Q94" i="2"/>
  <c r="Q98" i="2"/>
  <c r="Q93" i="2"/>
  <c r="Q182" i="2"/>
  <c r="Q177" i="2"/>
  <c r="Q154" i="2"/>
  <c r="Q149" i="2"/>
  <c r="M22" i="3"/>
  <c r="N7" i="7" l="1"/>
  <c r="Q7" i="7"/>
  <c r="Q365" i="2"/>
  <c r="Q253" i="2"/>
  <c r="Q309" i="2"/>
  <c r="Q281" i="2"/>
  <c r="Q337" i="2"/>
  <c r="O13" i="3"/>
  <c r="Q197" i="2"/>
  <c r="Q113" i="2"/>
  <c r="Q169" i="2"/>
  <c r="L12" i="3"/>
  <c r="L11" i="3"/>
  <c r="L10" i="3"/>
  <c r="L9" i="3"/>
  <c r="L8" i="3"/>
  <c r="L7" i="3"/>
  <c r="L6" i="3"/>
  <c r="L5" i="3"/>
  <c r="L4" i="3"/>
  <c r="L3" i="3"/>
  <c r="L2" i="3"/>
  <c r="AI348" i="2"/>
  <c r="AI346" i="2"/>
  <c r="AI344" i="2"/>
  <c r="AI342" i="2"/>
  <c r="AH350" i="2"/>
  <c r="AG350" i="2"/>
  <c r="AF350" i="2"/>
  <c r="AE350" i="2"/>
  <c r="AD350" i="2"/>
  <c r="AC350" i="2"/>
  <c r="E11" i="3"/>
  <c r="E10" i="3"/>
  <c r="E9" i="3"/>
  <c r="E8" i="3"/>
  <c r="E7" i="3"/>
  <c r="E6" i="3"/>
  <c r="E5" i="3"/>
  <c r="E4" i="3"/>
  <c r="E3" i="3"/>
  <c r="E2" i="3"/>
  <c r="B14" i="3"/>
  <c r="B16" i="3" s="1"/>
  <c r="S279" i="2"/>
  <c r="S274" i="2"/>
  <c r="S267" i="2"/>
  <c r="S266" i="2"/>
  <c r="S262" i="2"/>
  <c r="S261" i="2"/>
  <c r="S251" i="2"/>
  <c r="S246" i="2"/>
  <c r="S239" i="2"/>
  <c r="S238" i="2"/>
  <c r="S234" i="2"/>
  <c r="S233" i="2"/>
  <c r="Q83" i="2"/>
  <c r="S83" i="2" s="1"/>
  <c r="Q78" i="2"/>
  <c r="S78" i="2" s="1"/>
  <c r="Q71" i="2"/>
  <c r="S71" i="2" s="1"/>
  <c r="Q70" i="2"/>
  <c r="S70" i="2" s="1"/>
  <c r="Q66" i="2"/>
  <c r="S66" i="2" s="1"/>
  <c r="S85" i="2" s="1"/>
  <c r="Q65" i="2"/>
  <c r="S65" i="2" s="1"/>
  <c r="S134" i="2"/>
  <c r="S127" i="2"/>
  <c r="Q139" i="2"/>
  <c r="S139" i="2" s="1"/>
  <c r="Q134" i="2"/>
  <c r="Q127" i="2"/>
  <c r="Q126" i="2"/>
  <c r="S126" i="2" s="1"/>
  <c r="Q121" i="2"/>
  <c r="S121" i="2" s="1"/>
  <c r="S141" i="2" s="1"/>
  <c r="Q122" i="2"/>
  <c r="S122" i="2" s="1"/>
  <c r="K114" i="2"/>
  <c r="I365" i="2"/>
  <c r="H365" i="2"/>
  <c r="G365" i="2"/>
  <c r="F365" i="2"/>
  <c r="E365" i="2"/>
  <c r="D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I337" i="2"/>
  <c r="H337" i="2"/>
  <c r="G337" i="2"/>
  <c r="F337" i="2"/>
  <c r="E337" i="2"/>
  <c r="D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I309" i="2"/>
  <c r="H309" i="2"/>
  <c r="G309" i="2"/>
  <c r="F309" i="2"/>
  <c r="E309" i="2"/>
  <c r="D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I281" i="2"/>
  <c r="H281" i="2"/>
  <c r="G281" i="2"/>
  <c r="F281" i="2"/>
  <c r="E281" i="2"/>
  <c r="D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I253" i="2"/>
  <c r="H253" i="2"/>
  <c r="G253" i="2"/>
  <c r="F253" i="2"/>
  <c r="E253" i="2"/>
  <c r="D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I225" i="2"/>
  <c r="H225" i="2"/>
  <c r="G225" i="2"/>
  <c r="F225" i="2"/>
  <c r="E225" i="2"/>
  <c r="D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I197" i="2"/>
  <c r="H197" i="2"/>
  <c r="G197" i="2"/>
  <c r="F197" i="2"/>
  <c r="E197" i="2"/>
  <c r="D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I169" i="2"/>
  <c r="H169" i="2"/>
  <c r="G169" i="2"/>
  <c r="F169" i="2"/>
  <c r="E169" i="2"/>
  <c r="D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I141" i="2"/>
  <c r="H141" i="2"/>
  <c r="G141" i="2"/>
  <c r="F141" i="2"/>
  <c r="E141" i="2"/>
  <c r="D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I113" i="2"/>
  <c r="H113" i="2"/>
  <c r="G113" i="2"/>
  <c r="F113" i="2"/>
  <c r="E113" i="2"/>
  <c r="D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I85" i="2"/>
  <c r="H85" i="2"/>
  <c r="G85" i="2"/>
  <c r="F85" i="2"/>
  <c r="E85" i="2"/>
  <c r="D85" i="2"/>
  <c r="J84" i="2"/>
  <c r="J83" i="2"/>
  <c r="J82" i="2"/>
  <c r="J81" i="2"/>
  <c r="J80" i="2"/>
  <c r="J79" i="2"/>
  <c r="J78" i="2"/>
  <c r="J77" i="2"/>
  <c r="J76" i="2"/>
  <c r="J75" i="2"/>
  <c r="J74" i="2"/>
  <c r="J73" i="2"/>
  <c r="J72" i="2"/>
  <c r="J71" i="2"/>
  <c r="J70" i="2"/>
  <c r="J69" i="2"/>
  <c r="J68" i="2"/>
  <c r="J67" i="2"/>
  <c r="J66" i="2"/>
  <c r="J65" i="2"/>
  <c r="J64" i="2"/>
  <c r="J63" i="2"/>
  <c r="J62" i="2"/>
  <c r="J61" i="2"/>
  <c r="J60" i="2"/>
  <c r="J59" i="2"/>
  <c r="I57" i="2"/>
  <c r="H57" i="2"/>
  <c r="G57" i="2"/>
  <c r="F57" i="2"/>
  <c r="E57" i="2"/>
  <c r="D57" i="2"/>
  <c r="J56" i="2"/>
  <c r="J55" i="2"/>
  <c r="J54" i="2"/>
  <c r="J53" i="2"/>
  <c r="J52" i="2"/>
  <c r="J51" i="2"/>
  <c r="J50" i="2"/>
  <c r="J49" i="2"/>
  <c r="J48" i="2"/>
  <c r="J47" i="2"/>
  <c r="J46" i="2"/>
  <c r="J45" i="2"/>
  <c r="J44" i="2"/>
  <c r="J43" i="2"/>
  <c r="J42" i="2"/>
  <c r="J41" i="2"/>
  <c r="J40" i="2"/>
  <c r="J39" i="2"/>
  <c r="J38" i="2"/>
  <c r="J37" i="2"/>
  <c r="J36" i="2"/>
  <c r="J35" i="2"/>
  <c r="J34" i="2"/>
  <c r="J33" i="2"/>
  <c r="J32" i="2"/>
  <c r="J31" i="2"/>
  <c r="I29" i="2"/>
  <c r="H29" i="2"/>
  <c r="G29" i="2"/>
  <c r="F29" i="2"/>
  <c r="E29" i="2"/>
  <c r="D29" i="2"/>
  <c r="J28" i="2"/>
  <c r="J27" i="2"/>
  <c r="J26" i="2"/>
  <c r="J25" i="2"/>
  <c r="J24" i="2"/>
  <c r="J23" i="2"/>
  <c r="J22" i="2"/>
  <c r="J21" i="2"/>
  <c r="J20" i="2"/>
  <c r="J19" i="2"/>
  <c r="J18" i="2"/>
  <c r="J17" i="2"/>
  <c r="J16" i="2"/>
  <c r="J15" i="2"/>
  <c r="J14" i="2"/>
  <c r="J13" i="2"/>
  <c r="J12" i="2"/>
  <c r="J11" i="2"/>
  <c r="J10" i="2"/>
  <c r="J9" i="2"/>
  <c r="J8" i="2"/>
  <c r="J7" i="2"/>
  <c r="J6" i="2"/>
  <c r="J5" i="2"/>
  <c r="J4" i="2"/>
  <c r="J3" i="2"/>
  <c r="N7" i="1"/>
  <c r="N6" i="1"/>
  <c r="N5" i="1"/>
  <c r="J9" i="1"/>
  <c r="J10" i="1"/>
  <c r="J14" i="1"/>
  <c r="J15" i="1"/>
  <c r="J22" i="1"/>
  <c r="J27" i="1"/>
  <c r="K7" i="7" l="1"/>
  <c r="S7" i="7" s="1"/>
  <c r="T7" i="7" s="1"/>
  <c r="U7" i="7" s="1"/>
  <c r="M8" i="7"/>
  <c r="R8" i="7" s="1"/>
  <c r="E14" i="3"/>
  <c r="AI350" i="2"/>
  <c r="E13" i="3"/>
  <c r="E16" i="3" s="1"/>
  <c r="Y65" i="2"/>
  <c r="Y78" i="2"/>
  <c r="Y66" i="2"/>
  <c r="Y83" i="2"/>
  <c r="M7" i="3"/>
  <c r="Y70" i="2"/>
  <c r="Y71" i="2"/>
  <c r="S281" i="2"/>
  <c r="S253" i="2"/>
  <c r="Q85" i="2"/>
  <c r="J337" i="2"/>
  <c r="Q141" i="2"/>
  <c r="J113" i="2"/>
  <c r="J29" i="2"/>
  <c r="J141" i="2"/>
  <c r="J225" i="2"/>
  <c r="J253" i="2"/>
  <c r="J365" i="2"/>
  <c r="J169" i="2"/>
  <c r="J57" i="2"/>
  <c r="J85" i="2"/>
  <c r="J197" i="2"/>
  <c r="J281" i="2"/>
  <c r="J309" i="2"/>
  <c r="O394" i="1"/>
  <c r="K364" i="2" s="1"/>
  <c r="U364" i="2" s="1"/>
  <c r="O393" i="1"/>
  <c r="K363" i="2" s="1"/>
  <c r="L363" i="2" s="1"/>
  <c r="O392" i="1"/>
  <c r="K362" i="2" s="1"/>
  <c r="L362" i="2" s="1"/>
  <c r="U362" i="2" s="1"/>
  <c r="O391" i="1"/>
  <c r="K361" i="2" s="1"/>
  <c r="L361" i="2" s="1"/>
  <c r="O390" i="1"/>
  <c r="K360" i="2" s="1"/>
  <c r="U360" i="2" s="1"/>
  <c r="O389" i="1"/>
  <c r="K359" i="2" s="1"/>
  <c r="U359" i="2" s="1"/>
  <c r="O388" i="1"/>
  <c r="K358" i="2" s="1"/>
  <c r="L358" i="2" s="1"/>
  <c r="O387" i="1"/>
  <c r="K357" i="2" s="1"/>
  <c r="L357" i="2" s="1"/>
  <c r="O386" i="1"/>
  <c r="K356" i="2" s="1"/>
  <c r="U356" i="2" s="1"/>
  <c r="O385" i="1"/>
  <c r="K355" i="2" s="1"/>
  <c r="U355" i="2" s="1"/>
  <c r="O384" i="1"/>
  <c r="K354" i="2" s="1"/>
  <c r="U354" i="2" s="1"/>
  <c r="O383" i="1"/>
  <c r="K353" i="2" s="1"/>
  <c r="U353" i="2" s="1"/>
  <c r="O382" i="1"/>
  <c r="K352" i="2" s="1"/>
  <c r="U352" i="2" s="1"/>
  <c r="O381" i="1"/>
  <c r="K351" i="2" s="1"/>
  <c r="L351" i="2" s="1"/>
  <c r="O380" i="1"/>
  <c r="K350" i="2" s="1"/>
  <c r="L350" i="2" s="1"/>
  <c r="O379" i="1"/>
  <c r="K349" i="2" s="1"/>
  <c r="U349" i="2" s="1"/>
  <c r="O378" i="1"/>
  <c r="K348" i="2" s="1"/>
  <c r="U348" i="2" s="1"/>
  <c r="O377" i="1"/>
  <c r="K347" i="2" s="1"/>
  <c r="U347" i="2" s="1"/>
  <c r="O376" i="1"/>
  <c r="K346" i="2" s="1"/>
  <c r="L346" i="2" s="1"/>
  <c r="O375" i="1"/>
  <c r="K345" i="2" s="1"/>
  <c r="L345" i="2" s="1"/>
  <c r="O374" i="1"/>
  <c r="K344" i="2" s="1"/>
  <c r="U344" i="2" s="1"/>
  <c r="O373" i="1"/>
  <c r="K343" i="2" s="1"/>
  <c r="U343" i="2" s="1"/>
  <c r="O372" i="1"/>
  <c r="K342" i="2" s="1"/>
  <c r="U342" i="2" s="1"/>
  <c r="O371" i="1"/>
  <c r="K341" i="2" s="1"/>
  <c r="U341" i="2" s="1"/>
  <c r="O370" i="1"/>
  <c r="K340" i="2" s="1"/>
  <c r="U340" i="2" s="1"/>
  <c r="O369" i="1"/>
  <c r="K339" i="2" s="1"/>
  <c r="N395" i="1"/>
  <c r="M395" i="1"/>
  <c r="L395" i="1"/>
  <c r="K395" i="1"/>
  <c r="J395" i="1"/>
  <c r="I395" i="1"/>
  <c r="H395" i="1"/>
  <c r="G395" i="1"/>
  <c r="F395" i="1"/>
  <c r="E395" i="1"/>
  <c r="D395" i="1"/>
  <c r="N367" i="1"/>
  <c r="M367" i="1"/>
  <c r="L367" i="1"/>
  <c r="K367" i="1"/>
  <c r="J367" i="1"/>
  <c r="I367" i="1"/>
  <c r="H367" i="1"/>
  <c r="G367" i="1"/>
  <c r="F367" i="1"/>
  <c r="E367" i="1"/>
  <c r="D367" i="1"/>
  <c r="N339" i="1"/>
  <c r="M339" i="1"/>
  <c r="L339" i="1"/>
  <c r="K339" i="1"/>
  <c r="J339" i="1"/>
  <c r="I339" i="1"/>
  <c r="H339" i="1"/>
  <c r="G339" i="1"/>
  <c r="F339" i="1"/>
  <c r="E339" i="1"/>
  <c r="D339" i="1"/>
  <c r="N311" i="1"/>
  <c r="M311" i="1"/>
  <c r="L311" i="1"/>
  <c r="K311" i="1"/>
  <c r="J311" i="1"/>
  <c r="I311" i="1"/>
  <c r="H311" i="1"/>
  <c r="G311" i="1"/>
  <c r="F311" i="1"/>
  <c r="E311" i="1"/>
  <c r="D311" i="1"/>
  <c r="N283" i="1"/>
  <c r="M283" i="1"/>
  <c r="L283" i="1"/>
  <c r="K283" i="1"/>
  <c r="J283" i="1"/>
  <c r="I283" i="1"/>
  <c r="H283" i="1"/>
  <c r="G283" i="1"/>
  <c r="F283" i="1"/>
  <c r="E283" i="1"/>
  <c r="D283" i="1"/>
  <c r="N8" i="7" l="1"/>
  <c r="Q8" i="7"/>
  <c r="J8" i="7"/>
  <c r="L352" i="2"/>
  <c r="U361" i="2"/>
  <c r="L349" i="2"/>
  <c r="O395" i="1"/>
  <c r="K365" i="2" s="1"/>
  <c r="L365" i="2" s="1"/>
  <c r="L348" i="2"/>
  <c r="L355" i="2"/>
  <c r="U357" i="2"/>
  <c r="L364" i="2"/>
  <c r="L344" i="2"/>
  <c r="L343" i="2"/>
  <c r="L347" i="2"/>
  <c r="L360" i="2"/>
  <c r="L341" i="2"/>
  <c r="L340" i="2"/>
  <c r="L339" i="2"/>
  <c r="U339" i="2" s="1"/>
  <c r="U365" i="2" s="1"/>
  <c r="D21" i="3" s="1"/>
  <c r="M39" i="3" s="1"/>
  <c r="L342" i="2"/>
  <c r="L359" i="2"/>
  <c r="L353" i="2"/>
  <c r="L356" i="2"/>
  <c r="L354" i="2"/>
  <c r="S367" i="2"/>
  <c r="O367" i="1"/>
  <c r="K337" i="2" s="1"/>
  <c r="L337" i="2" s="1"/>
  <c r="O366" i="1"/>
  <c r="K336" i="2" s="1"/>
  <c r="O365" i="1"/>
  <c r="K335" i="2" s="1"/>
  <c r="L335" i="2" s="1"/>
  <c r="O364" i="1"/>
  <c r="K334" i="2" s="1"/>
  <c r="O363" i="1"/>
  <c r="K333" i="2" s="1"/>
  <c r="O362" i="1"/>
  <c r="K332" i="2" s="1"/>
  <c r="O361" i="1"/>
  <c r="K331" i="2" s="1"/>
  <c r="O360" i="1"/>
  <c r="K330" i="2" s="1"/>
  <c r="L330" i="2" s="1"/>
  <c r="O359" i="1"/>
  <c r="K329" i="2" s="1"/>
  <c r="O358" i="1"/>
  <c r="K328" i="2" s="1"/>
  <c r="O357" i="1"/>
  <c r="K327" i="2" s="1"/>
  <c r="O356" i="1"/>
  <c r="K326" i="2" s="1"/>
  <c r="O355" i="1"/>
  <c r="K325" i="2" s="1"/>
  <c r="O354" i="1"/>
  <c r="K324" i="2" s="1"/>
  <c r="O353" i="1"/>
  <c r="K323" i="2" s="1"/>
  <c r="L323" i="2" s="1"/>
  <c r="O352" i="1"/>
  <c r="K322" i="2" s="1"/>
  <c r="L322" i="2" s="1"/>
  <c r="O351" i="1"/>
  <c r="K321" i="2" s="1"/>
  <c r="O350" i="1"/>
  <c r="K320" i="2" s="1"/>
  <c r="O349" i="1"/>
  <c r="K319" i="2" s="1"/>
  <c r="O348" i="1"/>
  <c r="K318" i="2" s="1"/>
  <c r="L318" i="2" s="1"/>
  <c r="O347" i="1"/>
  <c r="K317" i="2" s="1"/>
  <c r="L317" i="2" s="1"/>
  <c r="O346" i="1"/>
  <c r="K316" i="2" s="1"/>
  <c r="O345" i="1"/>
  <c r="K315" i="2" s="1"/>
  <c r="O344" i="1"/>
  <c r="K314" i="2" s="1"/>
  <c r="O343" i="1"/>
  <c r="K313" i="2" s="1"/>
  <c r="O342" i="1"/>
  <c r="K312" i="2" s="1"/>
  <c r="O341" i="1"/>
  <c r="K311" i="2" s="1"/>
  <c r="O339" i="1"/>
  <c r="K309" i="2" s="1"/>
  <c r="L309" i="2" s="1"/>
  <c r="O338" i="1"/>
  <c r="K308" i="2" s="1"/>
  <c r="O337" i="1"/>
  <c r="K307" i="2" s="1"/>
  <c r="L307" i="2" s="1"/>
  <c r="O336" i="1"/>
  <c r="K306" i="2" s="1"/>
  <c r="O335" i="1"/>
  <c r="K305" i="2" s="1"/>
  <c r="O334" i="1"/>
  <c r="K304" i="2" s="1"/>
  <c r="O333" i="1"/>
  <c r="K303" i="2" s="1"/>
  <c r="O332" i="1"/>
  <c r="K302" i="2" s="1"/>
  <c r="L302" i="2" s="1"/>
  <c r="O331" i="1"/>
  <c r="K301" i="2" s="1"/>
  <c r="O330" i="1"/>
  <c r="K300" i="2" s="1"/>
  <c r="O329" i="1"/>
  <c r="K299" i="2" s="1"/>
  <c r="O328" i="1"/>
  <c r="K298" i="2" s="1"/>
  <c r="O327" i="1"/>
  <c r="K297" i="2" s="1"/>
  <c r="O326" i="1"/>
  <c r="K296" i="2" s="1"/>
  <c r="O325" i="1"/>
  <c r="K295" i="2" s="1"/>
  <c r="L295" i="2" s="1"/>
  <c r="O324" i="1"/>
  <c r="K294" i="2" s="1"/>
  <c r="L294" i="2" s="1"/>
  <c r="O323" i="1"/>
  <c r="K293" i="2" s="1"/>
  <c r="O322" i="1"/>
  <c r="K292" i="2" s="1"/>
  <c r="O321" i="1"/>
  <c r="K291" i="2" s="1"/>
  <c r="O320" i="1"/>
  <c r="K290" i="2" s="1"/>
  <c r="L290" i="2" s="1"/>
  <c r="O319" i="1"/>
  <c r="K289" i="2" s="1"/>
  <c r="L289" i="2" s="1"/>
  <c r="O318" i="1"/>
  <c r="K288" i="2" s="1"/>
  <c r="O317" i="1"/>
  <c r="K287" i="2" s="1"/>
  <c r="O316" i="1"/>
  <c r="K286" i="2" s="1"/>
  <c r="O315" i="1"/>
  <c r="K285" i="2" s="1"/>
  <c r="O314" i="1"/>
  <c r="K284" i="2" s="1"/>
  <c r="O313" i="1"/>
  <c r="K283" i="2" s="1"/>
  <c r="O311" i="1"/>
  <c r="K281" i="2" s="1"/>
  <c r="L281" i="2" s="1"/>
  <c r="O310" i="1"/>
  <c r="K280" i="2" s="1"/>
  <c r="O309" i="1"/>
  <c r="K279" i="2" s="1"/>
  <c r="L279" i="2" s="1"/>
  <c r="O308" i="1"/>
  <c r="K278" i="2" s="1"/>
  <c r="O307" i="1"/>
  <c r="K277" i="2" s="1"/>
  <c r="O306" i="1"/>
  <c r="K276" i="2" s="1"/>
  <c r="O305" i="1"/>
  <c r="K275" i="2" s="1"/>
  <c r="O304" i="1"/>
  <c r="K274" i="2" s="1"/>
  <c r="L274" i="2" s="1"/>
  <c r="O303" i="1"/>
  <c r="K273" i="2" s="1"/>
  <c r="O302" i="1"/>
  <c r="K272" i="2" s="1"/>
  <c r="O301" i="1"/>
  <c r="K271" i="2" s="1"/>
  <c r="O300" i="1"/>
  <c r="K270" i="2" s="1"/>
  <c r="O299" i="1"/>
  <c r="K269" i="2" s="1"/>
  <c r="O298" i="1"/>
  <c r="K268" i="2" s="1"/>
  <c r="O297" i="1"/>
  <c r="K267" i="2" s="1"/>
  <c r="L267" i="2" s="1"/>
  <c r="O296" i="1"/>
  <c r="K266" i="2" s="1"/>
  <c r="L266" i="2" s="1"/>
  <c r="O295" i="1"/>
  <c r="K265" i="2" s="1"/>
  <c r="O294" i="1"/>
  <c r="K264" i="2" s="1"/>
  <c r="O293" i="1"/>
  <c r="K263" i="2" s="1"/>
  <c r="O292" i="1"/>
  <c r="K262" i="2" s="1"/>
  <c r="L262" i="2" s="1"/>
  <c r="O291" i="1"/>
  <c r="K261" i="2" s="1"/>
  <c r="L261" i="2" s="1"/>
  <c r="O290" i="1"/>
  <c r="K260" i="2" s="1"/>
  <c r="O289" i="1"/>
  <c r="K259" i="2" s="1"/>
  <c r="O288" i="1"/>
  <c r="K258" i="2" s="1"/>
  <c r="O287" i="1"/>
  <c r="K257" i="2" s="1"/>
  <c r="O286" i="1"/>
  <c r="K256" i="2" s="1"/>
  <c r="O285" i="1"/>
  <c r="K255" i="2" s="1"/>
  <c r="O283" i="1"/>
  <c r="K253" i="2" s="1"/>
  <c r="L253" i="2" s="1"/>
  <c r="O282" i="1"/>
  <c r="K252" i="2" s="1"/>
  <c r="O281" i="1"/>
  <c r="K251" i="2" s="1"/>
  <c r="L251" i="2" s="1"/>
  <c r="O280" i="1"/>
  <c r="K250" i="2" s="1"/>
  <c r="O279" i="1"/>
  <c r="K249" i="2" s="1"/>
  <c r="O278" i="1"/>
  <c r="K248" i="2" s="1"/>
  <c r="O277" i="1"/>
  <c r="K247" i="2" s="1"/>
  <c r="O276" i="1"/>
  <c r="K246" i="2" s="1"/>
  <c r="L246" i="2" s="1"/>
  <c r="O275" i="1"/>
  <c r="K245" i="2" s="1"/>
  <c r="O274" i="1"/>
  <c r="K244" i="2" s="1"/>
  <c r="O273" i="1"/>
  <c r="K243" i="2" s="1"/>
  <c r="O272" i="1"/>
  <c r="K242" i="2" s="1"/>
  <c r="O271" i="1"/>
  <c r="K241" i="2" s="1"/>
  <c r="O270" i="1"/>
  <c r="K240" i="2" s="1"/>
  <c r="O269" i="1"/>
  <c r="K239" i="2" s="1"/>
  <c r="L239" i="2" s="1"/>
  <c r="O268" i="1"/>
  <c r="K238" i="2" s="1"/>
  <c r="L238" i="2" s="1"/>
  <c r="O267" i="1"/>
  <c r="K237" i="2" s="1"/>
  <c r="O266" i="1"/>
  <c r="K236" i="2" s="1"/>
  <c r="O265" i="1"/>
  <c r="K235" i="2" s="1"/>
  <c r="O264" i="1"/>
  <c r="K234" i="2" s="1"/>
  <c r="L234" i="2" s="1"/>
  <c r="O263" i="1"/>
  <c r="K233" i="2" s="1"/>
  <c r="L233" i="2" s="1"/>
  <c r="O262" i="1"/>
  <c r="K232" i="2" s="1"/>
  <c r="O261" i="1"/>
  <c r="K231" i="2" s="1"/>
  <c r="O260" i="1"/>
  <c r="K230" i="2" s="1"/>
  <c r="O259" i="1"/>
  <c r="K229" i="2" s="1"/>
  <c r="O258" i="1"/>
  <c r="K228" i="2" s="1"/>
  <c r="O257" i="1"/>
  <c r="K227" i="2" s="1"/>
  <c r="O254" i="1"/>
  <c r="K224" i="2" s="1"/>
  <c r="L224" i="2" s="1"/>
  <c r="O253" i="1"/>
  <c r="K223" i="2" s="1"/>
  <c r="L223" i="2" s="1"/>
  <c r="O252" i="1"/>
  <c r="K222" i="2" s="1"/>
  <c r="L222" i="2" s="1"/>
  <c r="O251" i="1"/>
  <c r="K221" i="2" s="1"/>
  <c r="L221" i="2" s="1"/>
  <c r="O250" i="1"/>
  <c r="K220" i="2" s="1"/>
  <c r="L220" i="2" s="1"/>
  <c r="O249" i="1"/>
  <c r="K219" i="2" s="1"/>
  <c r="L219" i="2" s="1"/>
  <c r="O248" i="1"/>
  <c r="K218" i="2" s="1"/>
  <c r="L218" i="2" s="1"/>
  <c r="O247" i="1"/>
  <c r="K217" i="2" s="1"/>
  <c r="L217" i="2" s="1"/>
  <c r="O246" i="1"/>
  <c r="K216" i="2" s="1"/>
  <c r="L216" i="2" s="1"/>
  <c r="O245" i="1"/>
  <c r="K215" i="2" s="1"/>
  <c r="L215" i="2" s="1"/>
  <c r="O244" i="1"/>
  <c r="K214" i="2" s="1"/>
  <c r="L214" i="2" s="1"/>
  <c r="O243" i="1"/>
  <c r="K213" i="2" s="1"/>
  <c r="L213" i="2" s="1"/>
  <c r="O242" i="1"/>
  <c r="K212" i="2" s="1"/>
  <c r="L212" i="2" s="1"/>
  <c r="O241" i="1"/>
  <c r="K211" i="2" s="1"/>
  <c r="L211" i="2" s="1"/>
  <c r="O240" i="1"/>
  <c r="K210" i="2" s="1"/>
  <c r="L210" i="2" s="1"/>
  <c r="O239" i="1"/>
  <c r="K209" i="2" s="1"/>
  <c r="L209" i="2" s="1"/>
  <c r="O238" i="1"/>
  <c r="K208" i="2" s="1"/>
  <c r="L208" i="2" s="1"/>
  <c r="O237" i="1"/>
  <c r="K207" i="2" s="1"/>
  <c r="L207" i="2" s="1"/>
  <c r="O236" i="1"/>
  <c r="K206" i="2" s="1"/>
  <c r="L206" i="2" s="1"/>
  <c r="O235" i="1"/>
  <c r="K205" i="2" s="1"/>
  <c r="L205" i="2" s="1"/>
  <c r="O234" i="1"/>
  <c r="K204" i="2" s="1"/>
  <c r="L204" i="2" s="1"/>
  <c r="O233" i="1"/>
  <c r="K203" i="2" s="1"/>
  <c r="L203" i="2" s="1"/>
  <c r="O232" i="1"/>
  <c r="K202" i="2" s="1"/>
  <c r="L202" i="2" s="1"/>
  <c r="O231" i="1"/>
  <c r="K201" i="2" s="1"/>
  <c r="L201" i="2" s="1"/>
  <c r="O230" i="1"/>
  <c r="K200" i="2" s="1"/>
  <c r="L200" i="2" s="1"/>
  <c r="O229" i="1"/>
  <c r="K199" i="2" s="1"/>
  <c r="L199" i="2" s="1"/>
  <c r="O226" i="1"/>
  <c r="K196" i="2" s="1"/>
  <c r="O225" i="1"/>
  <c r="K195" i="2" s="1"/>
  <c r="L195" i="2" s="1"/>
  <c r="O224" i="1"/>
  <c r="K194" i="2" s="1"/>
  <c r="O223" i="1"/>
  <c r="K193" i="2" s="1"/>
  <c r="O222" i="1"/>
  <c r="K192" i="2" s="1"/>
  <c r="O221" i="1"/>
  <c r="K191" i="2" s="1"/>
  <c r="O220" i="1"/>
  <c r="K190" i="2" s="1"/>
  <c r="L190" i="2" s="1"/>
  <c r="O219" i="1"/>
  <c r="K189" i="2" s="1"/>
  <c r="O218" i="1"/>
  <c r="K188" i="2" s="1"/>
  <c r="O217" i="1"/>
  <c r="K187" i="2" s="1"/>
  <c r="O216" i="1"/>
  <c r="K186" i="2" s="1"/>
  <c r="O215" i="1"/>
  <c r="K185" i="2" s="1"/>
  <c r="O214" i="1"/>
  <c r="K184" i="2" s="1"/>
  <c r="O213" i="1"/>
  <c r="K183" i="2" s="1"/>
  <c r="L183" i="2" s="1"/>
  <c r="O212" i="1"/>
  <c r="K182" i="2" s="1"/>
  <c r="L182" i="2" s="1"/>
  <c r="O211" i="1"/>
  <c r="K181" i="2" s="1"/>
  <c r="O210" i="1"/>
  <c r="K180" i="2" s="1"/>
  <c r="O209" i="1"/>
  <c r="K179" i="2" s="1"/>
  <c r="O208" i="1"/>
  <c r="K178" i="2" s="1"/>
  <c r="L178" i="2" s="1"/>
  <c r="O207" i="1"/>
  <c r="K177" i="2" s="1"/>
  <c r="L177" i="2" s="1"/>
  <c r="O206" i="1"/>
  <c r="K176" i="2" s="1"/>
  <c r="O205" i="1"/>
  <c r="K175" i="2" s="1"/>
  <c r="O204" i="1"/>
  <c r="K174" i="2" s="1"/>
  <c r="O203" i="1"/>
  <c r="K173" i="2" s="1"/>
  <c r="O202" i="1"/>
  <c r="K172" i="2" s="1"/>
  <c r="O201" i="1"/>
  <c r="K171" i="2" s="1"/>
  <c r="O198" i="1"/>
  <c r="K168" i="2" s="1"/>
  <c r="O197" i="1"/>
  <c r="K167" i="2" s="1"/>
  <c r="L167" i="2" s="1"/>
  <c r="O196" i="1"/>
  <c r="K166" i="2" s="1"/>
  <c r="O195" i="1"/>
  <c r="K165" i="2" s="1"/>
  <c r="O194" i="1"/>
  <c r="K164" i="2" s="1"/>
  <c r="O193" i="1"/>
  <c r="K163" i="2" s="1"/>
  <c r="O192" i="1"/>
  <c r="K162" i="2" s="1"/>
  <c r="L162" i="2" s="1"/>
  <c r="O191" i="1"/>
  <c r="K161" i="2" s="1"/>
  <c r="O190" i="1"/>
  <c r="K160" i="2" s="1"/>
  <c r="O189" i="1"/>
  <c r="K159" i="2" s="1"/>
  <c r="O188" i="1"/>
  <c r="K158" i="2" s="1"/>
  <c r="O187" i="1"/>
  <c r="K157" i="2" s="1"/>
  <c r="O186" i="1"/>
  <c r="K156" i="2" s="1"/>
  <c r="O185" i="1"/>
  <c r="K155" i="2" s="1"/>
  <c r="L155" i="2" s="1"/>
  <c r="O184" i="1"/>
  <c r="K154" i="2" s="1"/>
  <c r="L154" i="2" s="1"/>
  <c r="O183" i="1"/>
  <c r="K153" i="2" s="1"/>
  <c r="O182" i="1"/>
  <c r="K152" i="2" s="1"/>
  <c r="O181" i="1"/>
  <c r="K151" i="2" s="1"/>
  <c r="O180" i="1"/>
  <c r="K150" i="2" s="1"/>
  <c r="L150" i="2" s="1"/>
  <c r="O179" i="1"/>
  <c r="K149" i="2" s="1"/>
  <c r="L149" i="2" s="1"/>
  <c r="O178" i="1"/>
  <c r="K148" i="2" s="1"/>
  <c r="O177" i="1"/>
  <c r="K147" i="2" s="1"/>
  <c r="O176" i="1"/>
  <c r="K146" i="2" s="1"/>
  <c r="O175" i="1"/>
  <c r="K145" i="2" s="1"/>
  <c r="O174" i="1"/>
  <c r="K144" i="2" s="1"/>
  <c r="O173" i="1"/>
  <c r="K143" i="2" s="1"/>
  <c r="O170" i="1"/>
  <c r="K140" i="2" s="1"/>
  <c r="O169" i="1"/>
  <c r="K139" i="2" s="1"/>
  <c r="L139" i="2" s="1"/>
  <c r="O168" i="1"/>
  <c r="K138" i="2" s="1"/>
  <c r="O167" i="1"/>
  <c r="K137" i="2" s="1"/>
  <c r="O166" i="1"/>
  <c r="K136" i="2" s="1"/>
  <c r="O165" i="1"/>
  <c r="K135" i="2" s="1"/>
  <c r="O164" i="1"/>
  <c r="K134" i="2" s="1"/>
  <c r="L134" i="2" s="1"/>
  <c r="O163" i="1"/>
  <c r="K133" i="2" s="1"/>
  <c r="O162" i="1"/>
  <c r="K132" i="2" s="1"/>
  <c r="O161" i="1"/>
  <c r="K131" i="2" s="1"/>
  <c r="O160" i="1"/>
  <c r="K130" i="2" s="1"/>
  <c r="O159" i="1"/>
  <c r="K129" i="2" s="1"/>
  <c r="O158" i="1"/>
  <c r="K128" i="2" s="1"/>
  <c r="O157" i="1"/>
  <c r="K127" i="2" s="1"/>
  <c r="L127" i="2" s="1"/>
  <c r="O156" i="1"/>
  <c r="K126" i="2" s="1"/>
  <c r="L126" i="2" s="1"/>
  <c r="O155" i="1"/>
  <c r="K125" i="2" s="1"/>
  <c r="O154" i="1"/>
  <c r="K124" i="2" s="1"/>
  <c r="O153" i="1"/>
  <c r="K123" i="2" s="1"/>
  <c r="O152" i="1"/>
  <c r="K122" i="2" s="1"/>
  <c r="L122" i="2" s="1"/>
  <c r="O151" i="1"/>
  <c r="K121" i="2" s="1"/>
  <c r="L121" i="2" s="1"/>
  <c r="O150" i="1"/>
  <c r="K120" i="2" s="1"/>
  <c r="O149" i="1"/>
  <c r="K119" i="2" s="1"/>
  <c r="O148" i="1"/>
  <c r="K118" i="2" s="1"/>
  <c r="O147" i="1"/>
  <c r="K117" i="2" s="1"/>
  <c r="O146" i="1"/>
  <c r="K116" i="2" s="1"/>
  <c r="O145" i="1"/>
  <c r="K115" i="2" s="1"/>
  <c r="O142" i="1"/>
  <c r="K112" i="2" s="1"/>
  <c r="L112" i="2" s="1"/>
  <c r="O141" i="1"/>
  <c r="K111" i="2" s="1"/>
  <c r="L111" i="2" s="1"/>
  <c r="O140" i="1"/>
  <c r="K110" i="2" s="1"/>
  <c r="L110" i="2" s="1"/>
  <c r="O139" i="1"/>
  <c r="K109" i="2" s="1"/>
  <c r="L109" i="2" s="1"/>
  <c r="O138" i="1"/>
  <c r="K108" i="2" s="1"/>
  <c r="L108" i="2" s="1"/>
  <c r="O137" i="1"/>
  <c r="K107" i="2" s="1"/>
  <c r="L107" i="2" s="1"/>
  <c r="O136" i="1"/>
  <c r="K106" i="2" s="1"/>
  <c r="L106" i="2" s="1"/>
  <c r="O135" i="1"/>
  <c r="K105" i="2" s="1"/>
  <c r="L105" i="2" s="1"/>
  <c r="O134" i="1"/>
  <c r="K104" i="2" s="1"/>
  <c r="L104" i="2" s="1"/>
  <c r="O133" i="1"/>
  <c r="K103" i="2" s="1"/>
  <c r="L103" i="2" s="1"/>
  <c r="O132" i="1"/>
  <c r="K102" i="2" s="1"/>
  <c r="L102" i="2" s="1"/>
  <c r="O131" i="1"/>
  <c r="K101" i="2" s="1"/>
  <c r="L101" i="2" s="1"/>
  <c r="O130" i="1"/>
  <c r="K100" i="2" s="1"/>
  <c r="L100" i="2" s="1"/>
  <c r="O129" i="1"/>
  <c r="K99" i="2" s="1"/>
  <c r="L99" i="2" s="1"/>
  <c r="O128" i="1"/>
  <c r="K98" i="2" s="1"/>
  <c r="L98" i="2" s="1"/>
  <c r="O127" i="1"/>
  <c r="K97" i="2" s="1"/>
  <c r="L97" i="2" s="1"/>
  <c r="O126" i="1"/>
  <c r="K96" i="2" s="1"/>
  <c r="L96" i="2" s="1"/>
  <c r="O125" i="1"/>
  <c r="K95" i="2" s="1"/>
  <c r="L95" i="2" s="1"/>
  <c r="O124" i="1"/>
  <c r="K94" i="2" s="1"/>
  <c r="L94" i="2" s="1"/>
  <c r="O123" i="1"/>
  <c r="K93" i="2" s="1"/>
  <c r="L93" i="2" s="1"/>
  <c r="O122" i="1"/>
  <c r="K92" i="2" s="1"/>
  <c r="L92" i="2" s="1"/>
  <c r="O121" i="1"/>
  <c r="K91" i="2" s="1"/>
  <c r="L91" i="2" s="1"/>
  <c r="O120" i="1"/>
  <c r="K90" i="2" s="1"/>
  <c r="L90" i="2" s="1"/>
  <c r="O119" i="1"/>
  <c r="K89" i="2" s="1"/>
  <c r="L89" i="2" s="1"/>
  <c r="O118" i="1"/>
  <c r="K88" i="2" s="1"/>
  <c r="L88" i="2" s="1"/>
  <c r="O117" i="1"/>
  <c r="K87" i="2" s="1"/>
  <c r="L87" i="2" s="1"/>
  <c r="O114" i="1"/>
  <c r="K84" i="2" s="1"/>
  <c r="O113" i="1"/>
  <c r="K83" i="2" s="1"/>
  <c r="L83" i="2" s="1"/>
  <c r="O112" i="1"/>
  <c r="K82" i="2" s="1"/>
  <c r="O111" i="1"/>
  <c r="K81" i="2" s="1"/>
  <c r="O110" i="1"/>
  <c r="K80" i="2" s="1"/>
  <c r="O109" i="1"/>
  <c r="K79" i="2" s="1"/>
  <c r="O108" i="1"/>
  <c r="K78" i="2" s="1"/>
  <c r="L78" i="2" s="1"/>
  <c r="O107" i="1"/>
  <c r="K77" i="2" s="1"/>
  <c r="O106" i="1"/>
  <c r="K76" i="2" s="1"/>
  <c r="O105" i="1"/>
  <c r="K75" i="2" s="1"/>
  <c r="O104" i="1"/>
  <c r="K74" i="2" s="1"/>
  <c r="O103" i="1"/>
  <c r="K73" i="2" s="1"/>
  <c r="O102" i="1"/>
  <c r="K72" i="2" s="1"/>
  <c r="O101" i="1"/>
  <c r="K71" i="2" s="1"/>
  <c r="L71" i="2" s="1"/>
  <c r="O100" i="1"/>
  <c r="K70" i="2" s="1"/>
  <c r="L70" i="2" s="1"/>
  <c r="O99" i="1"/>
  <c r="K69" i="2" s="1"/>
  <c r="O98" i="1"/>
  <c r="K68" i="2" s="1"/>
  <c r="O97" i="1"/>
  <c r="K67" i="2" s="1"/>
  <c r="O96" i="1"/>
  <c r="K66" i="2" s="1"/>
  <c r="L66" i="2" s="1"/>
  <c r="O95" i="1"/>
  <c r="K65" i="2" s="1"/>
  <c r="L65" i="2" s="1"/>
  <c r="O94" i="1"/>
  <c r="K64" i="2" s="1"/>
  <c r="O93" i="1"/>
  <c r="K63" i="2" s="1"/>
  <c r="O92" i="1"/>
  <c r="K62" i="2" s="1"/>
  <c r="O91" i="1"/>
  <c r="K61" i="2" s="1"/>
  <c r="O90" i="1"/>
  <c r="K60" i="2" s="1"/>
  <c r="O89" i="1"/>
  <c r="K59" i="2" s="1"/>
  <c r="O86" i="1"/>
  <c r="K56" i="2" s="1"/>
  <c r="L56" i="2" s="1"/>
  <c r="O85" i="1"/>
  <c r="K55" i="2" s="1"/>
  <c r="L55" i="2" s="1"/>
  <c r="O84" i="1"/>
  <c r="K54" i="2" s="1"/>
  <c r="L54" i="2" s="1"/>
  <c r="O83" i="1"/>
  <c r="K53" i="2" s="1"/>
  <c r="L53" i="2" s="1"/>
  <c r="O82" i="1"/>
  <c r="K52" i="2" s="1"/>
  <c r="L52" i="2" s="1"/>
  <c r="O81" i="1"/>
  <c r="K51" i="2" s="1"/>
  <c r="L51" i="2" s="1"/>
  <c r="O80" i="1"/>
  <c r="K50" i="2" s="1"/>
  <c r="L50" i="2" s="1"/>
  <c r="O79" i="1"/>
  <c r="K49" i="2" s="1"/>
  <c r="L49" i="2" s="1"/>
  <c r="O78" i="1"/>
  <c r="K48" i="2" s="1"/>
  <c r="L48" i="2" s="1"/>
  <c r="O77" i="1"/>
  <c r="K47" i="2" s="1"/>
  <c r="L47" i="2" s="1"/>
  <c r="O76" i="1"/>
  <c r="K46" i="2" s="1"/>
  <c r="L46" i="2" s="1"/>
  <c r="O75" i="1"/>
  <c r="K45" i="2" s="1"/>
  <c r="L45" i="2" s="1"/>
  <c r="O74" i="1"/>
  <c r="K44" i="2" s="1"/>
  <c r="L44" i="2" s="1"/>
  <c r="O73" i="1"/>
  <c r="K43" i="2" s="1"/>
  <c r="L43" i="2" s="1"/>
  <c r="O72" i="1"/>
  <c r="K42" i="2" s="1"/>
  <c r="L42" i="2" s="1"/>
  <c r="O71" i="1"/>
  <c r="K41" i="2" s="1"/>
  <c r="L41" i="2" s="1"/>
  <c r="O70" i="1"/>
  <c r="K40" i="2" s="1"/>
  <c r="L40" i="2" s="1"/>
  <c r="O69" i="1"/>
  <c r="K39" i="2" s="1"/>
  <c r="L39" i="2" s="1"/>
  <c r="O68" i="1"/>
  <c r="K38" i="2" s="1"/>
  <c r="L38" i="2" s="1"/>
  <c r="O67" i="1"/>
  <c r="K37" i="2" s="1"/>
  <c r="L37" i="2" s="1"/>
  <c r="O66" i="1"/>
  <c r="K36" i="2" s="1"/>
  <c r="L36" i="2" s="1"/>
  <c r="O65" i="1"/>
  <c r="K35" i="2" s="1"/>
  <c r="L35" i="2" s="1"/>
  <c r="O64" i="1"/>
  <c r="K34" i="2" s="1"/>
  <c r="L34" i="2" s="1"/>
  <c r="O63" i="1"/>
  <c r="K33" i="2" s="1"/>
  <c r="L33" i="2" s="1"/>
  <c r="O62" i="1"/>
  <c r="K32" i="2" s="1"/>
  <c r="L32" i="2" s="1"/>
  <c r="O61" i="1"/>
  <c r="K31" i="2" s="1"/>
  <c r="L31" i="2" s="1"/>
  <c r="O58" i="1"/>
  <c r="K28" i="2" s="1"/>
  <c r="L28" i="2" s="1"/>
  <c r="O57" i="1"/>
  <c r="K27" i="2" s="1"/>
  <c r="L27" i="2" s="1"/>
  <c r="O56" i="1"/>
  <c r="K26" i="2" s="1"/>
  <c r="L26" i="2" s="1"/>
  <c r="O55" i="1"/>
  <c r="K25" i="2" s="1"/>
  <c r="L25" i="2" s="1"/>
  <c r="O54" i="1"/>
  <c r="K24" i="2" s="1"/>
  <c r="L24" i="2" s="1"/>
  <c r="O53" i="1"/>
  <c r="K23" i="2" s="1"/>
  <c r="L23" i="2" s="1"/>
  <c r="O52" i="1"/>
  <c r="K22" i="2" s="1"/>
  <c r="L22" i="2" s="1"/>
  <c r="O51" i="1"/>
  <c r="K21" i="2" s="1"/>
  <c r="L21" i="2" s="1"/>
  <c r="O50" i="1"/>
  <c r="K20" i="2" s="1"/>
  <c r="L20" i="2" s="1"/>
  <c r="O49" i="1"/>
  <c r="K19" i="2" s="1"/>
  <c r="L19" i="2" s="1"/>
  <c r="O48" i="1"/>
  <c r="K18" i="2" s="1"/>
  <c r="L18" i="2" s="1"/>
  <c r="O47" i="1"/>
  <c r="K17" i="2" s="1"/>
  <c r="L17" i="2" s="1"/>
  <c r="O46" i="1"/>
  <c r="K16" i="2" s="1"/>
  <c r="L16" i="2" s="1"/>
  <c r="O45" i="1"/>
  <c r="K15" i="2" s="1"/>
  <c r="L15" i="2" s="1"/>
  <c r="O44" i="1"/>
  <c r="K14" i="2" s="1"/>
  <c r="L14" i="2" s="1"/>
  <c r="O43" i="1"/>
  <c r="K13" i="2" s="1"/>
  <c r="L13" i="2" s="1"/>
  <c r="O42" i="1"/>
  <c r="K12" i="2" s="1"/>
  <c r="L12" i="2" s="1"/>
  <c r="O41" i="1"/>
  <c r="K11" i="2" s="1"/>
  <c r="L11" i="2" s="1"/>
  <c r="O40" i="1"/>
  <c r="K10" i="2" s="1"/>
  <c r="L10" i="2" s="1"/>
  <c r="O39" i="1"/>
  <c r="K9" i="2" s="1"/>
  <c r="L9" i="2" s="1"/>
  <c r="O38" i="1"/>
  <c r="K8" i="2" s="1"/>
  <c r="L8" i="2" s="1"/>
  <c r="O37" i="1"/>
  <c r="K7" i="2" s="1"/>
  <c r="L7" i="2" s="1"/>
  <c r="O36" i="1"/>
  <c r="K6" i="2" s="1"/>
  <c r="L6" i="2" s="1"/>
  <c r="O35" i="1"/>
  <c r="K5" i="2" s="1"/>
  <c r="L5" i="2" s="1"/>
  <c r="O34" i="1"/>
  <c r="K4" i="2" s="1"/>
  <c r="L4" i="2" s="1"/>
  <c r="N255" i="1"/>
  <c r="M255" i="1"/>
  <c r="L255" i="1"/>
  <c r="K255" i="1"/>
  <c r="J255" i="1"/>
  <c r="I255" i="1"/>
  <c r="H255" i="1"/>
  <c r="G255" i="1"/>
  <c r="F255" i="1"/>
  <c r="E255" i="1"/>
  <c r="D255" i="1"/>
  <c r="N227" i="1"/>
  <c r="M227" i="1"/>
  <c r="L227" i="1"/>
  <c r="K227" i="1"/>
  <c r="J227" i="1"/>
  <c r="I227" i="1"/>
  <c r="H227" i="1"/>
  <c r="G227" i="1"/>
  <c r="F227" i="1"/>
  <c r="E227" i="1"/>
  <c r="D227" i="1"/>
  <c r="N199" i="1"/>
  <c r="M199" i="1"/>
  <c r="L199" i="1"/>
  <c r="K199" i="1"/>
  <c r="J199" i="1"/>
  <c r="I199" i="1"/>
  <c r="H199" i="1"/>
  <c r="G199" i="1"/>
  <c r="F199" i="1"/>
  <c r="E199" i="1"/>
  <c r="D199" i="1"/>
  <c r="N171" i="1"/>
  <c r="M171" i="1"/>
  <c r="L171" i="1"/>
  <c r="K171" i="1"/>
  <c r="J171" i="1"/>
  <c r="I171" i="1"/>
  <c r="H171" i="1"/>
  <c r="G171" i="1"/>
  <c r="F171" i="1"/>
  <c r="E171" i="1"/>
  <c r="D171" i="1"/>
  <c r="N143" i="1"/>
  <c r="M143" i="1"/>
  <c r="L143" i="1"/>
  <c r="K143" i="1"/>
  <c r="J143" i="1"/>
  <c r="I143" i="1"/>
  <c r="H143" i="1"/>
  <c r="G143" i="1"/>
  <c r="F143" i="1"/>
  <c r="E143" i="1"/>
  <c r="D143" i="1"/>
  <c r="N115" i="1"/>
  <c r="M115" i="1"/>
  <c r="L115" i="1"/>
  <c r="K115" i="1"/>
  <c r="J115" i="1"/>
  <c r="I115" i="1"/>
  <c r="H115" i="1"/>
  <c r="G115" i="1"/>
  <c r="F115" i="1"/>
  <c r="E115" i="1"/>
  <c r="D115" i="1"/>
  <c r="N87" i="1"/>
  <c r="M87" i="1"/>
  <c r="L87" i="1"/>
  <c r="K87" i="1"/>
  <c r="J87" i="1"/>
  <c r="I87" i="1"/>
  <c r="H87" i="1"/>
  <c r="G87" i="1"/>
  <c r="F87" i="1"/>
  <c r="E87" i="1"/>
  <c r="D87" i="1"/>
  <c r="N59" i="1"/>
  <c r="M59" i="1"/>
  <c r="L59" i="1"/>
  <c r="K59" i="1"/>
  <c r="J59" i="1"/>
  <c r="I59" i="1"/>
  <c r="H59" i="1"/>
  <c r="G59" i="1"/>
  <c r="F59" i="1"/>
  <c r="E59" i="1"/>
  <c r="D59" i="1"/>
  <c r="S8" i="7" l="1"/>
  <c r="T8" i="7" s="1"/>
  <c r="U8" i="7" s="1"/>
  <c r="M9" i="7"/>
  <c r="R9" i="7" s="1"/>
  <c r="J22" i="3"/>
  <c r="M23" i="3" s="1"/>
  <c r="J23" i="3" s="1"/>
  <c r="M24" i="3" s="1"/>
  <c r="J38" i="3"/>
  <c r="J39" i="3" s="1"/>
  <c r="O115" i="1"/>
  <c r="K85" i="2" s="1"/>
  <c r="L85" i="2" s="1"/>
  <c r="O227" i="1"/>
  <c r="K197" i="2" s="1"/>
  <c r="L197" i="2" s="1"/>
  <c r="U62" i="2"/>
  <c r="L62" i="2"/>
  <c r="U118" i="2"/>
  <c r="L118" i="2"/>
  <c r="L138" i="2"/>
  <c r="U138" i="2" s="1"/>
  <c r="W138" i="2" s="1"/>
  <c r="U152" i="2"/>
  <c r="L152" i="2"/>
  <c r="U160" i="2"/>
  <c r="L160" i="2"/>
  <c r="U186" i="2"/>
  <c r="L186" i="2"/>
  <c r="U242" i="2"/>
  <c r="W242" i="2" s="1"/>
  <c r="L242" i="2"/>
  <c r="L255" i="2"/>
  <c r="U255" i="2" s="1"/>
  <c r="U263" i="2"/>
  <c r="W263" i="2" s="1"/>
  <c r="L263" i="2"/>
  <c r="U271" i="2"/>
  <c r="W271" i="2" s="1"/>
  <c r="L271" i="2"/>
  <c r="U284" i="2"/>
  <c r="L284" i="2"/>
  <c r="U296" i="2"/>
  <c r="L296" i="2"/>
  <c r="U304" i="2"/>
  <c r="L304" i="2"/>
  <c r="U313" i="2"/>
  <c r="L313" i="2"/>
  <c r="U321" i="2"/>
  <c r="L321" i="2"/>
  <c r="L333" i="2"/>
  <c r="U333" i="2" s="1"/>
  <c r="L59" i="2"/>
  <c r="U59" i="2" s="1"/>
  <c r="U79" i="2"/>
  <c r="L79" i="2"/>
  <c r="U119" i="2"/>
  <c r="W119" i="2" s="1"/>
  <c r="L119" i="2"/>
  <c r="U123" i="2"/>
  <c r="W123" i="2" s="1"/>
  <c r="L123" i="2"/>
  <c r="U135" i="2"/>
  <c r="W135" i="2" s="1"/>
  <c r="L135" i="2"/>
  <c r="U157" i="2"/>
  <c r="L157" i="2"/>
  <c r="L171" i="2"/>
  <c r="U171" i="2" s="1"/>
  <c r="U179" i="2"/>
  <c r="L179" i="2"/>
  <c r="U187" i="2"/>
  <c r="L187" i="2"/>
  <c r="U231" i="2"/>
  <c r="W231" i="2" s="1"/>
  <c r="L231" i="2"/>
  <c r="U243" i="2"/>
  <c r="W243" i="2" s="1"/>
  <c r="L243" i="2"/>
  <c r="U247" i="2"/>
  <c r="W247" i="2" s="1"/>
  <c r="L247" i="2"/>
  <c r="U260" i="2"/>
  <c r="W260" i="2" s="1"/>
  <c r="L260" i="2"/>
  <c r="U264" i="2"/>
  <c r="W264" i="2" s="1"/>
  <c r="L264" i="2"/>
  <c r="U268" i="2"/>
  <c r="W268" i="2" s="1"/>
  <c r="L268" i="2"/>
  <c r="U272" i="2"/>
  <c r="W272" i="2" s="1"/>
  <c r="L272" i="2"/>
  <c r="U276" i="2"/>
  <c r="W276" i="2" s="1"/>
  <c r="L276" i="2"/>
  <c r="U280" i="2"/>
  <c r="W280" i="2" s="1"/>
  <c r="L280" i="2"/>
  <c r="U285" i="2"/>
  <c r="L285" i="2"/>
  <c r="U293" i="2"/>
  <c r="L293" i="2"/>
  <c r="U297" i="2"/>
  <c r="L297" i="2"/>
  <c r="L301" i="2"/>
  <c r="U301" i="2"/>
  <c r="L305" i="2"/>
  <c r="U305" i="2" s="1"/>
  <c r="U314" i="2"/>
  <c r="L314" i="2"/>
  <c r="U326" i="2"/>
  <c r="L326" i="2"/>
  <c r="L334" i="2"/>
  <c r="U334" i="2" s="1"/>
  <c r="U148" i="2"/>
  <c r="L148" i="2"/>
  <c r="U168" i="2"/>
  <c r="L168" i="2"/>
  <c r="U259" i="2"/>
  <c r="W259" i="2" s="1"/>
  <c r="L259" i="2"/>
  <c r="U275" i="2"/>
  <c r="W275" i="2" s="1"/>
  <c r="L275" i="2"/>
  <c r="U292" i="2"/>
  <c r="L292" i="2"/>
  <c r="U308" i="2"/>
  <c r="L308" i="2"/>
  <c r="L329" i="2"/>
  <c r="U329" i="2" s="1"/>
  <c r="O199" i="1"/>
  <c r="K169" i="2" s="1"/>
  <c r="L169" i="2" s="1"/>
  <c r="U67" i="2"/>
  <c r="L67" i="2"/>
  <c r="L115" i="2"/>
  <c r="U115" i="2" s="1"/>
  <c r="U131" i="2"/>
  <c r="W131" i="2" s="1"/>
  <c r="L131" i="2"/>
  <c r="U145" i="2"/>
  <c r="L145" i="2"/>
  <c r="L161" i="2"/>
  <c r="U161" i="2" s="1"/>
  <c r="U175" i="2"/>
  <c r="L175" i="2"/>
  <c r="O171" i="1"/>
  <c r="K141" i="2" s="1"/>
  <c r="L141" i="2" s="1"/>
  <c r="U60" i="2"/>
  <c r="L60" i="2"/>
  <c r="U64" i="2"/>
  <c r="L64" i="2"/>
  <c r="U68" i="2"/>
  <c r="L68" i="2"/>
  <c r="U72" i="2"/>
  <c r="L72" i="2"/>
  <c r="U76" i="2"/>
  <c r="L76" i="2"/>
  <c r="U80" i="2"/>
  <c r="L80" i="2"/>
  <c r="U84" i="2"/>
  <c r="L84" i="2"/>
  <c r="U116" i="2"/>
  <c r="L116" i="2"/>
  <c r="U120" i="2"/>
  <c r="W120" i="2" s="1"/>
  <c r="L120" i="2"/>
  <c r="U124" i="2"/>
  <c r="W124" i="2" s="1"/>
  <c r="L124" i="2"/>
  <c r="U128" i="2"/>
  <c r="W128" i="2" s="1"/>
  <c r="L128" i="2"/>
  <c r="U132" i="2"/>
  <c r="W132" i="2" s="1"/>
  <c r="L132" i="2"/>
  <c r="U136" i="2"/>
  <c r="W136" i="2" s="1"/>
  <c r="L136" i="2"/>
  <c r="U140" i="2"/>
  <c r="W140" i="2" s="1"/>
  <c r="L140" i="2"/>
  <c r="U146" i="2"/>
  <c r="L146" i="2"/>
  <c r="U158" i="2"/>
  <c r="L158" i="2"/>
  <c r="L166" i="2"/>
  <c r="U166" i="2" s="1"/>
  <c r="U172" i="2"/>
  <c r="L172" i="2"/>
  <c r="U176" i="2"/>
  <c r="L176" i="2"/>
  <c r="U180" i="2"/>
  <c r="L180" i="2"/>
  <c r="U184" i="2"/>
  <c r="L184" i="2"/>
  <c r="U188" i="2"/>
  <c r="L188" i="2"/>
  <c r="U192" i="2"/>
  <c r="L192" i="2"/>
  <c r="U196" i="2"/>
  <c r="L196" i="2"/>
  <c r="U228" i="2"/>
  <c r="L228" i="2"/>
  <c r="U232" i="2"/>
  <c r="W232" i="2" s="1"/>
  <c r="L232" i="2"/>
  <c r="U236" i="2"/>
  <c r="W236" i="2" s="1"/>
  <c r="L236" i="2"/>
  <c r="U240" i="2"/>
  <c r="W240" i="2" s="1"/>
  <c r="L240" i="2"/>
  <c r="U244" i="2"/>
  <c r="W244" i="2" s="1"/>
  <c r="L244" i="2"/>
  <c r="U248" i="2"/>
  <c r="W248" i="2" s="1"/>
  <c r="L248" i="2"/>
  <c r="U252" i="2"/>
  <c r="W252" i="2" s="1"/>
  <c r="L252" i="2"/>
  <c r="U257" i="2"/>
  <c r="W257" i="2" s="1"/>
  <c r="L257" i="2"/>
  <c r="U265" i="2"/>
  <c r="W265" i="2" s="1"/>
  <c r="L265" i="2"/>
  <c r="U269" i="2"/>
  <c r="W269" i="2" s="1"/>
  <c r="L269" i="2"/>
  <c r="L273" i="2"/>
  <c r="U273" i="2" s="1"/>
  <c r="W273" i="2" s="1"/>
  <c r="L277" i="2"/>
  <c r="U277" i="2" s="1"/>
  <c r="W277" i="2" s="1"/>
  <c r="U286" i="2"/>
  <c r="L286" i="2"/>
  <c r="U298" i="2"/>
  <c r="L298" i="2"/>
  <c r="L306" i="2"/>
  <c r="U306" i="2" s="1"/>
  <c r="L311" i="2"/>
  <c r="U311" i="2"/>
  <c r="U315" i="2"/>
  <c r="L315" i="2"/>
  <c r="U319" i="2"/>
  <c r="L319" i="2"/>
  <c r="U327" i="2"/>
  <c r="L327" i="2"/>
  <c r="U331" i="2"/>
  <c r="L331" i="2"/>
  <c r="U74" i="2"/>
  <c r="L74" i="2"/>
  <c r="L82" i="2"/>
  <c r="U82" i="2"/>
  <c r="U130" i="2"/>
  <c r="W130" i="2" s="1"/>
  <c r="L130" i="2"/>
  <c r="U144" i="2"/>
  <c r="L144" i="2"/>
  <c r="U156" i="2"/>
  <c r="L156" i="2"/>
  <c r="U164" i="2"/>
  <c r="L164" i="2"/>
  <c r="U174" i="2"/>
  <c r="L174" i="2"/>
  <c r="L194" i="2"/>
  <c r="U194" i="2"/>
  <c r="U230" i="2"/>
  <c r="L230" i="2"/>
  <c r="L250" i="2"/>
  <c r="U250" i="2" s="1"/>
  <c r="W250" i="2" s="1"/>
  <c r="U288" i="2"/>
  <c r="L288" i="2"/>
  <c r="U300" i="2"/>
  <c r="L300" i="2"/>
  <c r="U325" i="2"/>
  <c r="L325" i="2"/>
  <c r="O87" i="1"/>
  <c r="K57" i="2" s="1"/>
  <c r="L57" i="2" s="1"/>
  <c r="U63" i="2"/>
  <c r="L63" i="2"/>
  <c r="L75" i="2"/>
  <c r="U75" i="2"/>
  <c r="U153" i="2"/>
  <c r="L153" i="2"/>
  <c r="L165" i="2"/>
  <c r="U165" i="2" s="1"/>
  <c r="U191" i="2"/>
  <c r="L191" i="2"/>
  <c r="L227" i="2"/>
  <c r="U227" i="2" s="1"/>
  <c r="U235" i="2"/>
  <c r="W235" i="2" s="1"/>
  <c r="L235" i="2"/>
  <c r="U256" i="2"/>
  <c r="L256" i="2"/>
  <c r="O143" i="1"/>
  <c r="K113" i="2" s="1"/>
  <c r="L113" i="2" s="1"/>
  <c r="O255" i="1"/>
  <c r="K225" i="2" s="1"/>
  <c r="L225" i="2" s="1"/>
  <c r="U61" i="2"/>
  <c r="L61" i="2"/>
  <c r="U69" i="2"/>
  <c r="L69" i="2"/>
  <c r="U73" i="2"/>
  <c r="L73" i="2"/>
  <c r="L77" i="2"/>
  <c r="U77" i="2" s="1"/>
  <c r="L81" i="2"/>
  <c r="U81" i="2" s="1"/>
  <c r="U117" i="2"/>
  <c r="W117" i="2" s="1"/>
  <c r="L117" i="2"/>
  <c r="U125" i="2"/>
  <c r="W125" i="2" s="1"/>
  <c r="L125" i="2"/>
  <c r="U129" i="2"/>
  <c r="W129" i="2" s="1"/>
  <c r="L129" i="2"/>
  <c r="L133" i="2"/>
  <c r="U133" i="2" s="1"/>
  <c r="W133" i="2" s="1"/>
  <c r="L137" i="2"/>
  <c r="U137" i="2" s="1"/>
  <c r="W137" i="2" s="1"/>
  <c r="L143" i="2"/>
  <c r="U143" i="2" s="1"/>
  <c r="U147" i="2"/>
  <c r="L147" i="2"/>
  <c r="U151" i="2"/>
  <c r="L151" i="2"/>
  <c r="U159" i="2"/>
  <c r="L159" i="2"/>
  <c r="U163" i="2"/>
  <c r="L163" i="2"/>
  <c r="U173" i="2"/>
  <c r="L173" i="2"/>
  <c r="U181" i="2"/>
  <c r="L181" i="2"/>
  <c r="U185" i="2"/>
  <c r="L185" i="2"/>
  <c r="L189" i="2"/>
  <c r="U189" i="2" s="1"/>
  <c r="L193" i="2"/>
  <c r="U193" i="2" s="1"/>
  <c r="U229" i="2"/>
  <c r="W229" i="2" s="1"/>
  <c r="L229" i="2"/>
  <c r="U237" i="2"/>
  <c r="W237" i="2" s="1"/>
  <c r="L237" i="2"/>
  <c r="U241" i="2"/>
  <c r="W241" i="2" s="1"/>
  <c r="L241" i="2"/>
  <c r="L245" i="2"/>
  <c r="U245" i="2" s="1"/>
  <c r="W245" i="2" s="1"/>
  <c r="L249" i="2"/>
  <c r="U249" i="2" s="1"/>
  <c r="W249" i="2" s="1"/>
  <c r="U258" i="2"/>
  <c r="L258" i="2"/>
  <c r="U270" i="2"/>
  <c r="W270" i="2" s="1"/>
  <c r="L270" i="2"/>
  <c r="L278" i="2"/>
  <c r="U278" i="2" s="1"/>
  <c r="W278" i="2" s="1"/>
  <c r="L283" i="2"/>
  <c r="U283" i="2" s="1"/>
  <c r="U287" i="2"/>
  <c r="L287" i="2"/>
  <c r="U291" i="2"/>
  <c r="L291" i="2"/>
  <c r="U299" i="2"/>
  <c r="L299" i="2"/>
  <c r="U303" i="2"/>
  <c r="L303" i="2"/>
  <c r="U312" i="2"/>
  <c r="L312" i="2"/>
  <c r="U316" i="2"/>
  <c r="L316" i="2"/>
  <c r="U320" i="2"/>
  <c r="L320" i="2"/>
  <c r="U324" i="2"/>
  <c r="L324" i="2"/>
  <c r="U328" i="2"/>
  <c r="L328" i="2"/>
  <c r="U332" i="2"/>
  <c r="L332" i="2"/>
  <c r="U336" i="2"/>
  <c r="L336" i="2"/>
  <c r="J24" i="3"/>
  <c r="O59" i="1"/>
  <c r="K29" i="2" s="1"/>
  <c r="L29" i="2" s="1"/>
  <c r="E29" i="1"/>
  <c r="N9" i="7" l="1"/>
  <c r="Q9" i="7"/>
  <c r="J9" i="7"/>
  <c r="U309" i="2"/>
  <c r="U197" i="2"/>
  <c r="U85" i="2"/>
  <c r="Z59" i="2"/>
  <c r="Y59" i="2"/>
  <c r="W59" i="2"/>
  <c r="W77" i="2"/>
  <c r="Y77" i="2"/>
  <c r="W69" i="2"/>
  <c r="Y69" i="2"/>
  <c r="W63" i="2"/>
  <c r="Y63" i="2"/>
  <c r="W82" i="2"/>
  <c r="Y82" i="2"/>
  <c r="U337" i="2"/>
  <c r="F21" i="3" s="1"/>
  <c r="E21" i="3" s="1"/>
  <c r="W67" i="2"/>
  <c r="Y67" i="2"/>
  <c r="U281" i="2"/>
  <c r="H21" i="3" s="1"/>
  <c r="Z255" i="2"/>
  <c r="W255" i="2"/>
  <c r="W75" i="2"/>
  <c r="Y75" i="2"/>
  <c r="W116" i="2"/>
  <c r="Z116" i="2"/>
  <c r="W80" i="2"/>
  <c r="Y80" i="2"/>
  <c r="W72" i="2"/>
  <c r="Y72" i="2"/>
  <c r="W64" i="2"/>
  <c r="Y64" i="2"/>
  <c r="W79" i="2"/>
  <c r="Y79" i="2"/>
  <c r="W118" i="2"/>
  <c r="Z117" i="2"/>
  <c r="U169" i="2"/>
  <c r="W81" i="2"/>
  <c r="Y81" i="2"/>
  <c r="W73" i="2"/>
  <c r="Y73" i="2"/>
  <c r="W61" i="2"/>
  <c r="Y61" i="2"/>
  <c r="W256" i="2"/>
  <c r="Z256" i="2"/>
  <c r="Z227" i="2"/>
  <c r="U253" i="2"/>
  <c r="W227" i="2"/>
  <c r="W115" i="2"/>
  <c r="Z115" i="2"/>
  <c r="U141" i="2"/>
  <c r="G5" i="4" s="1"/>
  <c r="W258" i="2"/>
  <c r="Z257" i="2"/>
  <c r="W230" i="2"/>
  <c r="Z229" i="2"/>
  <c r="W74" i="2"/>
  <c r="Y74" i="2"/>
  <c r="W228" i="2"/>
  <c r="Z228" i="2"/>
  <c r="W84" i="2"/>
  <c r="Y84" i="2"/>
  <c r="W76" i="2"/>
  <c r="Y76" i="2"/>
  <c r="W68" i="2"/>
  <c r="Y68" i="2"/>
  <c r="W60" i="2"/>
  <c r="Z60" i="2"/>
  <c r="Y60" i="2"/>
  <c r="W62" i="2"/>
  <c r="Y62" i="2"/>
  <c r="Z61" i="2"/>
  <c r="M25" i="3"/>
  <c r="O33" i="1"/>
  <c r="K3" i="2" s="1"/>
  <c r="L3" i="2" s="1"/>
  <c r="K9" i="7" l="1"/>
  <c r="S9" i="7" s="1"/>
  <c r="T9" i="7" s="1"/>
  <c r="U9" i="7" s="1"/>
  <c r="M10" i="7"/>
  <c r="R10" i="7" s="1"/>
  <c r="Z118" i="2"/>
  <c r="L39" i="3"/>
  <c r="I30" i="3"/>
  <c r="I26" i="3"/>
  <c r="I39" i="3"/>
  <c r="I24" i="3"/>
  <c r="K24" i="3" s="1"/>
  <c r="I22" i="3"/>
  <c r="L30" i="3"/>
  <c r="L38" i="3"/>
  <c r="N38" i="3" s="1"/>
  <c r="I31" i="3"/>
  <c r="L24" i="3"/>
  <c r="L26" i="3"/>
  <c r="L28" i="3"/>
  <c r="I25" i="3"/>
  <c r="L25" i="3"/>
  <c r="L22" i="3"/>
  <c r="I23" i="3"/>
  <c r="K23" i="3" s="1"/>
  <c r="I38" i="3"/>
  <c r="K38" i="3" s="1"/>
  <c r="I27" i="3"/>
  <c r="L31" i="3"/>
  <c r="L27" i="3"/>
  <c r="I29" i="3"/>
  <c r="L29" i="3"/>
  <c r="L23" i="3"/>
  <c r="I28" i="3"/>
  <c r="O44" i="3"/>
  <c r="G21" i="3"/>
  <c r="P25" i="3"/>
  <c r="Z230" i="2"/>
  <c r="W281" i="2"/>
  <c r="Z62" i="2"/>
  <c r="W141" i="2"/>
  <c r="N28" i="4"/>
  <c r="W7" i="4"/>
  <c r="J27" i="4"/>
  <c r="Z258" i="2"/>
  <c r="R33" i="4"/>
  <c r="W253" i="2"/>
  <c r="W85" i="2"/>
  <c r="N25" i="3"/>
  <c r="J25" i="3"/>
  <c r="N10" i="7" l="1"/>
  <c r="J10" i="7"/>
  <c r="Q10" i="7"/>
  <c r="N23" i="3"/>
  <c r="P23" i="3"/>
  <c r="P22" i="3"/>
  <c r="N22" i="3"/>
  <c r="N24" i="3"/>
  <c r="O24" i="3" s="1"/>
  <c r="Q24" i="3" s="1"/>
  <c r="P24" i="3"/>
  <c r="K22" i="3"/>
  <c r="N39" i="3"/>
  <c r="O23" i="3"/>
  <c r="Q23" i="3" s="1"/>
  <c r="K39" i="3"/>
  <c r="O39" i="3" s="1"/>
  <c r="W367" i="2"/>
  <c r="J28" i="4"/>
  <c r="M20" i="4"/>
  <c r="M17" i="4"/>
  <c r="I16" i="4"/>
  <c r="M12" i="4"/>
  <c r="I14" i="4"/>
  <c r="I6" i="4"/>
  <c r="K6" i="4" s="1"/>
  <c r="L6" i="4" s="1"/>
  <c r="M14" i="4"/>
  <c r="M6" i="4"/>
  <c r="O6" i="4" s="1"/>
  <c r="P6" i="4" s="1"/>
  <c r="M11" i="4"/>
  <c r="M16" i="4"/>
  <c r="I18" i="4"/>
  <c r="M18" i="4"/>
  <c r="I9" i="4"/>
  <c r="M13" i="4"/>
  <c r="M28" i="4"/>
  <c r="O28" i="4" s="1"/>
  <c r="I11" i="4"/>
  <c r="M27" i="4"/>
  <c r="O27" i="4" s="1"/>
  <c r="I8" i="4"/>
  <c r="I17" i="4"/>
  <c r="M19" i="4"/>
  <c r="M8" i="4"/>
  <c r="I10" i="4"/>
  <c r="I27" i="4"/>
  <c r="K27" i="4" s="1"/>
  <c r="M10" i="4"/>
  <c r="M15" i="4"/>
  <c r="M7" i="4"/>
  <c r="O7" i="4" s="1"/>
  <c r="P7" i="4" s="1"/>
  <c r="I19" i="4"/>
  <c r="I20" i="4"/>
  <c r="I13" i="4"/>
  <c r="I28" i="4"/>
  <c r="M9" i="4"/>
  <c r="I15" i="4"/>
  <c r="I7" i="4"/>
  <c r="I12" i="4"/>
  <c r="J7" i="4"/>
  <c r="N8" i="4" s="1"/>
  <c r="M26" i="3"/>
  <c r="K25" i="3"/>
  <c r="K10" i="7" l="1"/>
  <c r="S10" i="7" s="1"/>
  <c r="T10" i="7" s="1"/>
  <c r="U10" i="7" s="1"/>
  <c r="M11" i="7"/>
  <c r="R11" i="7" s="1"/>
  <c r="S6" i="4"/>
  <c r="Q6" i="4"/>
  <c r="Y6" i="4" s="1"/>
  <c r="Z6" i="4" s="1"/>
  <c r="AA6" i="4" s="1"/>
  <c r="K28" i="4"/>
  <c r="R28" i="4" s="1"/>
  <c r="R6" i="4"/>
  <c r="T6" i="4" s="1"/>
  <c r="K7" i="4"/>
  <c r="O8" i="4"/>
  <c r="O22" i="3"/>
  <c r="Q22" i="3" s="1"/>
  <c r="O41" i="3"/>
  <c r="O42" i="3"/>
  <c r="P26" i="3"/>
  <c r="W8" i="4"/>
  <c r="J8" i="4"/>
  <c r="N9" i="4" s="1"/>
  <c r="Q7" i="4"/>
  <c r="Y7" i="4" s="1"/>
  <c r="Z7" i="4" s="1"/>
  <c r="AA7" i="4" s="1"/>
  <c r="O25" i="3"/>
  <c r="Q25" i="3" s="1"/>
  <c r="N26" i="3"/>
  <c r="J26" i="3"/>
  <c r="N11" i="7" l="1"/>
  <c r="J11" i="7"/>
  <c r="Q11" i="7"/>
  <c r="R7" i="4"/>
  <c r="T7" i="4" s="1"/>
  <c r="L7" i="4"/>
  <c r="S7" i="4" s="1"/>
  <c r="Q8" i="4"/>
  <c r="Y8" i="4" s="1"/>
  <c r="Z8" i="4" s="1"/>
  <c r="AA8" i="4" s="1"/>
  <c r="P8" i="4"/>
  <c r="K8" i="4"/>
  <c r="R31" i="4"/>
  <c r="R30" i="4"/>
  <c r="O9" i="4"/>
  <c r="W9" i="4"/>
  <c r="J9" i="4"/>
  <c r="N10" i="4" s="1"/>
  <c r="M27" i="3"/>
  <c r="K26" i="3"/>
  <c r="O26" i="3" s="1"/>
  <c r="Q26" i="3" s="1"/>
  <c r="K11" i="7" l="1"/>
  <c r="S11" i="7" s="1"/>
  <c r="T11" i="7" s="1"/>
  <c r="U11" i="7" s="1"/>
  <c r="M12" i="7"/>
  <c r="R12" i="7" s="1"/>
  <c r="Q9" i="4"/>
  <c r="Y9" i="4" s="1"/>
  <c r="Z9" i="4" s="1"/>
  <c r="AA9" i="4" s="1"/>
  <c r="P9" i="4"/>
  <c r="R8" i="4"/>
  <c r="T8" i="4" s="1"/>
  <c r="L8" i="4"/>
  <c r="S8" i="4" s="1"/>
  <c r="P27" i="3"/>
  <c r="K9" i="4"/>
  <c r="N27" i="3"/>
  <c r="J27" i="3"/>
  <c r="N12" i="7" l="1"/>
  <c r="Q12" i="7"/>
  <c r="J12" i="7"/>
  <c r="R9" i="4"/>
  <c r="T9" i="4" s="1"/>
  <c r="L9" i="4"/>
  <c r="S9" i="4" s="1"/>
  <c r="J10" i="4"/>
  <c r="W10" i="4"/>
  <c r="O10" i="4"/>
  <c r="M28" i="3"/>
  <c r="P28" i="3" s="1"/>
  <c r="K27" i="3"/>
  <c r="O27" i="3" s="1"/>
  <c r="Q27" i="3" s="1"/>
  <c r="K12" i="7" l="1"/>
  <c r="S12" i="7" s="1"/>
  <c r="T12" i="7" s="1"/>
  <c r="U12" i="7" s="1"/>
  <c r="M13" i="7"/>
  <c r="R13" i="7" s="1"/>
  <c r="Q10" i="4"/>
  <c r="Y10" i="4" s="1"/>
  <c r="Z10" i="4" s="1"/>
  <c r="P10" i="4"/>
  <c r="AA10" i="4"/>
  <c r="N11" i="4"/>
  <c r="K10" i="4"/>
  <c r="N28" i="3"/>
  <c r="J28" i="3"/>
  <c r="N13" i="7" l="1"/>
  <c r="Q13" i="7"/>
  <c r="J13" i="7"/>
  <c r="R10" i="4"/>
  <c r="T10" i="4" s="1"/>
  <c r="L10" i="4"/>
  <c r="S10" i="4" s="1"/>
  <c r="W11" i="4"/>
  <c r="O11" i="4"/>
  <c r="J11" i="4"/>
  <c r="M29" i="3"/>
  <c r="P29" i="3" s="1"/>
  <c r="K28" i="3"/>
  <c r="O28" i="3" s="1"/>
  <c r="Q28" i="3" s="1"/>
  <c r="K13" i="7" l="1"/>
  <c r="O13" i="7" s="1"/>
  <c r="S13" i="7" s="1"/>
  <c r="Q11" i="4"/>
  <c r="Y11" i="4" s="1"/>
  <c r="Z11" i="4" s="1"/>
  <c r="P11" i="4"/>
  <c r="AA11" i="4"/>
  <c r="N12" i="4"/>
  <c r="K11" i="4"/>
  <c r="N29" i="3"/>
  <c r="J29" i="3"/>
  <c r="T13" i="7" l="1"/>
  <c r="U13" i="7" s="1"/>
  <c r="R11" i="4"/>
  <c r="T11" i="4" s="1"/>
  <c r="L11" i="4"/>
  <c r="S11" i="4" s="1"/>
  <c r="O12" i="4"/>
  <c r="J12" i="4"/>
  <c r="W12" i="4"/>
  <c r="M30" i="3"/>
  <c r="P30" i="3" s="1"/>
  <c r="K29" i="3"/>
  <c r="O29" i="3" s="1"/>
  <c r="Q29" i="3" s="1"/>
  <c r="Q12" i="4" l="1"/>
  <c r="Y12" i="4" s="1"/>
  <c r="Z12" i="4" s="1"/>
  <c r="AA12" i="4" s="1"/>
  <c r="P12" i="4"/>
  <c r="K12" i="4"/>
  <c r="N13" i="4"/>
  <c r="N30" i="3"/>
  <c r="J30" i="3"/>
  <c r="R12" i="4" l="1"/>
  <c r="T12" i="4" s="1"/>
  <c r="L12" i="4"/>
  <c r="S12" i="4" s="1"/>
  <c r="J13" i="4"/>
  <c r="O13" i="4"/>
  <c r="P13" i="4" s="1"/>
  <c r="W13" i="4"/>
  <c r="M31" i="3"/>
  <c r="K30" i="3"/>
  <c r="O30" i="3" s="1"/>
  <c r="Q30" i="3" s="1"/>
  <c r="P31" i="3" l="1"/>
  <c r="M34" i="3"/>
  <c r="Q13" i="4"/>
  <c r="Y13" i="4" s="1"/>
  <c r="Z13" i="4" s="1"/>
  <c r="AA13" i="4" s="1"/>
  <c r="N14" i="4"/>
  <c r="K13" i="4"/>
  <c r="L13" i="4" s="1"/>
  <c r="S13" i="4" s="1"/>
  <c r="J31" i="3"/>
  <c r="N31" i="3"/>
  <c r="N32" i="3" s="1"/>
  <c r="K31" i="3" l="1"/>
  <c r="O31" i="3" s="1"/>
  <c r="Q31" i="3" s="1"/>
  <c r="Q33" i="3" s="1"/>
  <c r="J34" i="3"/>
  <c r="H34" i="3" s="1"/>
  <c r="W14" i="4"/>
  <c r="J14" i="4"/>
  <c r="O14" i="4"/>
  <c r="P14" i="4" s="1"/>
  <c r="R13" i="4"/>
  <c r="T13" i="4" s="1"/>
  <c r="K32" i="3" l="1"/>
  <c r="O32" i="3" s="1"/>
  <c r="O34" i="3" s="1"/>
  <c r="N15" i="4"/>
  <c r="K14" i="4"/>
  <c r="L14" i="4" s="1"/>
  <c r="S14" i="4" s="1"/>
  <c r="Q14" i="4"/>
  <c r="Y14" i="4" s="1"/>
  <c r="Z14" i="4" s="1"/>
  <c r="AA14" i="4" s="1"/>
  <c r="N13" i="3"/>
  <c r="P2" i="3"/>
  <c r="P13" i="3" s="1"/>
  <c r="O35" i="3" l="1"/>
  <c r="R14" i="4"/>
  <c r="T14" i="4" s="1"/>
  <c r="W15" i="4"/>
  <c r="O15" i="4"/>
  <c r="P15" i="4" s="1"/>
  <c r="J15" i="4"/>
  <c r="P15" i="3"/>
  <c r="N16" i="4" l="1"/>
  <c r="K15" i="4"/>
  <c r="L15" i="4" s="1"/>
  <c r="S15" i="4" s="1"/>
  <c r="Q15" i="4"/>
  <c r="Y15" i="4" s="1"/>
  <c r="Z15" i="4" s="1"/>
  <c r="O21" i="4"/>
  <c r="AA15" i="4" l="1"/>
  <c r="Y26" i="4"/>
  <c r="V3" i="4"/>
  <c r="V5" i="4"/>
  <c r="V4" i="4"/>
  <c r="R15" i="4"/>
  <c r="T15" i="4" s="1"/>
  <c r="K21" i="4"/>
  <c r="R21" i="4" s="1"/>
  <c r="W16" i="4"/>
  <c r="J16" i="4"/>
  <c r="O16" i="4"/>
  <c r="Q16" i="4" s="1"/>
  <c r="R24" i="4" l="1"/>
  <c r="R23" i="4"/>
  <c r="K16" i="4"/>
  <c r="N17" i="4"/>
  <c r="R16" i="4" l="1"/>
  <c r="L16" i="4"/>
  <c r="S16" i="4" s="1"/>
  <c r="J17" i="4"/>
  <c r="O17" i="4"/>
  <c r="Q17" i="4" s="1"/>
  <c r="W17" i="4"/>
  <c r="K17" i="4" l="1"/>
  <c r="N18" i="4"/>
  <c r="R17" i="4" l="1"/>
  <c r="L17" i="4"/>
  <c r="S17" i="4" s="1"/>
  <c r="J18" i="4"/>
  <c r="W18" i="4"/>
  <c r="O18" i="4"/>
  <c r="Q18" i="4" s="1"/>
  <c r="K18" i="4" l="1"/>
  <c r="N19" i="4"/>
  <c r="R18" i="4" l="1"/>
  <c r="L18" i="4"/>
  <c r="S18" i="4" s="1"/>
  <c r="W19" i="4"/>
  <c r="J19" i="4"/>
  <c r="O19" i="4"/>
  <c r="Q19" i="4" s="1"/>
  <c r="K19" i="4" l="1"/>
  <c r="N20" i="4"/>
  <c r="R19" i="4" l="1"/>
  <c r="L19" i="4"/>
  <c r="S19" i="4" s="1"/>
  <c r="W20" i="4"/>
  <c r="J20" i="4"/>
  <c r="K20" i="4" s="1"/>
  <c r="L20" i="4" s="1"/>
  <c r="S20" i="4" s="1"/>
  <c r="O20" i="4"/>
  <c r="Q20" i="4" s="1"/>
  <c r="R2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tc={33AA123C-702E-45E9-B55D-8645170D38BF}</author>
    <author>tc={CD81D80D-8632-48F4-88CA-6DF38E70B82A}</author>
    <author>tc={FCBECA11-E796-4C1E-A3C7-7919556DB760}</author>
    <author>tc={2BFA7841-1211-4CF4-B71C-A31241B3401A}</author>
    <author>tc={5D0796FF-8682-4A8A-9DD1-A07090DBCAE3}</author>
    <author>tc={5A18D1FD-7EBF-481C-8211-72BC7BFF905E}</author>
    <author>tc={10305376-AFFD-4A51-A07A-B176440715D2}</author>
    <author>tc={D41A7207-562F-45D5-9960-EE216855A804}</author>
  </authors>
  <commentList>
    <comment ref="V3" authorId="0" shapeId="0" xr:uid="{33AA123C-702E-45E9-B55D-8645170D38BF}">
      <text>
        <t>[Threaded comment]
Your version of Excel allows you to read this threaded comment; however, any edits to it will get removed if the file is opened in a newer version of Excel. Learn more: https://go.microsoft.com/fwlink/?linkid=870924
Comment:
    NPV, IRR and BCR calculated on the marginal VOP addition column O</t>
      </text>
    </comment>
    <comment ref="D5" authorId="1" shapeId="0" xr:uid="{CD81D80D-8632-48F4-88CA-6DF38E70B82A}">
      <text>
        <t>[Threaded comment]
Your version of Excel allows you to read this threaded comment; however, any edits to it will get removed if the file is opened in a newer version of Excel. Learn more: https://go.microsoft.com/fwlink/?linkid=870924
Comment:
    Area value here from sheet "calcs" for the commodity under study (here maize).
Column Q is the area in the anchor countries in the relevant systems
Column U the same, for the spillover countries</t>
      </text>
    </comment>
    <comment ref="E5" authorId="2" shapeId="0" xr:uid="{FCBECA11-E796-4C1E-A3C7-7919556DB760}">
      <text>
        <t>[Threaded comment]
Your version of Excel allows you to read this threaded comment; however, any edits to it will get removed if the file is opened in a newer version of Excel. Learn more: https://go.microsoft.com/fwlink/?linkid=870924
Comment:
    production t divided by area ha</t>
      </text>
    </comment>
    <comment ref="F5" authorId="3" shapeId="0" xr:uid="{2BFA7841-1211-4CF4-B71C-A31241B3401A}">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production in the anchor countries in the relevant systems
Column U the same, for the spillover countries</t>
      </text>
    </comment>
    <comment ref="G5" authorId="4" shapeId="0" xr:uid="{5D0796FF-8682-4A8A-9DD1-A07090DBCAE3}">
      <text>
        <t>[Threaded comment]
Your version of Excel allows you to read this threaded comment; however, any edits to it will get removed if the file is opened in a newer version of Excel. Learn more: https://go.microsoft.com/fwlink/?linkid=870924
Comment:
    VOP divided by production = price</t>
      </text>
    </comment>
    <comment ref="H5" authorId="5" shapeId="0" xr:uid="{5A18D1FD-7EBF-481C-8211-72BC7BFF905E}">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change in VOP (the delta) per 1% increase in yield in the anchor countries
Column U the same, for the spillover countries</t>
      </text>
    </comment>
    <comment ref="M6" authorId="6" shapeId="0" xr:uid="{10305376-AFFD-4A51-A07A-B176440715D2}">
      <text>
        <t>[Threaded comment]
Your version of Excel allows you to read this threaded comment; however, any edits to it will get removed if the file is opened in a newer version of Excel. Learn more: https://go.microsoft.com/fwlink/?linkid=870924
Comment:
    Yield for adopters, from teh derived yield in E5 plus a C4 % yield increment</t>
      </text>
    </comment>
    <comment ref="O6" authorId="7" shapeId="0" xr:uid="{D41A7207-562F-45D5-9960-EE216855A804}">
      <text>
        <t>[Threaded comment]
Your version of Excel allows you to read this threaded comment; however, any edits to it will get removed if the file is opened in a newer version of Excel. Learn more: https://go.microsoft.com/fwlink/?linkid=870924
Comment:
    Calculated using the fixed % adoption rate (in b4)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tc={BB48CCC9-8BEE-4975-AE59-5243FB023ED8}</author>
    <author>tc={A166ACEC-62BE-4388-94C6-8FEAA64AACD7}</author>
    <author>tc={84F46C70-2F7D-4373-B311-DA7272DD4706}</author>
    <author>tc={4B042530-B743-4A67-9DB9-2F56D1EFF2C6}</author>
    <author>tc={9E7B3EBE-0992-442B-858E-BE8882CF1DB4}</author>
    <author>tc={FDA9ED54-260A-467D-A9EB-0BABC0CFDCFF}</author>
  </authors>
  <commentList>
    <comment ref="D3" authorId="0" shapeId="0" xr:uid="{BB48CCC9-8BEE-4975-AE59-5243FB023ED8}">
      <text>
        <t>[Threaded comment]
Your version of Excel allows you to read this threaded comment; however, any edits to it will get removed if the file is opened in a newer version of Excel. Learn more: https://go.microsoft.com/fwlink/?linkid=870924
Comment:
    Area value here from sheet "calcs" for the commodity under study (here maize).
Column Q is the area in the anchor countries in the relevant systems
Column U the same, for the spillover countries</t>
      </text>
    </comment>
    <comment ref="E3" authorId="1" shapeId="0" xr:uid="{A166ACEC-62BE-4388-94C6-8FEAA64AACD7}">
      <text>
        <t>[Threaded comment]
Your version of Excel allows you to read this threaded comment; however, any edits to it will get removed if the file is opened in a newer version of Excel. Learn more: https://go.microsoft.com/fwlink/?linkid=870924
Comment:
    production t divided by area ha</t>
      </text>
    </comment>
    <comment ref="F3" authorId="2" shapeId="0" xr:uid="{84F46C70-2F7D-4373-B311-DA7272DD4706}">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production in the anchor countries in the relevant systems
Column U the same, for the spillover countries</t>
      </text>
    </comment>
    <comment ref="G3" authorId="3" shapeId="0" xr:uid="{4B042530-B743-4A67-9DB9-2F56D1EFF2C6}">
      <text>
        <t>[Threaded comment]
Your version of Excel allows you to read this threaded comment; however, any edits to it will get removed if the file is opened in a newer version of Excel. Learn more: https://go.microsoft.com/fwlink/?linkid=870924
Comment:
    VOP divided by production = price</t>
      </text>
    </comment>
    <comment ref="H3" authorId="4" shapeId="0" xr:uid="{9E7B3EBE-0992-442B-858E-BE8882CF1DB4}">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change in VOP (the delta) per 1% increase in yield in the anchor countries
Column U the same, for the spillover countries</t>
      </text>
    </comment>
    <comment ref="L4" authorId="5" shapeId="0" xr:uid="{FDA9ED54-260A-467D-A9EB-0BABC0CFDCFF}">
      <text>
        <t>[Threaded comment]
Your version of Excel allows you to read this threaded comment; however, any edits to it will get removed if the file is opened in a newer version of Excel. Learn more: https://go.microsoft.com/fwlink/?linkid=870924
Comment:
    Yield for adopters, from teh derived yield in E5 plus a C4 % yield increment</t>
      </text>
    </comment>
  </commentList>
</comments>
</file>

<file path=xl/sharedStrings.xml><?xml version="1.0" encoding="utf-8"?>
<sst xmlns="http://schemas.openxmlformats.org/spreadsheetml/2006/main" count="1461" uniqueCount="178">
  <si>
    <t>LGA</t>
  </si>
  <si>
    <t>LGH</t>
  </si>
  <si>
    <t>LGT</t>
  </si>
  <si>
    <t>MRA</t>
  </si>
  <si>
    <t>MRH</t>
  </si>
  <si>
    <t>MRT</t>
  </si>
  <si>
    <t>MIA</t>
  </si>
  <si>
    <t>MIH</t>
  </si>
  <si>
    <t>MIT</t>
  </si>
  <si>
    <t>URB</t>
  </si>
  <si>
    <t>OTH</t>
  </si>
  <si>
    <t>AREA</t>
  </si>
  <si>
    <t>Burundi</t>
  </si>
  <si>
    <t>Benin</t>
  </si>
  <si>
    <t>Cote d'I</t>
  </si>
  <si>
    <t>Ethiopia</t>
  </si>
  <si>
    <t>Ghana</t>
  </si>
  <si>
    <t>Guinea</t>
  </si>
  <si>
    <t>Gambia</t>
  </si>
  <si>
    <t>Guinea-B</t>
  </si>
  <si>
    <t>Kenya</t>
  </si>
  <si>
    <t>Mali</t>
  </si>
  <si>
    <t>Mozambiq</t>
  </si>
  <si>
    <t>Malawi</t>
  </si>
  <si>
    <t>Niger</t>
  </si>
  <si>
    <t>Nigeria</t>
  </si>
  <si>
    <t>Rwanda</t>
  </si>
  <si>
    <t>Senegal</t>
  </si>
  <si>
    <t>Togo</t>
  </si>
  <si>
    <t>Tanzania</t>
  </si>
  <si>
    <t>Uganda</t>
  </si>
  <si>
    <t>Zambia</t>
  </si>
  <si>
    <t>Zimbabwe</t>
  </si>
  <si>
    <t>POPU</t>
  </si>
  <si>
    <t xml:space="preserve"> </t>
  </si>
  <si>
    <t>Region</t>
  </si>
  <si>
    <t>EA</t>
  </si>
  <si>
    <t>WA</t>
  </si>
  <si>
    <t>SAF</t>
  </si>
  <si>
    <t>No. farms</t>
  </si>
  <si>
    <t>Tot</t>
  </si>
  <si>
    <t>Ag value % GDP</t>
  </si>
  <si>
    <t>% rural pop</t>
  </si>
  <si>
    <t>TOT</t>
  </si>
  <si>
    <t>BV MEAT VOP</t>
  </si>
  <si>
    <t>BV MILK VOP</t>
  </si>
  <si>
    <t>BV MEAT PROD KG</t>
  </si>
  <si>
    <t>BV MILK PROD KG</t>
  </si>
  <si>
    <t>MZ VOP</t>
  </si>
  <si>
    <t>MZ AREA</t>
  </si>
  <si>
    <t>MZ PROD</t>
  </si>
  <si>
    <t>MZ YIELD</t>
  </si>
  <si>
    <t>Burkina</t>
  </si>
  <si>
    <t>Botswana</t>
  </si>
  <si>
    <t>Cameroon</t>
  </si>
  <si>
    <t>Mauritan</t>
  </si>
  <si>
    <t>Chad</t>
  </si>
  <si>
    <t>FOODCROP VOP</t>
  </si>
  <si>
    <t>FOODCROP AREA</t>
  </si>
  <si>
    <t>CATTLE NUMBERS</t>
  </si>
  <si>
    <t>FAOSTAT Yield av</t>
  </si>
  <si>
    <t>sd</t>
  </si>
  <si>
    <t>1989-2018</t>
  </si>
  <si>
    <t>cv</t>
  </si>
  <si>
    <t>SAF (the 5)</t>
  </si>
  <si>
    <t>Y</t>
  </si>
  <si>
    <t>SD</t>
  </si>
  <si>
    <t>EA (the 6)</t>
  </si>
  <si>
    <t>WA (the 15)</t>
  </si>
  <si>
    <t>TOT MR</t>
  </si>
  <si>
    <t>NATIONAL</t>
  </si>
  <si>
    <t>% MR</t>
  </si>
  <si>
    <t>Yield benefit %</t>
  </si>
  <si>
    <t>Total VOP change</t>
  </si>
  <si>
    <t>VOP delta / 1% yield incr CORE</t>
  </si>
  <si>
    <t>VOP delta / 1% yield incr SPILLOVERS</t>
  </si>
  <si>
    <t>y</t>
  </si>
  <si>
    <t>x</t>
  </si>
  <si>
    <t>s</t>
  </si>
  <si>
    <t>a</t>
  </si>
  <si>
    <t>pr</t>
  </si>
  <si>
    <t>GM</t>
  </si>
  <si>
    <t>Country and systems included</t>
  </si>
  <si>
    <t>MRA, MRH, MRT, MIA, MIH, MIT</t>
  </si>
  <si>
    <t>MRA, MIA</t>
  </si>
  <si>
    <t>Maize</t>
  </si>
  <si>
    <t>Food crops</t>
  </si>
  <si>
    <t>Bovine meat</t>
  </si>
  <si>
    <t>Bovine milk</t>
  </si>
  <si>
    <t>Total</t>
  </si>
  <si>
    <t>Saf</t>
  </si>
  <si>
    <t>sum</t>
  </si>
  <si>
    <t>Adoption %</t>
  </si>
  <si>
    <t>Yield %</t>
  </si>
  <si>
    <t>A</t>
  </si>
  <si>
    <t>Prod</t>
  </si>
  <si>
    <t>Price</t>
  </si>
  <si>
    <t>VOP</t>
  </si>
  <si>
    <t>Y non adopt</t>
  </si>
  <si>
    <t>A non adopt</t>
  </si>
  <si>
    <t>Y adopt</t>
  </si>
  <si>
    <t>A adopt</t>
  </si>
  <si>
    <t>VOP non</t>
  </si>
  <si>
    <t>VOP adopt</t>
  </si>
  <si>
    <t>inc VOP</t>
  </si>
  <si>
    <t>inc VOP %</t>
  </si>
  <si>
    <t>N(1,0.35)</t>
  </si>
  <si>
    <t>N(1,0.34)</t>
  </si>
  <si>
    <t>f(x)</t>
  </si>
  <si>
    <t>Delta</t>
  </si>
  <si>
    <t>delta</t>
  </si>
  <si>
    <t>loss foregone</t>
  </si>
  <si>
    <t>N(1.4,0.35)</t>
  </si>
  <si>
    <t>p(x)</t>
  </si>
  <si>
    <t>TOT VOP</t>
  </si>
  <si>
    <t>NPV</t>
  </si>
  <si>
    <t>IRR</t>
  </si>
  <si>
    <t>B:C</t>
  </si>
  <si>
    <t>Marginal VOP addition</t>
  </si>
  <si>
    <t>Adopt %</t>
  </si>
  <si>
    <t>Cost delta</t>
  </si>
  <si>
    <t>Harris &amp; Orr</t>
  </si>
  <si>
    <t>NR base</t>
  </si>
  <si>
    <t>NR imp</t>
  </si>
  <si>
    <t>BCR base</t>
  </si>
  <si>
    <t>BCR imp</t>
  </si>
  <si>
    <t>CIS VOP</t>
  </si>
  <si>
    <t>CSA VOP</t>
  </si>
  <si>
    <t>Combined cash flow</t>
  </si>
  <si>
    <t>N(1,4.34)</t>
  </si>
  <si>
    <t>Discounted cash flow</t>
  </si>
  <si>
    <t>Marginal VOP ish **</t>
  </si>
  <si>
    <t>NOTES</t>
  </si>
  <si>
    <t>Data in this block, hand-entered with FAOSTAT average maize yields and yield sds</t>
  </si>
  <si>
    <t>From here down, FORTRAN output from Mario's PNAS data and Jawoo's VOP Harvest Choice data</t>
  </si>
  <si>
    <t>for meat, milk and maize</t>
  </si>
  <si>
    <t>Prob density</t>
  </si>
  <si>
    <t>Old dist</t>
  </si>
  <si>
    <t>New dist</t>
  </si>
  <si>
    <t>New - Old</t>
  </si>
  <si>
    <t>Old Y</t>
  </si>
  <si>
    <t>New Y</t>
  </si>
  <si>
    <t>mean</t>
  </si>
  <si>
    <t>CV</t>
  </si>
  <si>
    <t>Normal</t>
  </si>
  <si>
    <t>delta p(x)</t>
  </si>
  <si>
    <t>loss avoided, %</t>
  </si>
  <si>
    <t>Only sum the areas between the PDFs below the mean that are negative (i.e. benefit to a lower SD)</t>
  </si>
  <si>
    <t>This is 3.6% avoided loss of the total area under the PDF</t>
  </si>
  <si>
    <t>B</t>
  </si>
  <si>
    <t>Marg VOP ???</t>
  </si>
  <si>
    <t>C1</t>
  </si>
  <si>
    <t>C2</t>
  </si>
  <si>
    <t>Non ad NR</t>
  </si>
  <si>
    <t>Ad NR</t>
  </si>
  <si>
    <t>Tot NR</t>
  </si>
  <si>
    <t>NonA NR</t>
  </si>
  <si>
    <t>Project costs</t>
  </si>
  <si>
    <t>Project benefits</t>
  </si>
  <si>
    <t>Adopter NR</t>
  </si>
  <si>
    <t>Non adopter NR</t>
  </si>
  <si>
    <t>C1 /ha</t>
  </si>
  <si>
    <t>C2 /ha</t>
  </si>
  <si>
    <t>Non BCR</t>
  </si>
  <si>
    <t>Example for MZ in the 6 target countries</t>
  </si>
  <si>
    <t>Hi Pete,</t>
  </si>
  <si>
    <t xml:space="preserve">I’ve had a rethink. </t>
  </si>
  <si>
    <t>1. I still don’t know what I was suggesting previously in the spreadsheet, but working with VOP for the cashflow analysis doesn’t really do the job, as it omits the costs.  VOP is still useful for the marginal increase tables in the analysis, however.</t>
  </si>
  <si>
    <t>NR ($/ha) = price ($/t) * yield (t/ha) – costs ($/ha)</t>
  </si>
  <si>
    <t>For non-adopters, this is calculated in column K, for adopters in column N.  The projected benefits are then the sum of these minus the “original” net revenue where there is no adoption at all (cell K3).</t>
  </si>
  <si>
    <t>3. To estimate the respective costs, from the analysis of Harris and Orr (2013), the median Benefit-Cost Ratio (BCR) for “traditional” technologies is 1.62. This is in cell H10.  From this, non-adopter costs per ha (cell H8) are P*Y / BCR, since BCR = total revenue – costs (i.e. total revenue is the same as VOP).</t>
  </si>
  <si>
    <t>4. To estimate the adopters’ costs (cell H9), it doesn’t make sense to use Harris &amp; Orr’s BCR estimate for improved technologies (2.24), as in their meta-analysis, mean net returns are nearly tripled, VOP is more than doubled, while costs per ha are merely increased by 50%.  We are looking at yield increments of 15-30% only.  Since these increments are marginal, a reasonable assumption is to say that the BCR does not change from non-adoption to adoption.  This gives adopters’ costs as shown in H9. For adopters, yields go up, but so do their costs.</t>
  </si>
  <si>
    <t>5. Then doing the cashflow analysis in column T, we get the NPV, IRR and BCR for the USD 60 million investment.  The numbers shown are for maize in the spillover countries, and they are not hugely different from the numbers I calculated previously (and wrongly) in the EFA, which is somewhat comforting.</t>
  </si>
  <si>
    <t>If users have other numbers, they can always plug them in for the costs (C1 and C2). Or they could enter a new BCR value (H10). So in this version, we don’t use the cost factor (which it now turns out I had calculated wrongly anyway).</t>
  </si>
  <si>
    <t>Hope this makes sense, but let me know if not, and maybe we can catch up on Teams early next week.</t>
  </si>
  <si>
    <t>Have a good weekend.</t>
  </si>
  <si>
    <t>Phil</t>
  </si>
  <si>
    <t>2. For cash flow, if you look at sheet “Jun22 Revision” in the attached, I’ve redone an example in terms of net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</si>
</sst>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Red]\-&quot;£&quot;#,##0.00"/>
    <numFmt numFmtId="43" formatCode="_-* #,##0.00_-;\-* #,##0.00_-;_-* &quot;-&quot;??_-;_-@_-"/>
    <numFmt numFmtId="164" formatCode="0.0"/>
    <numFmt numFmtId="165" formatCode="_-* #,##0_-;\-* #,##0_-;_-* &quot;-&quot;??_-;_-@_-"/>
    <numFmt numFmtId="166" formatCode="_-* #,##0.0000_-;\-* #,##0.0000_-;_-* &quot;-&quot;??_-;_-@_-"/>
    <numFmt numFmtId="167" formatCode="0.000"/>
    <numFmt numFmtId="168" formatCode="0.0%"/>
    <numFmt numFmtId="169" formatCode="0.000000"/>
    <numFmt numFmtId="170" formatCode="_-* #,##0.000_-;\-* #,##0.000_-;_-* &quot;-&quot;??_-;_-@_-"/>
    <numFmt numFmtId="171" formatCode="#,##0.00_ ;\-#,##0.00\ "/>
  </numFmts>
  <fonts count="23"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b/>
      <sz val="11"/>
      <color rgb="FFFF0000"/>
      <name val="Calibri"/>
      <family val="2"/>
    </font>
    <font>
      <sz val="11"/>
      <color theme="4" tint="-0.249977111117893"/>
      <name val="Calibri"/>
      <family val="2"/>
    </font>
    <font>
      <b/>
      <sz val="11"/>
      <color theme="4" tint="-0.249977111117893"/>
      <name val="Calibri"/>
      <family val="2"/>
    </font>
    <font>
      <sz val="9"/>
      <color rgb="FF000000"/>
      <name val="Calibri"/>
      <family val="2"/>
    </font>
    <font>
      <sz val="11"/>
      <color rgb="FF000000"/>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2">
    <xf numFmtId="0" fontId="0" fillId="0" borderId="0" xfId="0"/>
    <xf numFmtId="164" fontId="0" fillId="0" borderId="0" xfId="0" applyNumberFormat="1"/>
    <xf numFmtId="165" fontId="0" fillId="0" borderId="0" xfId="1" applyNumberFormat="1" applyFont="1"/>
    <xf numFmtId="0" fontId="14" fillId="0" borderId="0" xfId="0" applyFont="1"/>
    <xf numFmtId="165" fontId="18" fillId="0" borderId="0" xfId="1" applyNumberFormat="1" applyFont="1"/>
    <xf numFmtId="3" fontId="0" fillId="0" borderId="0" xfId="0" applyNumberFormat="1"/>
    <xf numFmtId="164" fontId="14" fillId="0" borderId="0" xfId="0" applyNumberFormat="1" applyFont="1"/>
    <xf numFmtId="0" fontId="0" fillId="0" borderId="0" xfId="0" applyAlignment="1">
      <alignment horizontal="center"/>
    </xf>
    <xf numFmtId="0" fontId="18" fillId="0" borderId="0" xfId="0" applyFont="1"/>
    <xf numFmtId="0" fontId="18" fillId="0" borderId="0" xfId="0" applyFont="1" applyAlignment="1">
      <alignment horizontal="center"/>
    </xf>
    <xf numFmtId="0" fontId="16" fillId="0" borderId="0" xfId="0" applyFont="1"/>
    <xf numFmtId="3" fontId="16" fillId="0" borderId="0" xfId="0" applyNumberFormat="1" applyFont="1"/>
    <xf numFmtId="2" fontId="0" fillId="0" borderId="0" xfId="0" applyNumberFormat="1" applyAlignment="1">
      <alignment horizontal="left" indent="4"/>
    </xf>
    <xf numFmtId="2" fontId="0" fillId="0" borderId="0" xfId="0" applyNumberFormat="1"/>
    <xf numFmtId="0" fontId="0" fillId="33" borderId="0" xfId="0" applyFill="1"/>
    <xf numFmtId="2" fontId="0" fillId="33" borderId="0" xfId="0" applyNumberFormat="1" applyFill="1" applyAlignment="1">
      <alignment horizontal="left" indent="4"/>
    </xf>
    <xf numFmtId="0" fontId="19" fillId="0" borderId="0" xfId="0" applyFont="1"/>
    <xf numFmtId="165" fontId="20" fillId="0" borderId="0" xfId="1" applyNumberFormat="1" applyFont="1"/>
    <xf numFmtId="43" fontId="0" fillId="0" borderId="0" xfId="0" applyNumberFormat="1"/>
    <xf numFmtId="165" fontId="0" fillId="0" borderId="0" xfId="0" applyNumberFormat="1"/>
    <xf numFmtId="0" fontId="18" fillId="0" borderId="0" xfId="0" applyFont="1" applyAlignment="1">
      <alignment horizontal="center" vertical="center"/>
    </xf>
    <xf numFmtId="0" fontId="20"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165" fontId="18" fillId="0" borderId="0" xfId="0" applyNumberFormat="1" applyFont="1"/>
    <xf numFmtId="165" fontId="18" fillId="0" borderId="0" xfId="1" applyNumberFormat="1" applyFont="1" applyAlignment="1">
      <alignment horizontal="center" vertical="center" wrapText="1"/>
    </xf>
    <xf numFmtId="0" fontId="18" fillId="0" borderId="0" xfId="0" applyFont="1" applyAlignment="1">
      <alignment horizontal="center" vertical="center" wrapText="1"/>
    </xf>
    <xf numFmtId="0" fontId="21" fillId="0" borderId="10" xfId="0" applyFont="1" applyBorder="1" applyAlignment="1">
      <alignment vertical="center" wrapText="1"/>
    </xf>
    <xf numFmtId="0" fontId="21" fillId="0" borderId="13" xfId="0" applyFont="1" applyBorder="1" applyAlignment="1">
      <alignment vertical="center" wrapText="1"/>
    </xf>
    <xf numFmtId="0" fontId="21" fillId="0" borderId="14" xfId="0" applyFont="1" applyBorder="1" applyAlignment="1">
      <alignment horizontal="center" vertical="center" wrapText="1"/>
    </xf>
    <xf numFmtId="3" fontId="21" fillId="0" borderId="14" xfId="0" applyNumberFormat="1" applyFont="1" applyBorder="1" applyAlignment="1">
      <alignment horizontal="right" vertical="center" wrapText="1"/>
    </xf>
    <xf numFmtId="43" fontId="0" fillId="0" borderId="0" xfId="1" applyFont="1"/>
    <xf numFmtId="166" fontId="0" fillId="0" borderId="0" xfId="0" applyNumberFormat="1"/>
    <xf numFmtId="1" fontId="0" fillId="0" borderId="0" xfId="1" applyNumberFormat="1" applyFont="1"/>
    <xf numFmtId="43" fontId="0" fillId="33" borderId="0" xfId="1" applyFont="1" applyFill="1"/>
    <xf numFmtId="4" fontId="0" fillId="0" borderId="0" xfId="0" applyNumberFormat="1"/>
    <xf numFmtId="167" fontId="0" fillId="0" borderId="0" xfId="0" applyNumberFormat="1"/>
    <xf numFmtId="2" fontId="0" fillId="0" borderId="0" xfId="0" applyNumberFormat="1" applyAlignment="1">
      <alignment vertical="center" wrapText="1"/>
    </xf>
    <xf numFmtId="0" fontId="0" fillId="0" borderId="0" xfId="0" applyAlignment="1">
      <alignment vertical="center" wrapText="1"/>
    </xf>
    <xf numFmtId="0" fontId="0" fillId="34" borderId="0" xfId="0" applyFill="1"/>
    <xf numFmtId="167" fontId="0" fillId="34" borderId="0" xfId="0" applyNumberFormat="1" applyFill="1"/>
    <xf numFmtId="8" fontId="0" fillId="35" borderId="0" xfId="0" applyNumberFormat="1" applyFill="1" applyAlignment="1">
      <alignment vertical="center" wrapText="1"/>
    </xf>
    <xf numFmtId="0" fontId="0" fillId="35" borderId="0" xfId="0" applyFill="1"/>
    <xf numFmtId="43" fontId="0" fillId="35" borderId="0" xfId="0" applyNumberFormat="1" applyFill="1"/>
    <xf numFmtId="165" fontId="0" fillId="35" borderId="0" xfId="1" applyNumberFormat="1" applyFont="1" applyFill="1" applyAlignment="1">
      <alignment vertical="center" wrapText="1"/>
    </xf>
    <xf numFmtId="167" fontId="0" fillId="0" borderId="0" xfId="0" applyNumberFormat="1" applyAlignment="1">
      <alignment horizontal="center" vertical="center" wrapText="1"/>
    </xf>
    <xf numFmtId="168" fontId="0" fillId="35" borderId="0" xfId="0" applyNumberFormat="1" applyFill="1"/>
    <xf numFmtId="0" fontId="0" fillId="36" borderId="0" xfId="0" applyFill="1"/>
    <xf numFmtId="43" fontId="0" fillId="36" borderId="0" xfId="0" applyNumberFormat="1" applyFill="1"/>
    <xf numFmtId="8" fontId="0" fillId="36" borderId="0" xfId="0" applyNumberFormat="1" applyFill="1" applyAlignment="1">
      <alignment vertical="center" wrapText="1"/>
    </xf>
    <xf numFmtId="9" fontId="0" fillId="36" borderId="0" xfId="0" applyNumberFormat="1" applyFill="1"/>
    <xf numFmtId="0" fontId="0" fillId="35" borderId="0" xfId="0" applyFill="1" applyAlignment="1">
      <alignment horizontal="center" vertical="center" wrapText="1"/>
    </xf>
    <xf numFmtId="4" fontId="0" fillId="35" borderId="0" xfId="0" applyNumberFormat="1" applyFill="1"/>
    <xf numFmtId="43" fontId="0" fillId="35" borderId="0" xfId="1" applyFont="1" applyFill="1"/>
    <xf numFmtId="165" fontId="0" fillId="36" borderId="0" xfId="1" applyNumberFormat="1" applyFont="1" applyFill="1" applyAlignment="1">
      <alignment vertical="center" wrapText="1"/>
    </xf>
    <xf numFmtId="168" fontId="0" fillId="36" borderId="0" xfId="0" applyNumberFormat="1" applyFill="1"/>
    <xf numFmtId="2" fontId="0" fillId="36" borderId="0" xfId="0" applyNumberFormat="1" applyFill="1"/>
    <xf numFmtId="165" fontId="0" fillId="36" borderId="0" xfId="1" applyNumberFormat="1" applyFont="1" applyFill="1"/>
    <xf numFmtId="0" fontId="0" fillId="0" borderId="0" xfId="0" applyAlignment="1">
      <alignment wrapText="1"/>
    </xf>
    <xf numFmtId="43" fontId="0" fillId="37" borderId="0" xfId="0" applyNumberFormat="1" applyFill="1"/>
    <xf numFmtId="0" fontId="0" fillId="36" borderId="0" xfId="0" applyFill="1" applyAlignment="1">
      <alignment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center"/>
    </xf>
    <xf numFmtId="169" fontId="0" fillId="0" borderId="0" xfId="0" applyNumberFormat="1"/>
    <xf numFmtId="169" fontId="16" fillId="0" borderId="0" xfId="0" applyNumberFormat="1" applyFont="1"/>
    <xf numFmtId="169" fontId="14" fillId="0" borderId="0" xfId="0" applyNumberFormat="1" applyFont="1"/>
    <xf numFmtId="0" fontId="0" fillId="38" borderId="0" xfId="0" applyFill="1"/>
    <xf numFmtId="43" fontId="0" fillId="0" borderId="0" xfId="1" applyFont="1" applyFill="1"/>
    <xf numFmtId="43" fontId="0" fillId="0" borderId="0" xfId="0" applyNumberFormat="1" applyAlignment="1">
      <alignment horizontal="center"/>
    </xf>
    <xf numFmtId="0" fontId="0" fillId="37" borderId="0" xfId="0" applyFill="1" applyAlignment="1">
      <alignment vertical="center" wrapText="1"/>
    </xf>
    <xf numFmtId="0" fontId="0" fillId="39" borderId="0" xfId="0" applyFill="1" applyAlignment="1">
      <alignment vertical="center" wrapText="1"/>
    </xf>
    <xf numFmtId="0" fontId="0" fillId="39" borderId="0" xfId="0" applyFill="1"/>
    <xf numFmtId="43" fontId="0" fillId="39" borderId="0" xfId="1" applyFont="1" applyFill="1"/>
    <xf numFmtId="4" fontId="0" fillId="39" borderId="0" xfId="0" applyNumberFormat="1" applyFill="1"/>
    <xf numFmtId="43" fontId="0" fillId="39" borderId="0" xfId="0" applyNumberFormat="1" applyFill="1"/>
    <xf numFmtId="43" fontId="0" fillId="36" borderId="0" xfId="1" applyFont="1" applyFill="1"/>
    <xf numFmtId="170" fontId="0" fillId="0" borderId="0" xfId="0" applyNumberFormat="1"/>
    <xf numFmtId="171" fontId="0" fillId="39" borderId="0" xfId="1" applyNumberFormat="1" applyFont="1" applyFill="1"/>
    <xf numFmtId="0" fontId="0" fillId="39" borderId="0" xfId="0" applyFill="1" applyAlignment="1">
      <alignment horizontal="center" vertical="center" wrapText="1"/>
    </xf>
    <xf numFmtId="0" fontId="0" fillId="40" borderId="0" xfId="0" applyFill="1"/>
    <xf numFmtId="0" fontId="0" fillId="0" borderId="0" xfId="0" applyAlignment="1">
      <alignment vertical="center"/>
    </xf>
    <xf numFmtId="8" fontId="0" fillId="0" borderId="0" xfId="0" applyNumberFormat="1" applyAlignment="1">
      <alignment vertical="center" wrapText="1"/>
    </xf>
    <xf numFmtId="165" fontId="0" fillId="0" borderId="0" xfId="1" applyNumberFormat="1" applyFont="1" applyFill="1" applyAlignment="1">
      <alignment vertical="center" wrapText="1"/>
    </xf>
    <xf numFmtId="165" fontId="0" fillId="0" borderId="0" xfId="1" applyNumberFormat="1" applyFont="1" applyFill="1" applyBorder="1" applyAlignment="1">
      <alignment vertical="center" wrapText="1"/>
    </xf>
    <xf numFmtId="0" fontId="21" fillId="0" borderId="15"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6" xfId="0" applyFont="1" applyBorder="1" applyAlignment="1">
      <alignment vertical="center" wrapText="1"/>
    </xf>
    <xf numFmtId="0" fontId="21" fillId="0" borderId="13" xfId="0" applyFont="1" applyBorder="1" applyAlignment="1">
      <alignment vertical="center" wrapText="1"/>
    </xf>
    <xf numFmtId="3" fontId="22" fillId="0" borderId="16" xfId="0" applyNumberFormat="1" applyFont="1" applyBorder="1" applyAlignment="1">
      <alignment horizontal="right" vertical="center" wrapText="1"/>
    </xf>
    <xf numFmtId="3" fontId="22" fillId="0" borderId="13" xfId="0" applyNumberFormat="1" applyFont="1" applyBorder="1" applyAlignment="1">
      <alignment horizontal="righ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rnton, Philip (ILRI)" id="{1EB3C222-FD2B-4AA3-A4BD-1789BFF4D7A5}" userId="S::P.THORNTON@cgiar.org::85822b6c-7818-4d26-bc29-513df62c870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3" dT="2021-04-14T11:08:37.51" personId="{1EB3C222-FD2B-4AA3-A4BD-1789BFF4D7A5}" id="{33AA123C-702E-45E9-B55D-8645170D38BF}">
    <text>NPV, IRR and BCR calculated on the marginal VOP addition column O</text>
  </threadedComment>
  <threadedComment ref="D5" dT="2021-04-14T10:54:31.60" personId="{1EB3C222-FD2B-4AA3-A4BD-1789BFF4D7A5}" id="{CD81D80D-8632-48F4-88CA-6DF38E70B82A}">
    <text>Area value here from sheet "calcs" for the commodity under study (here maize).
Column Q is the area in the anchor countries in the relevant systems
Column U the same, for the spillover countries</text>
  </threadedComment>
  <threadedComment ref="E5" dT="2021-04-14T10:58:11.02" personId="{1EB3C222-FD2B-4AA3-A4BD-1789BFF4D7A5}" id="{FCBECA11-E796-4C1E-A3C7-7919556DB760}">
    <text>production t divided by area ha</text>
  </threadedComment>
  <threadedComment ref="F5" dT="2021-04-14T10:56:21.17" personId="{1EB3C222-FD2B-4AA3-A4BD-1789BFF4D7A5}" id="{2BFA7841-1211-4CF4-B71C-A31241B3401A}">
    <text>Production value here from sheet "calcs" for the commodity under study (here maize).
Column Q is the production in the anchor countries in the relevant systems
Column U the same, for the spillover countries</text>
  </threadedComment>
  <threadedComment ref="G5" dT="2021-04-14T10:58:37.57" personId="{1EB3C222-FD2B-4AA3-A4BD-1789BFF4D7A5}" id="{5D0796FF-8682-4A8A-9DD1-A07090DBCAE3}">
    <text>VOP divided by production = price</text>
  </threadedComment>
  <threadedComment ref="H5" dT="2021-04-14T10:57:18.45" personId="{1EB3C222-FD2B-4AA3-A4BD-1789BFF4D7A5}" id="{5A18D1FD-7EBF-481C-8211-72BC7BFF905E}">
    <text>Production value here from sheet "calcs" for the commodity under study (here maize).
Column Q is the change in VOP (the delta) per 1% increase in yield in the anchor countries
Column U the same, for the spillover countries</text>
  </threadedComment>
  <threadedComment ref="M6" dT="2021-04-14T11:05:28.20" personId="{1EB3C222-FD2B-4AA3-A4BD-1789BFF4D7A5}" id="{10305376-AFFD-4A51-A07A-B176440715D2}">
    <text>Yield for adopters, from teh derived yield in E5 plus a C4 % yield increment</text>
  </threadedComment>
  <threadedComment ref="O6" dT="2021-04-14T11:06:18.51" personId="{1EB3C222-FD2B-4AA3-A4BD-1789BFF4D7A5}" id="{D41A7207-562F-45D5-9960-EE216855A804}">
    <text>Calculated using the fixed % adoption rate (in b4)</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21-04-14T10:54:31.60" personId="{1EB3C222-FD2B-4AA3-A4BD-1789BFF4D7A5}" id="{BB48CCC9-8BEE-4975-AE59-5243FB023ED8}">
    <text>Area value here from sheet "calcs" for the commodity under study (here maize).
Column Q is the area in the anchor countries in the relevant systems
Column U the same, for the spillover countries</text>
  </threadedComment>
  <threadedComment ref="E3" dT="2021-04-14T10:58:11.02" personId="{1EB3C222-FD2B-4AA3-A4BD-1789BFF4D7A5}" id="{A166ACEC-62BE-4388-94C6-8FEAA64AACD7}">
    <text>production t divided by area ha</text>
  </threadedComment>
  <threadedComment ref="F3" dT="2021-04-14T10:56:21.17" personId="{1EB3C222-FD2B-4AA3-A4BD-1789BFF4D7A5}" id="{84F46C70-2F7D-4373-B311-DA7272DD4706}">
    <text>Production value here from sheet "calcs" for the commodity under study (here maize).
Column Q is the production in the anchor countries in the relevant systems
Column U the same, for the spillover countries</text>
  </threadedComment>
  <threadedComment ref="G3" dT="2021-04-14T10:58:37.57" personId="{1EB3C222-FD2B-4AA3-A4BD-1789BFF4D7A5}" id="{4B042530-B743-4A67-9DB9-2F56D1EFF2C6}">
    <text>VOP divided by production = price</text>
  </threadedComment>
  <threadedComment ref="H3" dT="2021-04-14T10:57:18.45" personId="{1EB3C222-FD2B-4AA3-A4BD-1789BFF4D7A5}" id="{9E7B3EBE-0992-442B-858E-BE8882CF1DB4}">
    <text>Production value here from sheet "calcs" for the commodity under study (here maize).
Column Q is the change in VOP (the delta) per 1% increase in yield in the anchor countries
Column U the same, for the spillover countries</text>
  </threadedComment>
  <threadedComment ref="L4" dT="2021-04-14T11:05:28.20" personId="{1EB3C222-FD2B-4AA3-A4BD-1789BFF4D7A5}" id="{FDA9ED54-260A-467D-A9EB-0BABC0CFDCFF}">
    <text>Yield for adopters, from teh derived yield in E5 plus a C4 % yield increment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5"/>
  <sheetViews>
    <sheetView topLeftCell="D166" zoomScale="80" zoomScaleNormal="80" workbookViewId="0">
      <selection activeCell="L5" sqref="L5"/>
    </sheetView>
  </sheetViews>
  <sheetFormatPr defaultRowHeight="14.35" x14ac:dyDescent="0.5"/>
  <cols>
    <col min="1" max="1" width="10.41015625" customWidth="1"/>
    <col min="3" max="3" width="16.3515625" customWidth="1"/>
    <col min="4" max="4" width="14.3515625" customWidth="1"/>
    <col min="5" max="5" width="18" customWidth="1"/>
    <col min="6" max="6" width="16.3515625" customWidth="1"/>
    <col min="7" max="7" width="18.3515625" customWidth="1"/>
    <col min="8" max="8" width="21.1171875" customWidth="1"/>
    <col min="9" max="9" width="19.41015625" customWidth="1"/>
    <col min="10" max="10" width="17.87890625" customWidth="1"/>
    <col min="11" max="11" width="18" customWidth="1"/>
    <col min="12" max="12" width="16.3515625" customWidth="1"/>
    <col min="13" max="13" width="19.41015625" customWidth="1"/>
    <col min="14" max="14" width="18.52734375" customWidth="1"/>
    <col min="15" max="15" width="18.64453125" style="8" customWidth="1"/>
    <col min="16" max="16" width="35.87890625" style="47" customWidth="1"/>
    <col min="17" max="17" width="14" customWidth="1"/>
  </cols>
  <sheetData>
    <row r="1" spans="1:16" x14ac:dyDescent="0.5">
      <c r="D1" s="7" t="s">
        <v>35</v>
      </c>
      <c r="E1" s="7" t="s">
        <v>39</v>
      </c>
      <c r="F1" s="7" t="s">
        <v>41</v>
      </c>
      <c r="G1" s="7" t="s">
        <v>42</v>
      </c>
      <c r="H1" s="7" t="s">
        <v>60</v>
      </c>
      <c r="I1" s="7" t="s">
        <v>61</v>
      </c>
      <c r="J1" s="7" t="s">
        <v>63</v>
      </c>
      <c r="P1" s="47" t="s">
        <v>132</v>
      </c>
    </row>
    <row r="2" spans="1:16" x14ac:dyDescent="0.5">
      <c r="H2" s="7" t="s">
        <v>62</v>
      </c>
      <c r="L2" t="s">
        <v>65</v>
      </c>
      <c r="M2" t="s">
        <v>66</v>
      </c>
    </row>
    <row r="3" spans="1:16" ht="28.7" x14ac:dyDescent="0.5">
      <c r="A3">
        <v>13</v>
      </c>
      <c r="B3">
        <v>4</v>
      </c>
      <c r="C3" t="s">
        <v>12</v>
      </c>
      <c r="D3" t="s">
        <v>36</v>
      </c>
      <c r="E3" s="5">
        <v>1700000</v>
      </c>
      <c r="F3" s="1">
        <v>28.9</v>
      </c>
      <c r="G3">
        <v>87</v>
      </c>
      <c r="H3" s="13"/>
      <c r="I3" s="13"/>
      <c r="J3" s="13"/>
      <c r="K3" t="s">
        <v>36</v>
      </c>
      <c r="L3">
        <v>1504</v>
      </c>
      <c r="M3">
        <v>243</v>
      </c>
      <c r="P3" s="60" t="s">
        <v>133</v>
      </c>
    </row>
    <row r="4" spans="1:16" x14ac:dyDescent="0.5">
      <c r="A4">
        <v>15</v>
      </c>
      <c r="B4">
        <v>1</v>
      </c>
      <c r="C4" t="s">
        <v>13</v>
      </c>
      <c r="D4" t="s">
        <v>37</v>
      </c>
      <c r="E4" s="5">
        <v>408020</v>
      </c>
      <c r="F4" s="1">
        <v>26.9</v>
      </c>
      <c r="G4">
        <v>53</v>
      </c>
      <c r="H4" s="13"/>
      <c r="I4" s="13"/>
      <c r="J4" s="13"/>
      <c r="K4" t="s">
        <v>37</v>
      </c>
      <c r="L4">
        <v>1482</v>
      </c>
      <c r="M4">
        <v>224</v>
      </c>
    </row>
    <row r="5" spans="1:16" x14ac:dyDescent="0.5">
      <c r="A5">
        <v>16</v>
      </c>
      <c r="B5">
        <v>3</v>
      </c>
      <c r="C5" t="s">
        <v>52</v>
      </c>
      <c r="D5" t="s">
        <v>37</v>
      </c>
      <c r="E5" s="5">
        <v>1330015</v>
      </c>
      <c r="F5" s="1">
        <v>20.3</v>
      </c>
      <c r="G5">
        <v>71</v>
      </c>
      <c r="H5" s="13"/>
      <c r="I5" s="13"/>
      <c r="J5" s="13"/>
      <c r="K5" s="14" t="s">
        <v>64</v>
      </c>
      <c r="L5" s="14">
        <v>985</v>
      </c>
      <c r="M5" s="14">
        <v>737</v>
      </c>
      <c r="N5" s="15">
        <f>100*M5/L5</f>
        <v>74.82233502538071</v>
      </c>
    </row>
    <row r="6" spans="1:16" x14ac:dyDescent="0.5">
      <c r="A6">
        <v>30</v>
      </c>
      <c r="B6">
        <v>2</v>
      </c>
      <c r="C6" t="s">
        <v>53</v>
      </c>
      <c r="D6" t="s">
        <v>38</v>
      </c>
      <c r="E6" s="5">
        <v>63246</v>
      </c>
      <c r="F6" s="1">
        <v>1.9</v>
      </c>
      <c r="G6">
        <v>31</v>
      </c>
      <c r="H6" s="13"/>
      <c r="I6" s="13"/>
      <c r="J6" s="13"/>
      <c r="K6" s="14" t="s">
        <v>67</v>
      </c>
      <c r="L6" s="14">
        <v>1638</v>
      </c>
      <c r="M6" s="14">
        <v>599</v>
      </c>
      <c r="N6" s="15">
        <f>100*M6/L6</f>
        <v>36.568986568986567</v>
      </c>
    </row>
    <row r="7" spans="1:16" x14ac:dyDescent="0.5">
      <c r="A7">
        <v>37</v>
      </c>
      <c r="B7">
        <v>7</v>
      </c>
      <c r="C7" t="s">
        <v>14</v>
      </c>
      <c r="D7" t="s">
        <v>37</v>
      </c>
      <c r="E7" s="5">
        <v>1407451</v>
      </c>
      <c r="F7" s="1">
        <v>15.7</v>
      </c>
      <c r="G7">
        <v>49</v>
      </c>
      <c r="H7" s="13"/>
      <c r="I7" s="13"/>
      <c r="J7" s="13"/>
      <c r="K7" s="14" t="s">
        <v>68</v>
      </c>
      <c r="L7" s="14">
        <v>1346</v>
      </c>
      <c r="M7" s="14">
        <v>461</v>
      </c>
      <c r="N7" s="15">
        <f>100*M7/L7</f>
        <v>34.249628528974739</v>
      </c>
    </row>
    <row r="8" spans="1:16" x14ac:dyDescent="0.5">
      <c r="A8">
        <v>38</v>
      </c>
      <c r="B8">
        <v>5</v>
      </c>
      <c r="C8" t="s">
        <v>54</v>
      </c>
      <c r="D8" t="s">
        <v>37</v>
      </c>
      <c r="E8" s="5">
        <v>925895</v>
      </c>
      <c r="F8" s="1">
        <v>15.4</v>
      </c>
      <c r="G8">
        <v>44</v>
      </c>
      <c r="H8" s="13"/>
      <c r="I8" s="13"/>
      <c r="J8" s="13"/>
    </row>
    <row r="9" spans="1:16" x14ac:dyDescent="0.5">
      <c r="A9" s="3">
        <v>60</v>
      </c>
      <c r="B9" s="3">
        <v>8</v>
      </c>
      <c r="C9" s="3" t="s">
        <v>15</v>
      </c>
      <c r="D9" t="s">
        <v>36</v>
      </c>
      <c r="E9" s="5">
        <v>9784131</v>
      </c>
      <c r="F9" s="6">
        <v>33.9</v>
      </c>
      <c r="G9">
        <v>79</v>
      </c>
      <c r="H9" s="13">
        <v>2307</v>
      </c>
      <c r="I9" s="13">
        <v>817</v>
      </c>
      <c r="J9" s="12">
        <f>100*I9/H9</f>
        <v>35.413957520589513</v>
      </c>
    </row>
    <row r="10" spans="1:16" x14ac:dyDescent="0.5">
      <c r="A10" s="3">
        <v>67</v>
      </c>
      <c r="B10" s="3">
        <v>10</v>
      </c>
      <c r="C10" s="3" t="s">
        <v>16</v>
      </c>
      <c r="D10" t="s">
        <v>37</v>
      </c>
      <c r="E10" s="5">
        <v>2838262</v>
      </c>
      <c r="F10" s="6">
        <v>17.3</v>
      </c>
      <c r="G10">
        <v>44</v>
      </c>
      <c r="H10" s="13">
        <v>1261</v>
      </c>
      <c r="I10" s="13">
        <v>219</v>
      </c>
      <c r="J10" s="12">
        <f>100*I10/H10</f>
        <v>17.367168913560665</v>
      </c>
    </row>
    <row r="11" spans="1:16" x14ac:dyDescent="0.5">
      <c r="A11">
        <v>69</v>
      </c>
      <c r="B11">
        <v>11</v>
      </c>
      <c r="C11" t="s">
        <v>17</v>
      </c>
      <c r="D11" t="s">
        <v>37</v>
      </c>
      <c r="E11" s="5">
        <v>840454</v>
      </c>
      <c r="F11" s="1">
        <v>20.3</v>
      </c>
      <c r="G11">
        <v>64</v>
      </c>
      <c r="H11" s="13"/>
      <c r="I11" s="13"/>
      <c r="J11" s="13"/>
    </row>
    <row r="12" spans="1:16" x14ac:dyDescent="0.5">
      <c r="A12">
        <v>71</v>
      </c>
      <c r="B12">
        <v>9</v>
      </c>
      <c r="C12" t="s">
        <v>18</v>
      </c>
      <c r="D12" t="s">
        <v>37</v>
      </c>
      <c r="E12" s="5">
        <v>82027</v>
      </c>
      <c r="F12" s="1">
        <v>16.8</v>
      </c>
      <c r="G12">
        <v>38</v>
      </c>
      <c r="H12" s="13"/>
      <c r="I12" s="13"/>
      <c r="J12" s="13"/>
    </row>
    <row r="13" spans="1:16" x14ac:dyDescent="0.5">
      <c r="A13">
        <v>72</v>
      </c>
      <c r="B13">
        <v>12</v>
      </c>
      <c r="C13" t="s">
        <v>19</v>
      </c>
      <c r="D13" t="s">
        <v>37</v>
      </c>
      <c r="E13" s="5">
        <v>84221</v>
      </c>
      <c r="F13" s="1">
        <v>52.5</v>
      </c>
      <c r="G13">
        <v>57</v>
      </c>
      <c r="H13" s="13"/>
      <c r="I13" s="13"/>
      <c r="J13" s="13"/>
    </row>
    <row r="14" spans="1:16" x14ac:dyDescent="0.5">
      <c r="A14" s="3">
        <v>96</v>
      </c>
      <c r="B14" s="3">
        <v>13</v>
      </c>
      <c r="C14" s="3" t="s">
        <v>20</v>
      </c>
      <c r="D14" t="s">
        <v>36</v>
      </c>
      <c r="E14" s="5">
        <v>4469494</v>
      </c>
      <c r="F14" s="6">
        <v>34.1</v>
      </c>
      <c r="G14">
        <v>73</v>
      </c>
      <c r="H14" s="13">
        <v>1853</v>
      </c>
      <c r="I14" s="13">
        <v>178</v>
      </c>
      <c r="J14" s="12">
        <f>100*I14/H14</f>
        <v>9.6060442525634109</v>
      </c>
    </row>
    <row r="15" spans="1:16" x14ac:dyDescent="0.5">
      <c r="A15" s="3">
        <v>121</v>
      </c>
      <c r="B15" s="3">
        <v>15</v>
      </c>
      <c r="C15" s="3" t="s">
        <v>21</v>
      </c>
      <c r="D15" t="s">
        <v>37</v>
      </c>
      <c r="E15" s="5">
        <v>805194</v>
      </c>
      <c r="F15" s="6">
        <v>37.299999999999997</v>
      </c>
      <c r="G15">
        <v>58</v>
      </c>
      <c r="H15" s="13">
        <v>1291</v>
      </c>
      <c r="I15" s="13">
        <v>651</v>
      </c>
      <c r="J15" s="12">
        <f>100*I15/H15</f>
        <v>50.426026336173507</v>
      </c>
    </row>
    <row r="16" spans="1:16" x14ac:dyDescent="0.5">
      <c r="A16">
        <v>126</v>
      </c>
      <c r="B16">
        <v>17</v>
      </c>
      <c r="C16" t="s">
        <v>22</v>
      </c>
      <c r="D16" t="s">
        <v>38</v>
      </c>
      <c r="E16" s="5">
        <v>3827797</v>
      </c>
      <c r="F16" s="1">
        <v>24</v>
      </c>
      <c r="G16">
        <v>64</v>
      </c>
      <c r="H16" s="13"/>
      <c r="I16" s="13"/>
      <c r="J16" s="13"/>
    </row>
    <row r="17" spans="1:16" x14ac:dyDescent="0.5">
      <c r="A17">
        <v>127</v>
      </c>
      <c r="B17">
        <v>16</v>
      </c>
      <c r="C17" t="s">
        <v>55</v>
      </c>
      <c r="D17" t="s">
        <v>37</v>
      </c>
      <c r="E17" s="5">
        <v>99644</v>
      </c>
      <c r="F17" s="1">
        <v>18.7</v>
      </c>
      <c r="G17">
        <v>46</v>
      </c>
      <c r="H17" s="13"/>
      <c r="I17" s="13"/>
      <c r="J17" s="13"/>
    </row>
    <row r="18" spans="1:16" x14ac:dyDescent="0.5">
      <c r="A18">
        <v>131</v>
      </c>
      <c r="B18">
        <v>14</v>
      </c>
      <c r="C18" t="s">
        <v>23</v>
      </c>
      <c r="D18" t="s">
        <v>38</v>
      </c>
      <c r="E18" s="5">
        <v>2447939</v>
      </c>
      <c r="F18" s="1">
        <v>25.5</v>
      </c>
      <c r="G18">
        <v>83</v>
      </c>
      <c r="H18" s="13"/>
      <c r="I18" s="13"/>
      <c r="J18" s="13"/>
    </row>
    <row r="19" spans="1:16" x14ac:dyDescent="0.5">
      <c r="A19">
        <v>134</v>
      </c>
      <c r="B19">
        <v>18</v>
      </c>
      <c r="C19" t="s">
        <v>24</v>
      </c>
      <c r="D19" t="s">
        <v>37</v>
      </c>
      <c r="E19" s="5">
        <v>2022563</v>
      </c>
      <c r="F19" s="1">
        <v>38.200000000000003</v>
      </c>
      <c r="G19">
        <v>84</v>
      </c>
      <c r="H19" s="13"/>
      <c r="I19" s="13"/>
      <c r="J19" s="13"/>
    </row>
    <row r="20" spans="1:16" x14ac:dyDescent="0.5">
      <c r="A20">
        <v>135</v>
      </c>
      <c r="B20">
        <v>19</v>
      </c>
      <c r="C20" t="s">
        <v>25</v>
      </c>
      <c r="D20" t="s">
        <v>37</v>
      </c>
      <c r="E20" s="5">
        <v>15974263</v>
      </c>
      <c r="F20" s="1">
        <v>21.9</v>
      </c>
      <c r="G20">
        <v>50</v>
      </c>
      <c r="H20" s="13"/>
      <c r="I20" s="13"/>
      <c r="J20" s="13"/>
    </row>
    <row r="21" spans="1:16" x14ac:dyDescent="0.5">
      <c r="A21">
        <v>156</v>
      </c>
      <c r="B21">
        <v>20</v>
      </c>
      <c r="C21" t="s">
        <v>26</v>
      </c>
      <c r="D21" t="s">
        <v>36</v>
      </c>
      <c r="E21" s="5">
        <v>1674687</v>
      </c>
      <c r="F21" s="1">
        <v>24.1</v>
      </c>
      <c r="G21">
        <v>83</v>
      </c>
      <c r="H21" s="13"/>
      <c r="I21" s="13"/>
      <c r="J21" s="13"/>
    </row>
    <row r="22" spans="1:16" x14ac:dyDescent="0.5">
      <c r="A22" s="3">
        <v>159</v>
      </c>
      <c r="B22" s="3">
        <v>21</v>
      </c>
      <c r="C22" s="3" t="s">
        <v>27</v>
      </c>
      <c r="D22" t="s">
        <v>37</v>
      </c>
      <c r="E22" s="5">
        <v>755532</v>
      </c>
      <c r="F22" s="6">
        <v>14.8</v>
      </c>
      <c r="G22">
        <v>53</v>
      </c>
      <c r="H22" s="13">
        <v>1413</v>
      </c>
      <c r="I22" s="13">
        <v>483</v>
      </c>
      <c r="J22" s="12">
        <f>100*I22/H22</f>
        <v>34.182590233545646</v>
      </c>
    </row>
    <row r="23" spans="1:16" x14ac:dyDescent="0.5">
      <c r="A23" s="3">
        <v>178</v>
      </c>
      <c r="B23">
        <v>6</v>
      </c>
      <c r="C23" t="s">
        <v>56</v>
      </c>
      <c r="D23" t="s">
        <v>37</v>
      </c>
      <c r="E23" s="5">
        <v>366475</v>
      </c>
      <c r="F23" s="1">
        <v>42.6</v>
      </c>
      <c r="G23">
        <v>77</v>
      </c>
      <c r="H23" s="13"/>
      <c r="I23" s="13"/>
      <c r="J23" s="13"/>
    </row>
    <row r="24" spans="1:16" x14ac:dyDescent="0.5">
      <c r="A24">
        <v>179</v>
      </c>
      <c r="B24">
        <v>23</v>
      </c>
      <c r="C24" t="s">
        <v>28</v>
      </c>
      <c r="D24" t="s">
        <v>37</v>
      </c>
      <c r="E24" s="5">
        <v>508599</v>
      </c>
      <c r="F24" s="1">
        <v>22.8</v>
      </c>
      <c r="G24">
        <v>58</v>
      </c>
      <c r="H24" s="13"/>
      <c r="I24" s="13"/>
      <c r="J24" s="13"/>
    </row>
    <row r="25" spans="1:16" x14ac:dyDescent="0.5">
      <c r="A25">
        <v>188</v>
      </c>
      <c r="B25">
        <v>22</v>
      </c>
      <c r="C25" t="s">
        <v>29</v>
      </c>
      <c r="D25" t="s">
        <v>36</v>
      </c>
      <c r="E25" s="5">
        <v>5964781</v>
      </c>
      <c r="F25" s="1">
        <v>28.7</v>
      </c>
      <c r="G25">
        <v>66</v>
      </c>
      <c r="H25" s="13"/>
      <c r="I25" s="13"/>
      <c r="J25" s="13"/>
    </row>
    <row r="26" spans="1:16" x14ac:dyDescent="0.5">
      <c r="A26">
        <v>189</v>
      </c>
      <c r="B26">
        <v>24</v>
      </c>
      <c r="C26" t="s">
        <v>30</v>
      </c>
      <c r="D26" t="s">
        <v>36</v>
      </c>
      <c r="E26" s="5">
        <v>4076293</v>
      </c>
      <c r="F26" s="1">
        <v>21.9</v>
      </c>
      <c r="G26">
        <v>76</v>
      </c>
      <c r="H26" s="13"/>
      <c r="I26" s="13"/>
      <c r="J26" s="13"/>
    </row>
    <row r="27" spans="1:16" x14ac:dyDescent="0.5">
      <c r="A27" s="3">
        <v>203</v>
      </c>
      <c r="B27" s="3">
        <v>25</v>
      </c>
      <c r="C27" s="3" t="s">
        <v>31</v>
      </c>
      <c r="D27" t="s">
        <v>38</v>
      </c>
      <c r="E27" s="5">
        <v>1305783</v>
      </c>
      <c r="F27" s="6">
        <v>2.7</v>
      </c>
      <c r="G27">
        <v>56</v>
      </c>
      <c r="H27" s="13">
        <v>1808</v>
      </c>
      <c r="I27" s="13">
        <v>558</v>
      </c>
      <c r="J27" s="12">
        <f>100*I27/H27</f>
        <v>30.86283185840708</v>
      </c>
    </row>
    <row r="28" spans="1:16" x14ac:dyDescent="0.5">
      <c r="A28">
        <v>204</v>
      </c>
      <c r="B28">
        <v>26</v>
      </c>
      <c r="C28" t="s">
        <v>32</v>
      </c>
      <c r="D28" t="s">
        <v>38</v>
      </c>
      <c r="E28" s="5">
        <v>437589</v>
      </c>
      <c r="F28" s="1">
        <v>8.3000000000000007</v>
      </c>
      <c r="G28">
        <v>68</v>
      </c>
      <c r="H28" s="13"/>
      <c r="I28" s="13"/>
      <c r="J28" s="13"/>
    </row>
    <row r="29" spans="1:16" x14ac:dyDescent="0.5">
      <c r="C29" s="10" t="s">
        <v>40</v>
      </c>
      <c r="D29" s="10"/>
      <c r="E29" s="11">
        <f>SUM(E3:E28)</f>
        <v>64200355</v>
      </c>
    </row>
    <row r="31" spans="1:16" ht="43" x14ac:dyDescent="0.5">
      <c r="D31" t="s">
        <v>0</v>
      </c>
      <c r="E31" t="s">
        <v>1</v>
      </c>
      <c r="F31" t="s">
        <v>2</v>
      </c>
      <c r="G31" t="s">
        <v>3</v>
      </c>
      <c r="H31" t="s">
        <v>4</v>
      </c>
      <c r="I31" t="s">
        <v>5</v>
      </c>
      <c r="J31" t="s">
        <v>6</v>
      </c>
      <c r="K31" t="s">
        <v>7</v>
      </c>
      <c r="L31" t="s">
        <v>8</v>
      </c>
      <c r="M31" t="s">
        <v>9</v>
      </c>
      <c r="N31" t="s">
        <v>10</v>
      </c>
      <c r="O31" s="9" t="s">
        <v>43</v>
      </c>
      <c r="P31" s="60" t="s">
        <v>134</v>
      </c>
    </row>
    <row r="32" spans="1:16" x14ac:dyDescent="0.5">
      <c r="A32" t="s">
        <v>11</v>
      </c>
    </row>
    <row r="33" spans="1:16" x14ac:dyDescent="0.5">
      <c r="A33">
        <v>13</v>
      </c>
      <c r="B33">
        <v>13</v>
      </c>
      <c r="C33" t="s">
        <v>12</v>
      </c>
      <c r="D33" s="2">
        <v>0</v>
      </c>
      <c r="E33" s="2">
        <v>0</v>
      </c>
      <c r="F33" s="2">
        <v>0</v>
      </c>
      <c r="G33" s="2">
        <v>0</v>
      </c>
      <c r="H33" s="2">
        <v>5154.6000000000004</v>
      </c>
      <c r="I33" s="2">
        <v>17266.900000000001</v>
      </c>
      <c r="J33" s="2">
        <v>0</v>
      </c>
      <c r="K33" s="2">
        <v>515.5</v>
      </c>
      <c r="L33" s="2">
        <v>85.9</v>
      </c>
      <c r="M33" s="2">
        <v>429.5</v>
      </c>
      <c r="N33" s="2">
        <v>1460.6</v>
      </c>
      <c r="O33" s="4">
        <f>SUM(D33:N33)</f>
        <v>24913</v>
      </c>
      <c r="P33" s="47" t="s">
        <v>135</v>
      </c>
    </row>
    <row r="34" spans="1:16" x14ac:dyDescent="0.5">
      <c r="A34">
        <v>15</v>
      </c>
      <c r="B34">
        <v>15</v>
      </c>
      <c r="C34" t="s">
        <v>13</v>
      </c>
      <c r="D34" s="2">
        <v>37979.699999999997</v>
      </c>
      <c r="E34" s="2">
        <v>16321.8</v>
      </c>
      <c r="F34" s="2">
        <v>0</v>
      </c>
      <c r="G34" s="2">
        <v>30927.9</v>
      </c>
      <c r="H34" s="2">
        <v>28315.7</v>
      </c>
      <c r="I34" s="2">
        <v>0</v>
      </c>
      <c r="J34" s="2">
        <v>0</v>
      </c>
      <c r="K34" s="2">
        <v>255.9</v>
      </c>
      <c r="L34" s="2">
        <v>0</v>
      </c>
      <c r="M34" s="2">
        <v>1703.8</v>
      </c>
      <c r="N34" s="2">
        <v>422.1</v>
      </c>
      <c r="O34" s="4">
        <f t="shared" ref="O34:O58" si="0">SUM(D34:N34)</f>
        <v>115926.9</v>
      </c>
    </row>
    <row r="35" spans="1:16" x14ac:dyDescent="0.5">
      <c r="A35">
        <v>16</v>
      </c>
      <c r="B35">
        <v>16</v>
      </c>
      <c r="C35" t="s">
        <v>52</v>
      </c>
      <c r="D35" s="2">
        <v>63548.6</v>
      </c>
      <c r="E35" s="2">
        <v>3815.4</v>
      </c>
      <c r="F35" s="2">
        <v>0</v>
      </c>
      <c r="G35" s="2">
        <v>204168.4</v>
      </c>
      <c r="H35" s="2">
        <v>423.9</v>
      </c>
      <c r="I35" s="2">
        <v>0</v>
      </c>
      <c r="J35" s="2">
        <v>84.5</v>
      </c>
      <c r="K35" s="2">
        <v>0</v>
      </c>
      <c r="L35" s="2">
        <v>0</v>
      </c>
      <c r="M35" s="2">
        <v>4202</v>
      </c>
      <c r="N35" s="2">
        <v>506.2</v>
      </c>
      <c r="O35" s="4">
        <f t="shared" si="0"/>
        <v>276749.00000000006</v>
      </c>
    </row>
    <row r="36" spans="1:16" x14ac:dyDescent="0.5">
      <c r="A36">
        <v>30</v>
      </c>
      <c r="B36">
        <v>30</v>
      </c>
      <c r="C36" t="s">
        <v>53</v>
      </c>
      <c r="D36" s="2">
        <v>519430.1</v>
      </c>
      <c r="E36" s="2">
        <v>0</v>
      </c>
      <c r="F36" s="2">
        <v>0</v>
      </c>
      <c r="G36" s="2">
        <v>51012.4</v>
      </c>
      <c r="H36" s="2">
        <v>0</v>
      </c>
      <c r="I36" s="2">
        <v>0</v>
      </c>
      <c r="J36" s="2">
        <v>0</v>
      </c>
      <c r="K36" s="2">
        <v>0</v>
      </c>
      <c r="L36" s="2">
        <v>0</v>
      </c>
      <c r="M36" s="2">
        <v>1900.2</v>
      </c>
      <c r="N36" s="2">
        <v>8775</v>
      </c>
      <c r="O36" s="4">
        <f t="shared" si="0"/>
        <v>581117.69999999995</v>
      </c>
    </row>
    <row r="37" spans="1:16" x14ac:dyDescent="0.5">
      <c r="A37">
        <v>37</v>
      </c>
      <c r="B37">
        <v>37</v>
      </c>
      <c r="C37" t="s">
        <v>14</v>
      </c>
      <c r="D37" s="2">
        <v>8046.2</v>
      </c>
      <c r="E37" s="2">
        <v>98330.4</v>
      </c>
      <c r="F37" s="2">
        <v>0</v>
      </c>
      <c r="G37" s="2">
        <v>4488.8999999999996</v>
      </c>
      <c r="H37" s="2">
        <v>181669.9</v>
      </c>
      <c r="I37" s="2">
        <v>85.3</v>
      </c>
      <c r="J37" s="2">
        <v>0</v>
      </c>
      <c r="K37" s="2">
        <v>1364.1</v>
      </c>
      <c r="L37" s="2">
        <v>0</v>
      </c>
      <c r="M37" s="2">
        <v>2820.3</v>
      </c>
      <c r="N37" s="2">
        <v>24127.8</v>
      </c>
      <c r="O37" s="4">
        <f t="shared" si="0"/>
        <v>320932.89999999991</v>
      </c>
    </row>
    <row r="38" spans="1:16" x14ac:dyDescent="0.5">
      <c r="A38">
        <v>38</v>
      </c>
      <c r="B38">
        <v>38</v>
      </c>
      <c r="C38" t="s">
        <v>54</v>
      </c>
      <c r="D38" s="2">
        <v>15318.3</v>
      </c>
      <c r="E38" s="2">
        <v>140787.20000000001</v>
      </c>
      <c r="F38" s="2">
        <v>3586.9</v>
      </c>
      <c r="G38" s="2">
        <v>45781.3</v>
      </c>
      <c r="H38" s="2">
        <v>39273.800000000003</v>
      </c>
      <c r="I38" s="2">
        <v>7959.3</v>
      </c>
      <c r="J38" s="2">
        <v>423.1</v>
      </c>
      <c r="K38" s="2">
        <v>0</v>
      </c>
      <c r="L38" s="2">
        <v>0</v>
      </c>
      <c r="M38" s="2">
        <v>3591.6</v>
      </c>
      <c r="N38" s="2">
        <v>207671.4</v>
      </c>
      <c r="O38" s="4">
        <f t="shared" si="0"/>
        <v>464392.9</v>
      </c>
    </row>
    <row r="39" spans="1:16" x14ac:dyDescent="0.5">
      <c r="A39">
        <v>60</v>
      </c>
      <c r="B39">
        <v>60</v>
      </c>
      <c r="C39" t="s">
        <v>15</v>
      </c>
      <c r="D39" s="2">
        <v>512698.4</v>
      </c>
      <c r="E39" s="2">
        <v>15679</v>
      </c>
      <c r="F39" s="2">
        <v>15927.4</v>
      </c>
      <c r="G39" s="2">
        <v>200318.4</v>
      </c>
      <c r="H39" s="2">
        <v>54889.9</v>
      </c>
      <c r="I39" s="2">
        <v>283412.59999999998</v>
      </c>
      <c r="J39" s="2">
        <v>3303.7</v>
      </c>
      <c r="K39" s="2">
        <v>85.3</v>
      </c>
      <c r="L39" s="2">
        <v>5588.9</v>
      </c>
      <c r="M39" s="2">
        <v>4670.1000000000004</v>
      </c>
      <c r="N39" s="2">
        <v>34781.599999999999</v>
      </c>
      <c r="O39" s="4">
        <f t="shared" si="0"/>
        <v>1131355.3000000003</v>
      </c>
    </row>
    <row r="40" spans="1:16" x14ac:dyDescent="0.5">
      <c r="A40">
        <v>67</v>
      </c>
      <c r="B40">
        <v>67</v>
      </c>
      <c r="C40" t="s">
        <v>16</v>
      </c>
      <c r="D40" s="2">
        <v>13882.9</v>
      </c>
      <c r="E40" s="2">
        <v>60730.5</v>
      </c>
      <c r="F40" s="2">
        <v>0</v>
      </c>
      <c r="G40" s="2">
        <v>26405.8</v>
      </c>
      <c r="H40" s="2">
        <v>108881.60000000001</v>
      </c>
      <c r="I40" s="2">
        <v>0</v>
      </c>
      <c r="J40" s="2">
        <v>84.5</v>
      </c>
      <c r="K40" s="2">
        <v>85.6</v>
      </c>
      <c r="L40" s="2">
        <v>0</v>
      </c>
      <c r="M40" s="2">
        <v>7773.3</v>
      </c>
      <c r="N40" s="2">
        <v>15564.9</v>
      </c>
      <c r="O40" s="4">
        <f t="shared" si="0"/>
        <v>233409.09999999998</v>
      </c>
    </row>
    <row r="41" spans="1:16" x14ac:dyDescent="0.5">
      <c r="A41">
        <v>69</v>
      </c>
      <c r="B41">
        <v>69</v>
      </c>
      <c r="C41" t="s">
        <v>17</v>
      </c>
      <c r="D41" s="2">
        <v>62751</v>
      </c>
      <c r="E41" s="2">
        <v>45353.599999999999</v>
      </c>
      <c r="F41" s="2">
        <v>0</v>
      </c>
      <c r="G41" s="2">
        <v>27152</v>
      </c>
      <c r="H41" s="2">
        <v>98931.3</v>
      </c>
      <c r="I41" s="2">
        <v>85.3</v>
      </c>
      <c r="J41" s="2">
        <v>506.6</v>
      </c>
      <c r="K41" s="2">
        <v>507.7</v>
      </c>
      <c r="L41" s="2">
        <v>0</v>
      </c>
      <c r="M41" s="2">
        <v>1947</v>
      </c>
      <c r="N41" s="2">
        <v>8147.8</v>
      </c>
      <c r="O41" s="4">
        <f t="shared" si="0"/>
        <v>245382.30000000002</v>
      </c>
    </row>
    <row r="42" spans="1:16" x14ac:dyDescent="0.5">
      <c r="A42">
        <v>71</v>
      </c>
      <c r="B42">
        <v>71</v>
      </c>
      <c r="C42" t="s">
        <v>18</v>
      </c>
      <c r="D42" s="2">
        <v>418.5</v>
      </c>
      <c r="E42" s="2">
        <v>0</v>
      </c>
      <c r="F42" s="2">
        <v>0</v>
      </c>
      <c r="G42" s="2">
        <v>8453</v>
      </c>
      <c r="H42" s="2">
        <v>0</v>
      </c>
      <c r="I42" s="2">
        <v>0</v>
      </c>
      <c r="J42" s="2">
        <v>0</v>
      </c>
      <c r="K42" s="2">
        <v>0</v>
      </c>
      <c r="L42" s="2">
        <v>0</v>
      </c>
      <c r="M42" s="2">
        <v>418.5</v>
      </c>
      <c r="N42" s="2">
        <v>1004.4</v>
      </c>
      <c r="O42" s="4">
        <f t="shared" si="0"/>
        <v>10294.4</v>
      </c>
    </row>
    <row r="43" spans="1:16" x14ac:dyDescent="0.5">
      <c r="A43">
        <v>72</v>
      </c>
      <c r="B43">
        <v>72</v>
      </c>
      <c r="C43" t="s">
        <v>19</v>
      </c>
      <c r="D43" s="2">
        <v>10517.5</v>
      </c>
      <c r="E43" s="2">
        <v>0</v>
      </c>
      <c r="F43" s="2">
        <v>0</v>
      </c>
      <c r="G43" s="2">
        <v>13626.6</v>
      </c>
      <c r="H43" s="2">
        <v>1096.8</v>
      </c>
      <c r="I43" s="2">
        <v>0</v>
      </c>
      <c r="J43" s="2">
        <v>420.6</v>
      </c>
      <c r="K43" s="2">
        <v>0</v>
      </c>
      <c r="L43" s="2">
        <v>0</v>
      </c>
      <c r="M43" s="2">
        <v>336.7</v>
      </c>
      <c r="N43" s="2">
        <v>6405.5</v>
      </c>
      <c r="O43" s="4">
        <f t="shared" si="0"/>
        <v>32403.699999999997</v>
      </c>
    </row>
    <row r="44" spans="1:16" x14ac:dyDescent="0.5">
      <c r="A44">
        <v>96</v>
      </c>
      <c r="B44">
        <v>96</v>
      </c>
      <c r="C44" t="s">
        <v>20</v>
      </c>
      <c r="D44" s="2">
        <v>368589.5</v>
      </c>
      <c r="E44" s="2">
        <v>7043.7</v>
      </c>
      <c r="F44" s="2">
        <v>19100.099999999999</v>
      </c>
      <c r="G44" s="2">
        <v>60971.3</v>
      </c>
      <c r="H44" s="2">
        <v>17374.7</v>
      </c>
      <c r="I44" s="2">
        <v>49819.7</v>
      </c>
      <c r="J44" s="2">
        <v>1032.5</v>
      </c>
      <c r="K44" s="2">
        <v>946.4</v>
      </c>
      <c r="L44" s="2">
        <v>344.2</v>
      </c>
      <c r="M44" s="2">
        <v>4043.7</v>
      </c>
      <c r="N44" s="2">
        <v>42822.400000000001</v>
      </c>
      <c r="O44" s="4">
        <f t="shared" si="0"/>
        <v>572088.19999999995</v>
      </c>
    </row>
    <row r="45" spans="1:16" x14ac:dyDescent="0.5">
      <c r="A45">
        <v>121</v>
      </c>
      <c r="B45">
        <v>121</v>
      </c>
      <c r="C45" t="s">
        <v>21</v>
      </c>
      <c r="D45" s="2">
        <v>968310.9</v>
      </c>
      <c r="E45" s="2">
        <v>0</v>
      </c>
      <c r="F45" s="2">
        <v>0</v>
      </c>
      <c r="G45" s="2">
        <v>270953.3</v>
      </c>
      <c r="H45" s="2">
        <v>0</v>
      </c>
      <c r="I45" s="2">
        <v>0</v>
      </c>
      <c r="J45" s="2">
        <v>2171.1</v>
      </c>
      <c r="K45" s="2">
        <v>0</v>
      </c>
      <c r="L45" s="2">
        <v>0</v>
      </c>
      <c r="M45" s="2">
        <v>2011.8</v>
      </c>
      <c r="N45" s="2">
        <v>4495.3</v>
      </c>
      <c r="O45" s="4">
        <f t="shared" si="0"/>
        <v>1247942.4000000001</v>
      </c>
    </row>
    <row r="46" spans="1:16" x14ac:dyDescent="0.5">
      <c r="A46">
        <v>126</v>
      </c>
      <c r="B46">
        <v>126</v>
      </c>
      <c r="C46" t="s">
        <v>22</v>
      </c>
      <c r="D46" s="2">
        <v>315252.8</v>
      </c>
      <c r="E46" s="2">
        <v>42860.800000000003</v>
      </c>
      <c r="F46" s="2">
        <v>578.9</v>
      </c>
      <c r="G46" s="2">
        <v>151937.29999999999</v>
      </c>
      <c r="H46" s="2">
        <v>48521.5</v>
      </c>
      <c r="I46" s="2">
        <v>0</v>
      </c>
      <c r="J46" s="2">
        <v>1103.4000000000001</v>
      </c>
      <c r="K46" s="2">
        <v>156.1</v>
      </c>
      <c r="L46" s="2">
        <v>0</v>
      </c>
      <c r="M46" s="2">
        <v>3075.6</v>
      </c>
      <c r="N46" s="2">
        <v>208715.4</v>
      </c>
      <c r="O46" s="4">
        <f t="shared" si="0"/>
        <v>772201.8</v>
      </c>
    </row>
    <row r="47" spans="1:16" x14ac:dyDescent="0.5">
      <c r="A47">
        <v>127</v>
      </c>
      <c r="B47">
        <v>127</v>
      </c>
      <c r="C47" t="s">
        <v>55</v>
      </c>
      <c r="D47" s="2">
        <v>1015220.5</v>
      </c>
      <c r="E47" s="2">
        <v>0</v>
      </c>
      <c r="F47" s="2">
        <v>0</v>
      </c>
      <c r="G47" s="2">
        <v>26015.5</v>
      </c>
      <c r="H47" s="2">
        <v>0</v>
      </c>
      <c r="I47" s="2">
        <v>0</v>
      </c>
      <c r="J47" s="2">
        <v>826.8</v>
      </c>
      <c r="K47" s="2">
        <v>0</v>
      </c>
      <c r="L47" s="2">
        <v>0</v>
      </c>
      <c r="M47" s="2">
        <v>653.29999999999995</v>
      </c>
      <c r="N47" s="2">
        <v>899.4</v>
      </c>
      <c r="O47" s="4">
        <f t="shared" si="0"/>
        <v>1043615.5000000001</v>
      </c>
    </row>
    <row r="48" spans="1:16" x14ac:dyDescent="0.5">
      <c r="A48">
        <v>131</v>
      </c>
      <c r="B48">
        <v>131</v>
      </c>
      <c r="C48" t="s">
        <v>23</v>
      </c>
      <c r="D48" s="2">
        <v>11438.5</v>
      </c>
      <c r="E48" s="2">
        <v>2710.5</v>
      </c>
      <c r="F48" s="2">
        <v>2111.1999999999998</v>
      </c>
      <c r="G48" s="2">
        <v>50286.5</v>
      </c>
      <c r="H48" s="2">
        <v>9859.5</v>
      </c>
      <c r="I48" s="2">
        <v>2516.5</v>
      </c>
      <c r="J48" s="2">
        <v>82.5</v>
      </c>
      <c r="K48" s="2">
        <v>82.7</v>
      </c>
      <c r="L48" s="2">
        <v>0</v>
      </c>
      <c r="M48" s="2">
        <v>2000.1</v>
      </c>
      <c r="N48" s="2">
        <v>16282.2</v>
      </c>
      <c r="O48" s="4">
        <f t="shared" si="0"/>
        <v>97370.2</v>
      </c>
    </row>
    <row r="49" spans="1:15" x14ac:dyDescent="0.5">
      <c r="A49">
        <v>134</v>
      </c>
      <c r="B49">
        <v>134</v>
      </c>
      <c r="C49" t="s">
        <v>24</v>
      </c>
      <c r="D49" s="2">
        <v>1062142.1000000001</v>
      </c>
      <c r="E49" s="2">
        <v>0</v>
      </c>
      <c r="F49" s="2">
        <v>0</v>
      </c>
      <c r="G49" s="2">
        <v>123535.8</v>
      </c>
      <c r="H49" s="2">
        <v>0</v>
      </c>
      <c r="I49" s="2">
        <v>0</v>
      </c>
      <c r="J49" s="2">
        <v>667.9</v>
      </c>
      <c r="K49" s="2">
        <v>0</v>
      </c>
      <c r="L49" s="2">
        <v>0</v>
      </c>
      <c r="M49" s="2">
        <v>1421.2</v>
      </c>
      <c r="N49" s="2">
        <v>1084.5999999999999</v>
      </c>
      <c r="O49" s="4">
        <f t="shared" si="0"/>
        <v>1188851.6000000001</v>
      </c>
    </row>
    <row r="50" spans="1:15" x14ac:dyDescent="0.5">
      <c r="A50">
        <v>135</v>
      </c>
      <c r="B50">
        <v>135</v>
      </c>
      <c r="C50" t="s">
        <v>25</v>
      </c>
      <c r="D50" s="2">
        <v>31000.1</v>
      </c>
      <c r="E50" s="2">
        <v>43504.6</v>
      </c>
      <c r="F50" s="2">
        <v>85.3</v>
      </c>
      <c r="G50" s="2">
        <v>432932.7</v>
      </c>
      <c r="H50" s="2">
        <v>317150.09999999998</v>
      </c>
      <c r="I50" s="2">
        <v>3416.6</v>
      </c>
      <c r="J50" s="2">
        <v>6315.1</v>
      </c>
      <c r="K50" s="2">
        <v>938</v>
      </c>
      <c r="L50" s="2">
        <v>0</v>
      </c>
      <c r="M50" s="2">
        <v>16916.3</v>
      </c>
      <c r="N50" s="2">
        <v>51178.9</v>
      </c>
      <c r="O50" s="4">
        <f t="shared" si="0"/>
        <v>903437.70000000007</v>
      </c>
    </row>
    <row r="51" spans="1:15" x14ac:dyDescent="0.5">
      <c r="A51">
        <v>156</v>
      </c>
      <c r="B51">
        <v>156</v>
      </c>
      <c r="C51" t="s">
        <v>26</v>
      </c>
      <c r="D51" s="2">
        <v>0</v>
      </c>
      <c r="E51" s="2">
        <v>0</v>
      </c>
      <c r="F51" s="2">
        <v>0</v>
      </c>
      <c r="G51" s="2">
        <v>0</v>
      </c>
      <c r="H51" s="2">
        <v>6966.6</v>
      </c>
      <c r="I51" s="2">
        <v>13588.3</v>
      </c>
      <c r="J51" s="2">
        <v>0</v>
      </c>
      <c r="K51" s="2">
        <v>171.9</v>
      </c>
      <c r="L51" s="2">
        <v>172</v>
      </c>
      <c r="M51" s="2">
        <v>344</v>
      </c>
      <c r="N51" s="2">
        <v>2407.5</v>
      </c>
      <c r="O51" s="4">
        <f t="shared" si="0"/>
        <v>23650.300000000003</v>
      </c>
    </row>
    <row r="52" spans="1:15" x14ac:dyDescent="0.5">
      <c r="A52">
        <v>159</v>
      </c>
      <c r="B52">
        <v>159</v>
      </c>
      <c r="C52" t="s">
        <v>27</v>
      </c>
      <c r="D52" s="2">
        <v>52689.5</v>
      </c>
      <c r="E52" s="2">
        <v>0</v>
      </c>
      <c r="F52" s="2">
        <v>0</v>
      </c>
      <c r="G52" s="2">
        <v>135678.29999999999</v>
      </c>
      <c r="H52" s="2">
        <v>0</v>
      </c>
      <c r="I52" s="2">
        <v>0</v>
      </c>
      <c r="J52" s="2">
        <v>1167.2</v>
      </c>
      <c r="K52" s="2">
        <v>0</v>
      </c>
      <c r="L52" s="2">
        <v>0</v>
      </c>
      <c r="M52" s="2">
        <v>2081.8000000000002</v>
      </c>
      <c r="N52" s="2">
        <v>3513.8</v>
      </c>
      <c r="O52" s="4">
        <f t="shared" si="0"/>
        <v>195130.59999999998</v>
      </c>
    </row>
    <row r="53" spans="1:15" x14ac:dyDescent="0.5">
      <c r="A53">
        <v>178</v>
      </c>
      <c r="B53">
        <v>178</v>
      </c>
      <c r="C53" t="s">
        <v>56</v>
      </c>
      <c r="D53" s="2">
        <v>985875.6</v>
      </c>
      <c r="E53" s="2">
        <v>341.2</v>
      </c>
      <c r="F53" s="2">
        <v>0</v>
      </c>
      <c r="G53" s="2">
        <v>274918.3</v>
      </c>
      <c r="H53" s="2">
        <v>0</v>
      </c>
      <c r="I53" s="2">
        <v>0</v>
      </c>
      <c r="J53" s="2">
        <v>672</v>
      </c>
      <c r="K53" s="2">
        <v>0</v>
      </c>
      <c r="L53" s="2">
        <v>0</v>
      </c>
      <c r="M53" s="2">
        <v>1433.3</v>
      </c>
      <c r="N53" s="2">
        <v>10341.700000000001</v>
      </c>
      <c r="O53" s="4">
        <f t="shared" si="0"/>
        <v>1273582.0999999999</v>
      </c>
    </row>
    <row r="54" spans="1:15" x14ac:dyDescent="0.5">
      <c r="A54">
        <v>179</v>
      </c>
      <c r="B54">
        <v>179</v>
      </c>
      <c r="C54" t="s">
        <v>28</v>
      </c>
      <c r="D54" s="2">
        <v>0</v>
      </c>
      <c r="E54" s="2">
        <v>15414.5</v>
      </c>
      <c r="F54" s="2">
        <v>0</v>
      </c>
      <c r="G54" s="2">
        <v>12018.7</v>
      </c>
      <c r="H54" s="2">
        <v>28375.5</v>
      </c>
      <c r="I54" s="2">
        <v>0</v>
      </c>
      <c r="J54" s="2">
        <v>0</v>
      </c>
      <c r="K54" s="2">
        <v>170.9</v>
      </c>
      <c r="L54" s="2">
        <v>0</v>
      </c>
      <c r="M54" s="2">
        <v>1278.0999999999999</v>
      </c>
      <c r="N54" s="2">
        <v>597.20000000000005</v>
      </c>
      <c r="O54" s="4">
        <f t="shared" si="0"/>
        <v>57854.899999999994</v>
      </c>
    </row>
    <row r="55" spans="1:15" x14ac:dyDescent="0.5">
      <c r="A55">
        <v>188</v>
      </c>
      <c r="B55">
        <v>188</v>
      </c>
      <c r="C55" t="s">
        <v>29</v>
      </c>
      <c r="D55" s="2">
        <v>178821.1</v>
      </c>
      <c r="E55" s="2">
        <v>77878.3</v>
      </c>
      <c r="F55" s="2">
        <v>12275.7</v>
      </c>
      <c r="G55" s="2">
        <v>277548.40000000002</v>
      </c>
      <c r="H55" s="2">
        <v>146586.1</v>
      </c>
      <c r="I55" s="2">
        <v>41235.800000000003</v>
      </c>
      <c r="J55" s="2">
        <v>1284.5999999999999</v>
      </c>
      <c r="K55" s="2">
        <v>257.2</v>
      </c>
      <c r="L55" s="2">
        <v>170.9</v>
      </c>
      <c r="M55" s="2">
        <v>3075.9</v>
      </c>
      <c r="N55" s="2">
        <v>144163</v>
      </c>
      <c r="O55" s="4">
        <f t="shared" si="0"/>
        <v>883297</v>
      </c>
    </row>
    <row r="56" spans="1:15" x14ac:dyDescent="0.5">
      <c r="A56">
        <v>189</v>
      </c>
      <c r="B56">
        <v>189</v>
      </c>
      <c r="C56" t="s">
        <v>30</v>
      </c>
      <c r="D56" s="2">
        <v>4897.6000000000004</v>
      </c>
      <c r="E56" s="2">
        <v>24154.7</v>
      </c>
      <c r="F56" s="2">
        <v>1116.5999999999999</v>
      </c>
      <c r="G56" s="2">
        <v>9969.5</v>
      </c>
      <c r="H56" s="2">
        <v>129962.3</v>
      </c>
      <c r="I56" s="2">
        <v>16087.5</v>
      </c>
      <c r="J56" s="2">
        <v>0</v>
      </c>
      <c r="K56" s="2">
        <v>86</v>
      </c>
      <c r="L56" s="2">
        <v>0</v>
      </c>
      <c r="M56" s="2">
        <v>1204.5999999999999</v>
      </c>
      <c r="N56" s="2">
        <v>17207.3</v>
      </c>
      <c r="O56" s="4">
        <f t="shared" si="0"/>
        <v>204686.1</v>
      </c>
    </row>
    <row r="57" spans="1:15" x14ac:dyDescent="0.5">
      <c r="A57">
        <v>203</v>
      </c>
      <c r="B57">
        <v>203</v>
      </c>
      <c r="C57" t="s">
        <v>31</v>
      </c>
      <c r="D57" s="2">
        <v>415644.3</v>
      </c>
      <c r="E57" s="2">
        <v>39792.800000000003</v>
      </c>
      <c r="F57" s="2">
        <v>11677.8</v>
      </c>
      <c r="G57" s="2">
        <v>91641.600000000006</v>
      </c>
      <c r="H57" s="2">
        <v>3304.7</v>
      </c>
      <c r="I57" s="2">
        <v>425</v>
      </c>
      <c r="J57" s="2">
        <v>914.6</v>
      </c>
      <c r="K57" s="2">
        <v>0</v>
      </c>
      <c r="L57" s="2">
        <v>0</v>
      </c>
      <c r="M57" s="2">
        <v>4512.8</v>
      </c>
      <c r="N57" s="2">
        <v>174251.6</v>
      </c>
      <c r="O57" s="4">
        <f t="shared" si="0"/>
        <v>742165.2</v>
      </c>
    </row>
    <row r="58" spans="1:15" x14ac:dyDescent="0.5">
      <c r="A58">
        <v>204</v>
      </c>
      <c r="B58">
        <v>204</v>
      </c>
      <c r="C58" t="s">
        <v>32</v>
      </c>
      <c r="D58" s="2">
        <v>153830.9</v>
      </c>
      <c r="E58" s="2">
        <v>0</v>
      </c>
      <c r="F58" s="2">
        <v>1383.8</v>
      </c>
      <c r="G58" s="2">
        <v>185265.4</v>
      </c>
      <c r="H58" s="2">
        <v>488.7</v>
      </c>
      <c r="I58" s="2">
        <v>13401.2</v>
      </c>
      <c r="J58" s="2">
        <v>1458.8</v>
      </c>
      <c r="K58" s="2">
        <v>0</v>
      </c>
      <c r="L58" s="2">
        <v>327.8</v>
      </c>
      <c r="M58" s="2">
        <v>5299.1</v>
      </c>
      <c r="N58" s="2">
        <v>26408.799999999999</v>
      </c>
      <c r="O58" s="4">
        <f t="shared" si="0"/>
        <v>387864.49999999994</v>
      </c>
    </row>
    <row r="59" spans="1:15" x14ac:dyDescent="0.5">
      <c r="D59" s="4">
        <f>SUM(D33:D58)</f>
        <v>6808304.5999999987</v>
      </c>
      <c r="E59" s="4">
        <f t="shared" ref="E59:N59" si="1">SUM(E33:E58)</f>
        <v>634719</v>
      </c>
      <c r="F59" s="4">
        <f t="shared" si="1"/>
        <v>67843.7</v>
      </c>
      <c r="G59" s="4">
        <f t="shared" si="1"/>
        <v>2716007.3000000003</v>
      </c>
      <c r="H59" s="4">
        <f t="shared" si="1"/>
        <v>1227227.2</v>
      </c>
      <c r="I59" s="4">
        <f t="shared" si="1"/>
        <v>449299.99999999994</v>
      </c>
      <c r="J59" s="4">
        <f t="shared" si="1"/>
        <v>22519.499999999996</v>
      </c>
      <c r="K59" s="4">
        <f t="shared" si="1"/>
        <v>5623.2999999999984</v>
      </c>
      <c r="L59" s="4">
        <f t="shared" si="1"/>
        <v>6689.6999999999989</v>
      </c>
      <c r="M59" s="4">
        <f t="shared" si="1"/>
        <v>79144.60000000002</v>
      </c>
      <c r="N59" s="4">
        <f t="shared" si="1"/>
        <v>1013236.4</v>
      </c>
      <c r="O59" s="4">
        <f>SUM(D59:N59)</f>
        <v>13030615.299999999</v>
      </c>
    </row>
    <row r="60" spans="1:15" x14ac:dyDescent="0.5">
      <c r="A60" t="s">
        <v>33</v>
      </c>
      <c r="B60" t="s">
        <v>34</v>
      </c>
      <c r="C60" t="s">
        <v>34</v>
      </c>
      <c r="D60" s="2"/>
      <c r="E60" s="2"/>
      <c r="F60" s="2"/>
      <c r="G60" s="2"/>
      <c r="H60" s="2"/>
      <c r="I60" s="2"/>
      <c r="J60" s="2"/>
      <c r="K60" s="2"/>
      <c r="L60" s="2"/>
      <c r="M60" s="2"/>
      <c r="N60" s="2"/>
      <c r="O60" s="4"/>
    </row>
    <row r="61" spans="1:15" x14ac:dyDescent="0.5">
      <c r="A61">
        <v>13</v>
      </c>
      <c r="B61">
        <v>13</v>
      </c>
      <c r="C61" t="s">
        <v>12</v>
      </c>
      <c r="D61" s="2">
        <v>0</v>
      </c>
      <c r="E61" s="2">
        <v>0</v>
      </c>
      <c r="F61" s="2">
        <v>0</v>
      </c>
      <c r="G61" s="2">
        <v>0</v>
      </c>
      <c r="H61" s="2">
        <v>2739468.8</v>
      </c>
      <c r="I61" s="2">
        <v>7665411.5</v>
      </c>
      <c r="J61" s="2">
        <v>0</v>
      </c>
      <c r="K61" s="2">
        <v>323973.40000000002</v>
      </c>
      <c r="L61" s="2">
        <v>96598.6</v>
      </c>
      <c r="M61" s="2">
        <v>897010.3</v>
      </c>
      <c r="N61" s="2">
        <v>643528.6</v>
      </c>
      <c r="O61" s="4">
        <f>SUM(D61:N61)</f>
        <v>12365991.200000001</v>
      </c>
    </row>
    <row r="62" spans="1:15" x14ac:dyDescent="0.5">
      <c r="A62">
        <v>15</v>
      </c>
      <c r="B62">
        <v>15</v>
      </c>
      <c r="C62" t="s">
        <v>13</v>
      </c>
      <c r="D62" s="2">
        <v>1461823</v>
      </c>
      <c r="E62" s="2">
        <v>1589738.5</v>
      </c>
      <c r="F62" s="2">
        <v>0</v>
      </c>
      <c r="G62" s="2">
        <v>1942356.1</v>
      </c>
      <c r="H62" s="2">
        <v>5426218.5</v>
      </c>
      <c r="I62" s="2">
        <v>0</v>
      </c>
      <c r="J62" s="2">
        <v>0</v>
      </c>
      <c r="K62" s="2">
        <v>31926.2</v>
      </c>
      <c r="L62" s="2">
        <v>0</v>
      </c>
      <c r="M62" s="2">
        <v>1420105.8</v>
      </c>
      <c r="N62" s="2">
        <v>49903.9</v>
      </c>
      <c r="O62" s="4">
        <f t="shared" ref="O62:O86" si="2">SUM(D62:N62)</f>
        <v>11922072</v>
      </c>
    </row>
    <row r="63" spans="1:15" x14ac:dyDescent="0.5">
      <c r="A63">
        <v>16</v>
      </c>
      <c r="B63">
        <v>16</v>
      </c>
      <c r="C63" t="s">
        <v>52</v>
      </c>
      <c r="D63" s="2">
        <v>2537557</v>
      </c>
      <c r="E63" s="2">
        <v>139442.5</v>
      </c>
      <c r="F63" s="2">
        <v>0</v>
      </c>
      <c r="G63" s="2">
        <v>15625842</v>
      </c>
      <c r="H63" s="2">
        <v>20947.3</v>
      </c>
      <c r="I63" s="2">
        <v>0</v>
      </c>
      <c r="J63" s="2">
        <v>10005.1</v>
      </c>
      <c r="K63" s="2">
        <v>0</v>
      </c>
      <c r="L63" s="2">
        <v>0</v>
      </c>
      <c r="M63" s="2">
        <v>2565475</v>
      </c>
      <c r="N63" s="2">
        <v>19004.3</v>
      </c>
      <c r="O63" s="4">
        <f t="shared" si="2"/>
        <v>20918273.200000003</v>
      </c>
    </row>
    <row r="64" spans="1:15" x14ac:dyDescent="0.5">
      <c r="A64">
        <v>30</v>
      </c>
      <c r="B64">
        <v>30</v>
      </c>
      <c r="C64" t="s">
        <v>53</v>
      </c>
      <c r="D64" s="2">
        <v>1488848</v>
      </c>
      <c r="E64" s="2">
        <v>0</v>
      </c>
      <c r="F64" s="2">
        <v>0</v>
      </c>
      <c r="G64" s="2">
        <v>705857.4</v>
      </c>
      <c r="H64" s="2">
        <v>0</v>
      </c>
      <c r="I64" s="2">
        <v>0</v>
      </c>
      <c r="J64" s="2">
        <v>0</v>
      </c>
      <c r="K64" s="2">
        <v>0</v>
      </c>
      <c r="L64" s="2">
        <v>0</v>
      </c>
      <c r="M64" s="2">
        <v>219754.3</v>
      </c>
      <c r="N64" s="2">
        <v>15837.3</v>
      </c>
      <c r="O64" s="4">
        <f t="shared" si="2"/>
        <v>2430296.9999999995</v>
      </c>
    </row>
    <row r="65" spans="1:15" x14ac:dyDescent="0.5">
      <c r="A65">
        <v>37</v>
      </c>
      <c r="B65">
        <v>37</v>
      </c>
      <c r="C65" t="s">
        <v>14</v>
      </c>
      <c r="D65" s="2">
        <v>244484.9</v>
      </c>
      <c r="E65" s="2">
        <v>2144500.7999999998</v>
      </c>
      <c r="F65" s="2">
        <v>0</v>
      </c>
      <c r="G65" s="2">
        <v>254316</v>
      </c>
      <c r="H65" s="2">
        <v>15540876</v>
      </c>
      <c r="I65" s="2">
        <v>5308.5</v>
      </c>
      <c r="J65" s="2">
        <v>0</v>
      </c>
      <c r="K65" s="2">
        <v>105432.6</v>
      </c>
      <c r="L65" s="2">
        <v>0</v>
      </c>
      <c r="M65" s="2">
        <v>3236944.5</v>
      </c>
      <c r="N65" s="2">
        <v>1551496.9</v>
      </c>
      <c r="O65" s="4">
        <f t="shared" si="2"/>
        <v>23083360.199999999</v>
      </c>
    </row>
    <row r="66" spans="1:15" x14ac:dyDescent="0.5">
      <c r="A66">
        <v>38</v>
      </c>
      <c r="B66">
        <v>38</v>
      </c>
      <c r="C66" t="s">
        <v>54</v>
      </c>
      <c r="D66" s="2">
        <v>503056.1</v>
      </c>
      <c r="E66" s="2">
        <v>2945232.8</v>
      </c>
      <c r="F66" s="2">
        <v>146298.79999999999</v>
      </c>
      <c r="G66" s="2">
        <v>5839934</v>
      </c>
      <c r="H66" s="2">
        <v>3616365.5</v>
      </c>
      <c r="I66" s="2">
        <v>1476743.5</v>
      </c>
      <c r="J66" s="2">
        <v>46733.3</v>
      </c>
      <c r="K66" s="2">
        <v>0</v>
      </c>
      <c r="L66" s="2">
        <v>0</v>
      </c>
      <c r="M66" s="2">
        <v>3971285</v>
      </c>
      <c r="N66" s="2">
        <v>7345398</v>
      </c>
      <c r="O66" s="4">
        <f t="shared" si="2"/>
        <v>25891047</v>
      </c>
    </row>
    <row r="67" spans="1:15" x14ac:dyDescent="0.5">
      <c r="A67">
        <v>60</v>
      </c>
      <c r="B67">
        <v>60</v>
      </c>
      <c r="C67" t="s">
        <v>15</v>
      </c>
      <c r="D67" s="2">
        <v>10130380</v>
      </c>
      <c r="E67" s="2">
        <v>374155.4</v>
      </c>
      <c r="F67" s="2">
        <v>397735.1</v>
      </c>
      <c r="G67" s="2">
        <v>18195118</v>
      </c>
      <c r="H67" s="2">
        <v>7217842.5</v>
      </c>
      <c r="I67" s="2">
        <v>63565200</v>
      </c>
      <c r="J67" s="2">
        <v>473247.2</v>
      </c>
      <c r="K67" s="2">
        <v>12454.5</v>
      </c>
      <c r="L67" s="2">
        <v>1399758.1</v>
      </c>
      <c r="M67" s="2">
        <v>6144203.5</v>
      </c>
      <c r="N67" s="2">
        <v>3804160.3</v>
      </c>
      <c r="O67" s="4">
        <f t="shared" si="2"/>
        <v>111714254.59999999</v>
      </c>
    </row>
    <row r="68" spans="1:15" x14ac:dyDescent="0.5">
      <c r="A68">
        <v>67</v>
      </c>
      <c r="B68">
        <v>67</v>
      </c>
      <c r="C68" t="s">
        <v>16</v>
      </c>
      <c r="D68" s="2">
        <v>444110.8</v>
      </c>
      <c r="E68" s="2">
        <v>1822075.5</v>
      </c>
      <c r="F68" s="2">
        <v>0</v>
      </c>
      <c r="G68" s="2">
        <v>2211234</v>
      </c>
      <c r="H68" s="2">
        <v>15010524</v>
      </c>
      <c r="I68" s="2">
        <v>0</v>
      </c>
      <c r="J68" s="2">
        <v>9153.5</v>
      </c>
      <c r="K68" s="2">
        <v>20020.3</v>
      </c>
      <c r="L68" s="2">
        <v>0</v>
      </c>
      <c r="M68" s="2">
        <v>8833661</v>
      </c>
      <c r="N68" s="2">
        <v>1576788.8</v>
      </c>
      <c r="O68" s="4">
        <f t="shared" si="2"/>
        <v>29927567.900000002</v>
      </c>
    </row>
    <row r="69" spans="1:15" x14ac:dyDescent="0.5">
      <c r="A69">
        <v>69</v>
      </c>
      <c r="B69">
        <v>69</v>
      </c>
      <c r="C69" t="s">
        <v>17</v>
      </c>
      <c r="D69" s="2">
        <v>2249507.7999999998</v>
      </c>
      <c r="E69" s="2">
        <v>1836694.4</v>
      </c>
      <c r="F69" s="2">
        <v>0</v>
      </c>
      <c r="G69" s="2">
        <v>1177714.8999999999</v>
      </c>
      <c r="H69" s="2">
        <v>5325394.5</v>
      </c>
      <c r="I69" s="2">
        <v>3386.1</v>
      </c>
      <c r="J69" s="2">
        <v>38535.1</v>
      </c>
      <c r="K69" s="2">
        <v>244236</v>
      </c>
      <c r="L69" s="2">
        <v>0</v>
      </c>
      <c r="M69" s="2">
        <v>1930375.8</v>
      </c>
      <c r="N69" s="2">
        <v>1037357.2</v>
      </c>
      <c r="O69" s="4">
        <f t="shared" si="2"/>
        <v>13843201.799999999</v>
      </c>
    </row>
    <row r="70" spans="1:15" x14ac:dyDescent="0.5">
      <c r="A70">
        <v>71</v>
      </c>
      <c r="B70">
        <v>71</v>
      </c>
      <c r="C70" t="s">
        <v>18</v>
      </c>
      <c r="D70" s="2">
        <v>16293.3</v>
      </c>
      <c r="E70" s="2">
        <v>0</v>
      </c>
      <c r="F70" s="2">
        <v>0</v>
      </c>
      <c r="G70" s="2">
        <v>1577142.4</v>
      </c>
      <c r="H70" s="2">
        <v>0</v>
      </c>
      <c r="I70" s="2">
        <v>0</v>
      </c>
      <c r="J70" s="2">
        <v>0</v>
      </c>
      <c r="K70" s="2">
        <v>0</v>
      </c>
      <c r="L70" s="2">
        <v>0</v>
      </c>
      <c r="M70" s="2">
        <v>418684.1</v>
      </c>
      <c r="N70" s="2">
        <v>129815.8</v>
      </c>
      <c r="O70" s="4">
        <f t="shared" si="2"/>
        <v>2141935.5999999996</v>
      </c>
    </row>
    <row r="71" spans="1:15" x14ac:dyDescent="0.5">
      <c r="A71">
        <v>72</v>
      </c>
      <c r="B71">
        <v>72</v>
      </c>
      <c r="C71" t="s">
        <v>19</v>
      </c>
      <c r="D71" s="2">
        <v>336845.6</v>
      </c>
      <c r="E71" s="2">
        <v>0</v>
      </c>
      <c r="F71" s="2">
        <v>0</v>
      </c>
      <c r="G71" s="2">
        <v>707478.9</v>
      </c>
      <c r="H71" s="2">
        <v>37064</v>
      </c>
      <c r="I71" s="2">
        <v>0</v>
      </c>
      <c r="J71" s="2">
        <v>29119.4</v>
      </c>
      <c r="K71" s="2">
        <v>0</v>
      </c>
      <c r="L71" s="2">
        <v>0</v>
      </c>
      <c r="M71" s="2">
        <v>410005.5</v>
      </c>
      <c r="N71" s="2">
        <v>318037.8</v>
      </c>
      <c r="O71" s="4">
        <f t="shared" si="2"/>
        <v>1838551.2</v>
      </c>
    </row>
    <row r="72" spans="1:15" x14ac:dyDescent="0.5">
      <c r="A72">
        <v>96</v>
      </c>
      <c r="B72">
        <v>96</v>
      </c>
      <c r="C72" t="s">
        <v>20</v>
      </c>
      <c r="D72" s="2">
        <v>6485849</v>
      </c>
      <c r="E72" s="2">
        <v>102694.3</v>
      </c>
      <c r="F72" s="2">
        <v>575727.5</v>
      </c>
      <c r="G72" s="2">
        <v>5603443</v>
      </c>
      <c r="H72" s="2">
        <v>6377000</v>
      </c>
      <c r="I72" s="2">
        <v>14523328</v>
      </c>
      <c r="J72" s="2">
        <v>324847.5</v>
      </c>
      <c r="K72" s="2">
        <v>287386.59999999998</v>
      </c>
      <c r="L72" s="2">
        <v>139918.6</v>
      </c>
      <c r="M72" s="2">
        <v>9219526</v>
      </c>
      <c r="N72" s="2">
        <v>7324505</v>
      </c>
      <c r="O72" s="4">
        <f t="shared" si="2"/>
        <v>50964225.5</v>
      </c>
    </row>
    <row r="73" spans="1:15" x14ac:dyDescent="0.5">
      <c r="A73">
        <v>121</v>
      </c>
      <c r="B73">
        <v>121</v>
      </c>
      <c r="C73" t="s">
        <v>21</v>
      </c>
      <c r="D73" s="2">
        <v>4304867.5</v>
      </c>
      <c r="E73" s="2">
        <v>0</v>
      </c>
      <c r="F73" s="2">
        <v>0</v>
      </c>
      <c r="G73" s="2">
        <v>10871016</v>
      </c>
      <c r="H73" s="2">
        <v>0</v>
      </c>
      <c r="I73" s="2">
        <v>0</v>
      </c>
      <c r="J73" s="2">
        <v>176039.4</v>
      </c>
      <c r="K73" s="2">
        <v>0</v>
      </c>
      <c r="L73" s="2">
        <v>0</v>
      </c>
      <c r="M73" s="2">
        <v>2810483.5</v>
      </c>
      <c r="N73" s="2">
        <v>447428.3</v>
      </c>
      <c r="O73" s="4">
        <f t="shared" si="2"/>
        <v>18609834.699999999</v>
      </c>
    </row>
    <row r="74" spans="1:15" x14ac:dyDescent="0.5">
      <c r="A74">
        <v>126</v>
      </c>
      <c r="B74">
        <v>126</v>
      </c>
      <c r="C74" t="s">
        <v>22</v>
      </c>
      <c r="D74" s="2">
        <v>5560900</v>
      </c>
      <c r="E74" s="2">
        <v>1789705.1</v>
      </c>
      <c r="F74" s="2">
        <v>19757.099999999999</v>
      </c>
      <c r="G74" s="2">
        <v>9673667</v>
      </c>
      <c r="H74" s="2">
        <v>4120399.5</v>
      </c>
      <c r="I74" s="2">
        <v>0</v>
      </c>
      <c r="J74" s="2">
        <v>109192.2</v>
      </c>
      <c r="K74" s="2">
        <v>39893.300000000003</v>
      </c>
      <c r="L74" s="2">
        <v>0</v>
      </c>
      <c r="M74" s="2">
        <v>2370025</v>
      </c>
      <c r="N74" s="2">
        <v>7066011.5</v>
      </c>
      <c r="O74" s="4">
        <f t="shared" si="2"/>
        <v>30749550.699999999</v>
      </c>
    </row>
    <row r="75" spans="1:15" x14ac:dyDescent="0.5">
      <c r="A75">
        <v>127</v>
      </c>
      <c r="B75">
        <v>127</v>
      </c>
      <c r="C75" t="s">
        <v>55</v>
      </c>
      <c r="D75" s="2">
        <v>2569979.2999999998</v>
      </c>
      <c r="E75" s="2">
        <v>0</v>
      </c>
      <c r="F75" s="2">
        <v>0</v>
      </c>
      <c r="G75" s="2">
        <v>440385.8</v>
      </c>
      <c r="H75" s="2">
        <v>0</v>
      </c>
      <c r="I75" s="2">
        <v>0</v>
      </c>
      <c r="J75" s="2">
        <v>30044</v>
      </c>
      <c r="K75" s="2">
        <v>0</v>
      </c>
      <c r="L75" s="2">
        <v>0</v>
      </c>
      <c r="M75" s="2">
        <v>1100239.3</v>
      </c>
      <c r="N75" s="2">
        <v>7566.5</v>
      </c>
      <c r="O75" s="4">
        <f t="shared" si="2"/>
        <v>4148214.8999999994</v>
      </c>
    </row>
    <row r="76" spans="1:15" x14ac:dyDescent="0.5">
      <c r="A76">
        <v>131</v>
      </c>
      <c r="B76">
        <v>131</v>
      </c>
      <c r="C76" t="s">
        <v>23</v>
      </c>
      <c r="D76" s="2">
        <v>526556.6</v>
      </c>
      <c r="E76" s="2">
        <v>88420.800000000003</v>
      </c>
      <c r="F76" s="2">
        <v>31346.799999999999</v>
      </c>
      <c r="G76" s="2">
        <v>10740137</v>
      </c>
      <c r="H76" s="2">
        <v>3006038.5</v>
      </c>
      <c r="I76" s="2">
        <v>382593.9</v>
      </c>
      <c r="J76" s="2">
        <v>20796.5</v>
      </c>
      <c r="K76" s="2">
        <v>42326.5</v>
      </c>
      <c r="L76" s="2">
        <v>0</v>
      </c>
      <c r="M76" s="2">
        <v>3211523.5</v>
      </c>
      <c r="N76" s="2">
        <v>1549537.9</v>
      </c>
      <c r="O76" s="4">
        <f t="shared" si="2"/>
        <v>19599278</v>
      </c>
    </row>
    <row r="77" spans="1:15" x14ac:dyDescent="0.5">
      <c r="A77">
        <v>134</v>
      </c>
      <c r="B77">
        <v>134</v>
      </c>
      <c r="C77" t="s">
        <v>24</v>
      </c>
      <c r="D77" s="2">
        <v>9099559</v>
      </c>
      <c r="E77" s="2">
        <v>0</v>
      </c>
      <c r="F77" s="2">
        <v>0</v>
      </c>
      <c r="G77" s="2">
        <v>13769601</v>
      </c>
      <c r="H77" s="2">
        <v>0</v>
      </c>
      <c r="I77" s="2">
        <v>0</v>
      </c>
      <c r="J77" s="2">
        <v>108521.1</v>
      </c>
      <c r="K77" s="2">
        <v>0</v>
      </c>
      <c r="L77" s="2">
        <v>0</v>
      </c>
      <c r="M77" s="2">
        <v>980292.5</v>
      </c>
      <c r="N77" s="2">
        <v>45224.1</v>
      </c>
      <c r="O77" s="4">
        <f t="shared" si="2"/>
        <v>24003197.700000003</v>
      </c>
    </row>
    <row r="78" spans="1:15" x14ac:dyDescent="0.5">
      <c r="A78">
        <v>135</v>
      </c>
      <c r="B78">
        <v>135</v>
      </c>
      <c r="C78" t="s">
        <v>25</v>
      </c>
      <c r="D78" s="2">
        <v>1282001.6000000001</v>
      </c>
      <c r="E78" s="2">
        <v>7178214</v>
      </c>
      <c r="F78" s="2">
        <v>1275.8</v>
      </c>
      <c r="G78" s="2">
        <v>66272812</v>
      </c>
      <c r="H78" s="2">
        <v>81636032</v>
      </c>
      <c r="I78" s="2">
        <v>234422.7</v>
      </c>
      <c r="J78" s="2">
        <v>1071209.8999999999</v>
      </c>
      <c r="K78" s="2">
        <v>136599.9</v>
      </c>
      <c r="L78" s="2">
        <v>0</v>
      </c>
      <c r="M78" s="2">
        <v>32783898</v>
      </c>
      <c r="N78" s="2">
        <v>13095455</v>
      </c>
      <c r="O78" s="4">
        <f t="shared" si="2"/>
        <v>203691920.90000001</v>
      </c>
    </row>
    <row r="79" spans="1:15" x14ac:dyDescent="0.5">
      <c r="A79">
        <v>156</v>
      </c>
      <c r="B79">
        <v>156</v>
      </c>
      <c r="C79" t="s">
        <v>26</v>
      </c>
      <c r="D79" s="2">
        <v>0</v>
      </c>
      <c r="E79" s="2">
        <v>0</v>
      </c>
      <c r="F79" s="2">
        <v>0</v>
      </c>
      <c r="G79" s="2">
        <v>0</v>
      </c>
      <c r="H79" s="2">
        <v>3023744.8</v>
      </c>
      <c r="I79" s="2">
        <v>7839532.5</v>
      </c>
      <c r="J79" s="2">
        <v>0</v>
      </c>
      <c r="K79" s="2">
        <v>96853.5</v>
      </c>
      <c r="L79" s="2">
        <v>116544</v>
      </c>
      <c r="M79" s="2">
        <v>1026358.5</v>
      </c>
      <c r="N79" s="2">
        <v>803807.8</v>
      </c>
      <c r="O79" s="4">
        <f t="shared" si="2"/>
        <v>12906841.100000001</v>
      </c>
    </row>
    <row r="80" spans="1:15" x14ac:dyDescent="0.5">
      <c r="A80">
        <v>159</v>
      </c>
      <c r="B80">
        <v>159</v>
      </c>
      <c r="C80" t="s">
        <v>27</v>
      </c>
      <c r="D80" s="2">
        <v>1443756.9</v>
      </c>
      <c r="E80" s="2">
        <v>0</v>
      </c>
      <c r="F80" s="2">
        <v>0</v>
      </c>
      <c r="G80" s="2">
        <v>11208800</v>
      </c>
      <c r="H80" s="2">
        <v>0</v>
      </c>
      <c r="I80" s="2">
        <v>0</v>
      </c>
      <c r="J80" s="2">
        <v>94213</v>
      </c>
      <c r="K80" s="2">
        <v>0</v>
      </c>
      <c r="L80" s="2">
        <v>0</v>
      </c>
      <c r="M80" s="2">
        <v>3074125</v>
      </c>
      <c r="N80" s="2">
        <v>317780.7</v>
      </c>
      <c r="O80" s="4">
        <f t="shared" si="2"/>
        <v>16138675.6</v>
      </c>
    </row>
    <row r="81" spans="1:15" x14ac:dyDescent="0.5">
      <c r="A81">
        <v>178</v>
      </c>
      <c r="B81">
        <v>178</v>
      </c>
      <c r="C81" t="s">
        <v>56</v>
      </c>
      <c r="D81" s="2">
        <v>7144956</v>
      </c>
      <c r="E81" s="2">
        <v>12804.6</v>
      </c>
      <c r="F81" s="2">
        <v>0</v>
      </c>
      <c r="G81" s="2">
        <v>8243953.5</v>
      </c>
      <c r="H81" s="2">
        <v>0</v>
      </c>
      <c r="I81" s="2">
        <v>0</v>
      </c>
      <c r="J81" s="2">
        <v>31985.3</v>
      </c>
      <c r="K81" s="2">
        <v>0</v>
      </c>
      <c r="L81" s="2">
        <v>0</v>
      </c>
      <c r="M81" s="2">
        <v>449753.1</v>
      </c>
      <c r="N81" s="2">
        <v>299696.59999999998</v>
      </c>
      <c r="O81" s="4">
        <f t="shared" si="2"/>
        <v>16183149.1</v>
      </c>
    </row>
    <row r="82" spans="1:15" x14ac:dyDescent="0.5">
      <c r="A82">
        <v>179</v>
      </c>
      <c r="B82">
        <v>179</v>
      </c>
      <c r="C82" t="s">
        <v>28</v>
      </c>
      <c r="D82" s="2">
        <v>0</v>
      </c>
      <c r="E82" s="2">
        <v>1110621.8999999999</v>
      </c>
      <c r="F82" s="2">
        <v>0</v>
      </c>
      <c r="G82" s="2">
        <v>1354442.3</v>
      </c>
      <c r="H82" s="2">
        <v>4078603.3</v>
      </c>
      <c r="I82" s="2">
        <v>0</v>
      </c>
      <c r="J82" s="2">
        <v>0</v>
      </c>
      <c r="K82" s="2">
        <v>27405.8</v>
      </c>
      <c r="L82" s="2">
        <v>0</v>
      </c>
      <c r="M82" s="2">
        <v>1436172.8</v>
      </c>
      <c r="N82" s="2">
        <v>62091.1</v>
      </c>
      <c r="O82" s="4">
        <f t="shared" si="2"/>
        <v>8069337.1999999993</v>
      </c>
    </row>
    <row r="83" spans="1:15" x14ac:dyDescent="0.5">
      <c r="A83">
        <v>188</v>
      </c>
      <c r="B83">
        <v>188</v>
      </c>
      <c r="C83" t="s">
        <v>29</v>
      </c>
      <c r="D83" s="2">
        <v>3702327.8</v>
      </c>
      <c r="E83" s="2">
        <v>1593446.3999999999</v>
      </c>
      <c r="F83" s="2">
        <v>292069.90000000002</v>
      </c>
      <c r="G83" s="2">
        <v>14765683</v>
      </c>
      <c r="H83" s="2">
        <v>13224519</v>
      </c>
      <c r="I83" s="2">
        <v>4026569.8</v>
      </c>
      <c r="J83" s="2">
        <v>170843.8</v>
      </c>
      <c r="K83" s="2">
        <v>37555.9</v>
      </c>
      <c r="L83" s="2">
        <v>27880.9</v>
      </c>
      <c r="M83" s="2">
        <v>8007314</v>
      </c>
      <c r="N83" s="2">
        <v>11839302</v>
      </c>
      <c r="O83" s="4">
        <f t="shared" si="2"/>
        <v>57687512.499999993</v>
      </c>
    </row>
    <row r="84" spans="1:15" x14ac:dyDescent="0.5">
      <c r="A84">
        <v>189</v>
      </c>
      <c r="B84">
        <v>189</v>
      </c>
      <c r="C84" t="s">
        <v>30</v>
      </c>
      <c r="D84" s="2">
        <v>147756.79999999999</v>
      </c>
      <c r="E84" s="2">
        <v>1306531.8999999999</v>
      </c>
      <c r="F84" s="2">
        <v>26833.200000000001</v>
      </c>
      <c r="G84" s="2">
        <v>452124.4</v>
      </c>
      <c r="H84" s="2">
        <v>29646076</v>
      </c>
      <c r="I84" s="2">
        <v>4658368</v>
      </c>
      <c r="J84" s="2">
        <v>0</v>
      </c>
      <c r="K84" s="2">
        <v>25353.7</v>
      </c>
      <c r="L84" s="2">
        <v>0</v>
      </c>
      <c r="M84" s="2">
        <v>4090417.3</v>
      </c>
      <c r="N84" s="2">
        <v>3640603</v>
      </c>
      <c r="O84" s="4">
        <f t="shared" si="2"/>
        <v>43994064.299999997</v>
      </c>
    </row>
    <row r="85" spans="1:15" x14ac:dyDescent="0.5">
      <c r="A85">
        <v>203</v>
      </c>
      <c r="B85">
        <v>203</v>
      </c>
      <c r="C85" t="s">
        <v>31</v>
      </c>
      <c r="D85" s="2">
        <v>6848568.5</v>
      </c>
      <c r="E85" s="2">
        <v>736666.1</v>
      </c>
      <c r="F85" s="2">
        <v>266379.40000000002</v>
      </c>
      <c r="G85" s="2">
        <v>4263764.5</v>
      </c>
      <c r="H85" s="2">
        <v>162275.9</v>
      </c>
      <c r="I85" s="2">
        <v>19323.5</v>
      </c>
      <c r="J85" s="2">
        <v>37039.5</v>
      </c>
      <c r="K85" s="2">
        <v>0</v>
      </c>
      <c r="L85" s="2">
        <v>0</v>
      </c>
      <c r="M85" s="2">
        <v>3800647</v>
      </c>
      <c r="N85" s="2">
        <v>2677292</v>
      </c>
      <c r="O85" s="4">
        <f t="shared" si="2"/>
        <v>18811956.399999999</v>
      </c>
    </row>
    <row r="86" spans="1:15" x14ac:dyDescent="0.5">
      <c r="A86">
        <v>204</v>
      </c>
      <c r="B86">
        <v>204</v>
      </c>
      <c r="C86" t="s">
        <v>32</v>
      </c>
      <c r="D86" s="2">
        <v>2978393</v>
      </c>
      <c r="E86" s="2">
        <v>0</v>
      </c>
      <c r="F86" s="2">
        <v>34984.400000000001</v>
      </c>
      <c r="G86" s="2">
        <v>7582505</v>
      </c>
      <c r="H86" s="2">
        <v>32771.199999999997</v>
      </c>
      <c r="I86" s="2">
        <v>760618.1</v>
      </c>
      <c r="J86" s="2">
        <v>101366.7</v>
      </c>
      <c r="K86" s="2">
        <v>0</v>
      </c>
      <c r="L86" s="2">
        <v>65293.7</v>
      </c>
      <c r="M86" s="2">
        <v>4680950.5</v>
      </c>
      <c r="N86" s="2">
        <v>1070711.8</v>
      </c>
      <c r="O86" s="4">
        <f t="shared" si="2"/>
        <v>17307594.399999999</v>
      </c>
    </row>
    <row r="87" spans="1:15" x14ac:dyDescent="0.5">
      <c r="D87" s="4">
        <f t="shared" ref="D87:N87" si="3">SUM(D61:D86)</f>
        <v>71508378.5</v>
      </c>
      <c r="E87" s="4">
        <f t="shared" si="3"/>
        <v>24770945</v>
      </c>
      <c r="F87" s="4">
        <f t="shared" si="3"/>
        <v>1792408</v>
      </c>
      <c r="G87" s="4">
        <f t="shared" si="3"/>
        <v>213479328.20000002</v>
      </c>
      <c r="H87" s="4">
        <f t="shared" si="3"/>
        <v>200242161.30000001</v>
      </c>
      <c r="I87" s="4">
        <f t="shared" si="3"/>
        <v>105160806.09999999</v>
      </c>
      <c r="J87" s="4">
        <f t="shared" si="3"/>
        <v>2882892.5</v>
      </c>
      <c r="K87" s="4">
        <f t="shared" si="3"/>
        <v>1431418.1999999997</v>
      </c>
      <c r="L87" s="4">
        <f t="shared" si="3"/>
        <v>1845993.9000000001</v>
      </c>
      <c r="M87" s="4">
        <f t="shared" si="3"/>
        <v>109089230.79999998</v>
      </c>
      <c r="N87" s="4">
        <f t="shared" si="3"/>
        <v>66738342.200000003</v>
      </c>
      <c r="O87" s="4">
        <f>SUM(D87:N87)</f>
        <v>798941904.70000005</v>
      </c>
    </row>
    <row r="88" spans="1:15" x14ac:dyDescent="0.5">
      <c r="A88" t="s">
        <v>57</v>
      </c>
      <c r="D88" s="2"/>
      <c r="E88" s="2"/>
      <c r="F88" s="2"/>
      <c r="G88" s="2"/>
      <c r="H88" s="2"/>
      <c r="I88" s="2"/>
      <c r="J88" s="2"/>
      <c r="K88" s="2"/>
      <c r="L88" s="2"/>
      <c r="M88" s="2"/>
      <c r="N88" s="2"/>
      <c r="O88" s="4"/>
    </row>
    <row r="89" spans="1:15" x14ac:dyDescent="0.5">
      <c r="A89">
        <v>13</v>
      </c>
      <c r="B89">
        <v>13</v>
      </c>
      <c r="C89" t="s">
        <v>12</v>
      </c>
      <c r="D89" s="2">
        <v>0</v>
      </c>
      <c r="E89" s="2">
        <v>0</v>
      </c>
      <c r="F89" s="2">
        <v>0</v>
      </c>
      <c r="G89" s="2">
        <v>0</v>
      </c>
      <c r="H89" s="2">
        <v>211637792</v>
      </c>
      <c r="I89" s="2">
        <v>570855616</v>
      </c>
      <c r="J89" s="2">
        <v>0</v>
      </c>
      <c r="K89" s="2">
        <v>28508940</v>
      </c>
      <c r="L89" s="2">
        <v>6833338</v>
      </c>
      <c r="M89" s="2">
        <v>8714180</v>
      </c>
      <c r="N89" s="2">
        <v>42865940</v>
      </c>
      <c r="O89" s="4">
        <f>SUM(D89:N89)</f>
        <v>869415806</v>
      </c>
    </row>
    <row r="90" spans="1:15" x14ac:dyDescent="0.5">
      <c r="A90">
        <v>15</v>
      </c>
      <c r="B90">
        <v>15</v>
      </c>
      <c r="C90" t="s">
        <v>13</v>
      </c>
      <c r="D90" s="2">
        <v>205428288</v>
      </c>
      <c r="E90" s="2">
        <v>148121120</v>
      </c>
      <c r="F90" s="2">
        <v>0</v>
      </c>
      <c r="G90" s="2">
        <v>314016224</v>
      </c>
      <c r="H90" s="2">
        <v>651723840</v>
      </c>
      <c r="I90" s="2">
        <v>0</v>
      </c>
      <c r="J90" s="2">
        <v>0</v>
      </c>
      <c r="K90" s="2">
        <v>4199661.5</v>
      </c>
      <c r="L90" s="2">
        <v>0</v>
      </c>
      <c r="M90" s="2">
        <v>34177588</v>
      </c>
      <c r="N90" s="2">
        <v>8139187.5</v>
      </c>
      <c r="O90" s="4">
        <f t="shared" ref="O90:O114" si="4">SUM(D90:N90)</f>
        <v>1365805909</v>
      </c>
    </row>
    <row r="91" spans="1:15" x14ac:dyDescent="0.5">
      <c r="A91">
        <v>16</v>
      </c>
      <c r="B91">
        <v>16</v>
      </c>
      <c r="C91" t="s">
        <v>52</v>
      </c>
      <c r="D91" s="2">
        <v>34503024</v>
      </c>
      <c r="E91" s="2">
        <v>2277386.2999999998</v>
      </c>
      <c r="F91" s="2">
        <v>0</v>
      </c>
      <c r="G91" s="2">
        <v>911048768</v>
      </c>
      <c r="H91" s="2">
        <v>232748.2</v>
      </c>
      <c r="I91" s="2">
        <v>0</v>
      </c>
      <c r="J91" s="2">
        <v>2622340.2999999998</v>
      </c>
      <c r="K91" s="2">
        <v>0</v>
      </c>
      <c r="L91" s="2">
        <v>0</v>
      </c>
      <c r="M91" s="2">
        <v>20232770</v>
      </c>
      <c r="N91" s="2">
        <v>93877.6</v>
      </c>
      <c r="O91" s="4">
        <f t="shared" si="4"/>
        <v>971010914.39999998</v>
      </c>
    </row>
    <row r="92" spans="1:15" x14ac:dyDescent="0.5">
      <c r="A92">
        <v>30</v>
      </c>
      <c r="B92">
        <v>30</v>
      </c>
      <c r="C92" t="s">
        <v>53</v>
      </c>
      <c r="D92" s="2">
        <v>10447638</v>
      </c>
      <c r="E92" s="2">
        <v>0</v>
      </c>
      <c r="F92" s="2">
        <v>0</v>
      </c>
      <c r="G92" s="2">
        <v>25126172</v>
      </c>
      <c r="H92" s="2">
        <v>0</v>
      </c>
      <c r="I92" s="2">
        <v>0</v>
      </c>
      <c r="J92" s="2">
        <v>0</v>
      </c>
      <c r="K92" s="2">
        <v>0</v>
      </c>
      <c r="L92" s="2">
        <v>0</v>
      </c>
      <c r="M92" s="2">
        <v>2403133.2999999998</v>
      </c>
      <c r="N92" s="2">
        <v>2276.9</v>
      </c>
      <c r="O92" s="4">
        <f t="shared" si="4"/>
        <v>37979220.199999996</v>
      </c>
    </row>
    <row r="93" spans="1:15" x14ac:dyDescent="0.5">
      <c r="A93">
        <v>37</v>
      </c>
      <c r="B93">
        <v>37</v>
      </c>
      <c r="C93" t="s">
        <v>14</v>
      </c>
      <c r="D93" s="2">
        <v>69808488</v>
      </c>
      <c r="E93" s="2">
        <v>211585376</v>
      </c>
      <c r="F93" s="2">
        <v>0</v>
      </c>
      <c r="G93" s="2">
        <v>58908716</v>
      </c>
      <c r="H93" s="2">
        <v>2162292480</v>
      </c>
      <c r="I93" s="2">
        <v>114069.2</v>
      </c>
      <c r="J93" s="2">
        <v>0</v>
      </c>
      <c r="K93" s="2">
        <v>24390504</v>
      </c>
      <c r="L93" s="2">
        <v>0</v>
      </c>
      <c r="M93" s="2">
        <v>48809856</v>
      </c>
      <c r="N93" s="2">
        <v>146746880</v>
      </c>
      <c r="O93" s="4">
        <f t="shared" si="4"/>
        <v>2722656369.1999998</v>
      </c>
    </row>
    <row r="94" spans="1:15" x14ac:dyDescent="0.5">
      <c r="A94">
        <v>38</v>
      </c>
      <c r="B94">
        <v>38</v>
      </c>
      <c r="C94" t="s">
        <v>54</v>
      </c>
      <c r="D94" s="2">
        <v>18481370</v>
      </c>
      <c r="E94" s="2">
        <v>351100736</v>
      </c>
      <c r="F94" s="2">
        <v>30412420</v>
      </c>
      <c r="G94" s="2">
        <v>301367296</v>
      </c>
      <c r="H94" s="2">
        <v>362977120</v>
      </c>
      <c r="I94" s="2">
        <v>180634656</v>
      </c>
      <c r="J94" s="2">
        <v>8655241</v>
      </c>
      <c r="K94" s="2">
        <v>0</v>
      </c>
      <c r="L94" s="2">
        <v>0</v>
      </c>
      <c r="M94" s="2">
        <v>73531560</v>
      </c>
      <c r="N94" s="2">
        <v>1048086080</v>
      </c>
      <c r="O94" s="4">
        <f t="shared" si="4"/>
        <v>2375246479</v>
      </c>
    </row>
    <row r="95" spans="1:15" x14ac:dyDescent="0.5">
      <c r="A95">
        <v>60</v>
      </c>
      <c r="B95">
        <v>60</v>
      </c>
      <c r="C95" t="s">
        <v>15</v>
      </c>
      <c r="D95" s="2">
        <v>47209612</v>
      </c>
      <c r="E95" s="2">
        <v>18007328</v>
      </c>
      <c r="F95" s="2">
        <v>12434796</v>
      </c>
      <c r="G95" s="2">
        <v>475238496</v>
      </c>
      <c r="H95" s="2">
        <v>329555840</v>
      </c>
      <c r="I95" s="2">
        <v>2760743168</v>
      </c>
      <c r="J95" s="2">
        <v>54539916</v>
      </c>
      <c r="K95" s="2">
        <v>3176359</v>
      </c>
      <c r="L95" s="2">
        <v>115174256</v>
      </c>
      <c r="M95" s="2">
        <v>74744672</v>
      </c>
      <c r="N95" s="2">
        <v>122272856</v>
      </c>
      <c r="O95" s="4">
        <f t="shared" si="4"/>
        <v>4013097299</v>
      </c>
    </row>
    <row r="96" spans="1:15" x14ac:dyDescent="0.5">
      <c r="A96">
        <v>67</v>
      </c>
      <c r="B96">
        <v>67</v>
      </c>
      <c r="C96" t="s">
        <v>16</v>
      </c>
      <c r="D96" s="2">
        <v>100750360</v>
      </c>
      <c r="E96" s="2">
        <v>504404736</v>
      </c>
      <c r="F96" s="2">
        <v>0</v>
      </c>
      <c r="G96" s="2">
        <v>477553792</v>
      </c>
      <c r="H96" s="2">
        <v>2437315584</v>
      </c>
      <c r="I96" s="2">
        <v>0</v>
      </c>
      <c r="J96" s="2">
        <v>6000812</v>
      </c>
      <c r="K96" s="2">
        <v>2695576</v>
      </c>
      <c r="L96" s="2">
        <v>0</v>
      </c>
      <c r="M96" s="2">
        <v>194780256</v>
      </c>
      <c r="N96" s="2">
        <v>182712608</v>
      </c>
      <c r="O96" s="4">
        <f t="shared" si="4"/>
        <v>3906213724</v>
      </c>
    </row>
    <row r="97" spans="1:15" x14ac:dyDescent="0.5">
      <c r="A97">
        <v>69</v>
      </c>
      <c r="B97">
        <v>69</v>
      </c>
      <c r="C97" t="s">
        <v>17</v>
      </c>
      <c r="D97" s="2">
        <v>149975616</v>
      </c>
      <c r="E97" s="2">
        <v>41468056</v>
      </c>
      <c r="F97" s="2">
        <v>0</v>
      </c>
      <c r="G97" s="2">
        <v>153518352</v>
      </c>
      <c r="H97" s="2">
        <v>915991168</v>
      </c>
      <c r="I97" s="2">
        <v>770970.3</v>
      </c>
      <c r="J97" s="2">
        <v>10831956</v>
      </c>
      <c r="K97" s="2">
        <v>6942553.5</v>
      </c>
      <c r="L97" s="2">
        <v>0</v>
      </c>
      <c r="M97" s="2">
        <v>24539044</v>
      </c>
      <c r="N97" s="2">
        <v>114984184</v>
      </c>
      <c r="O97" s="4">
        <f t="shared" si="4"/>
        <v>1419021899.8</v>
      </c>
    </row>
    <row r="98" spans="1:15" x14ac:dyDescent="0.5">
      <c r="A98">
        <v>71</v>
      </c>
      <c r="B98">
        <v>71</v>
      </c>
      <c r="C98" t="s">
        <v>18</v>
      </c>
      <c r="D98" s="2">
        <v>1872774.9</v>
      </c>
      <c r="E98" s="2">
        <v>0</v>
      </c>
      <c r="F98" s="2">
        <v>0</v>
      </c>
      <c r="G98" s="2">
        <v>90770832</v>
      </c>
      <c r="H98" s="2">
        <v>0</v>
      </c>
      <c r="I98" s="2">
        <v>0</v>
      </c>
      <c r="J98" s="2">
        <v>0</v>
      </c>
      <c r="K98" s="2">
        <v>0</v>
      </c>
      <c r="L98" s="2">
        <v>0</v>
      </c>
      <c r="M98" s="2">
        <v>5188586</v>
      </c>
      <c r="N98" s="2">
        <v>2305658.5</v>
      </c>
      <c r="O98" s="4">
        <f t="shared" si="4"/>
        <v>100137851.40000001</v>
      </c>
    </row>
    <row r="99" spans="1:15" x14ac:dyDescent="0.5">
      <c r="A99">
        <v>72</v>
      </c>
      <c r="B99">
        <v>72</v>
      </c>
      <c r="C99" t="s">
        <v>19</v>
      </c>
      <c r="D99" s="2">
        <v>15867673</v>
      </c>
      <c r="E99" s="2">
        <v>0</v>
      </c>
      <c r="F99" s="2">
        <v>0</v>
      </c>
      <c r="G99" s="2">
        <v>48552824</v>
      </c>
      <c r="H99" s="2">
        <v>4050947.3</v>
      </c>
      <c r="I99" s="2">
        <v>0</v>
      </c>
      <c r="J99" s="2">
        <v>1888747.3</v>
      </c>
      <c r="K99" s="2">
        <v>0</v>
      </c>
      <c r="L99" s="2">
        <v>0</v>
      </c>
      <c r="M99" s="2">
        <v>1876100</v>
      </c>
      <c r="N99" s="2">
        <v>25784108</v>
      </c>
      <c r="O99" s="4">
        <f t="shared" si="4"/>
        <v>98020399.599999994</v>
      </c>
    </row>
    <row r="100" spans="1:15" x14ac:dyDescent="0.5">
      <c r="A100">
        <v>96</v>
      </c>
      <c r="B100">
        <v>96</v>
      </c>
      <c r="C100" t="s">
        <v>20</v>
      </c>
      <c r="D100" s="2">
        <v>67673448</v>
      </c>
      <c r="E100" s="2">
        <v>5969357</v>
      </c>
      <c r="F100" s="2">
        <v>23435910</v>
      </c>
      <c r="G100" s="2">
        <v>363288448</v>
      </c>
      <c r="H100" s="2">
        <v>283292032</v>
      </c>
      <c r="I100" s="2">
        <v>946069888</v>
      </c>
      <c r="J100" s="2">
        <v>54282276</v>
      </c>
      <c r="K100" s="2">
        <v>36492388</v>
      </c>
      <c r="L100" s="2">
        <v>12488829</v>
      </c>
      <c r="M100" s="2">
        <v>90479888</v>
      </c>
      <c r="N100" s="2">
        <v>679977536</v>
      </c>
      <c r="O100" s="4">
        <f t="shared" si="4"/>
        <v>2563450000</v>
      </c>
    </row>
    <row r="101" spans="1:15" x14ac:dyDescent="0.5">
      <c r="A101">
        <v>121</v>
      </c>
      <c r="B101">
        <v>121</v>
      </c>
      <c r="C101" t="s">
        <v>21</v>
      </c>
      <c r="D101" s="2">
        <v>189444000</v>
      </c>
      <c r="E101" s="2">
        <v>0</v>
      </c>
      <c r="F101" s="2">
        <v>0</v>
      </c>
      <c r="G101" s="2">
        <v>813278784</v>
      </c>
      <c r="H101" s="2">
        <v>0</v>
      </c>
      <c r="I101" s="2">
        <v>0</v>
      </c>
      <c r="J101" s="2">
        <v>61456312</v>
      </c>
      <c r="K101" s="2">
        <v>0</v>
      </c>
      <c r="L101" s="2">
        <v>0</v>
      </c>
      <c r="M101" s="2">
        <v>12273711</v>
      </c>
      <c r="N101" s="2">
        <v>29132604</v>
      </c>
      <c r="O101" s="4">
        <f t="shared" si="4"/>
        <v>1105585411</v>
      </c>
    </row>
    <row r="102" spans="1:15" x14ac:dyDescent="0.5">
      <c r="A102">
        <v>126</v>
      </c>
      <c r="B102">
        <v>126</v>
      </c>
      <c r="C102" t="s">
        <v>22</v>
      </c>
      <c r="D102" s="2">
        <v>210911888</v>
      </c>
      <c r="E102" s="2">
        <v>69922216</v>
      </c>
      <c r="F102" s="2">
        <v>237811.5</v>
      </c>
      <c r="G102" s="2">
        <v>354567712</v>
      </c>
      <c r="H102" s="2">
        <v>276862880</v>
      </c>
      <c r="I102" s="2">
        <v>0</v>
      </c>
      <c r="J102" s="2">
        <v>20277542</v>
      </c>
      <c r="K102" s="2">
        <v>4915243.5</v>
      </c>
      <c r="L102" s="2">
        <v>0</v>
      </c>
      <c r="M102" s="2">
        <v>18613298</v>
      </c>
      <c r="N102" s="2">
        <v>339872896</v>
      </c>
      <c r="O102" s="4">
        <f t="shared" si="4"/>
        <v>1296181487</v>
      </c>
    </row>
    <row r="103" spans="1:15" x14ac:dyDescent="0.5">
      <c r="A103">
        <v>127</v>
      </c>
      <c r="B103">
        <v>127</v>
      </c>
      <c r="C103" t="s">
        <v>55</v>
      </c>
      <c r="D103" s="2">
        <v>28978976</v>
      </c>
      <c r="E103" s="2">
        <v>0</v>
      </c>
      <c r="F103" s="2">
        <v>0</v>
      </c>
      <c r="G103" s="2">
        <v>26953522</v>
      </c>
      <c r="H103" s="2">
        <v>0</v>
      </c>
      <c r="I103" s="2">
        <v>0</v>
      </c>
      <c r="J103" s="2">
        <v>6029774.5</v>
      </c>
      <c r="K103" s="2">
        <v>0</v>
      </c>
      <c r="L103" s="2">
        <v>0</v>
      </c>
      <c r="M103" s="2">
        <v>1140339.8</v>
      </c>
      <c r="N103" s="2">
        <v>77924.600000000006</v>
      </c>
      <c r="O103" s="4">
        <f t="shared" si="4"/>
        <v>63180536.899999999</v>
      </c>
    </row>
    <row r="104" spans="1:15" x14ac:dyDescent="0.5">
      <c r="A104">
        <v>131</v>
      </c>
      <c r="B104">
        <v>131</v>
      </c>
      <c r="C104" t="s">
        <v>23</v>
      </c>
      <c r="D104" s="2">
        <v>22846720</v>
      </c>
      <c r="E104" s="2">
        <v>1174694.3</v>
      </c>
      <c r="F104" s="2">
        <v>361680.8</v>
      </c>
      <c r="G104" s="2">
        <v>1061677632</v>
      </c>
      <c r="H104" s="2">
        <v>231783424</v>
      </c>
      <c r="I104" s="2">
        <v>27931868</v>
      </c>
      <c r="J104" s="2">
        <v>1781059.3</v>
      </c>
      <c r="K104" s="2">
        <v>4069961.8</v>
      </c>
      <c r="L104" s="2">
        <v>0</v>
      </c>
      <c r="M104" s="2">
        <v>38472328</v>
      </c>
      <c r="N104" s="2">
        <v>58329656</v>
      </c>
      <c r="O104" s="4">
        <f t="shared" si="4"/>
        <v>1448429024.1999998</v>
      </c>
    </row>
    <row r="105" spans="1:15" x14ac:dyDescent="0.5">
      <c r="A105">
        <v>134</v>
      </c>
      <c r="B105">
        <v>134</v>
      </c>
      <c r="C105" t="s">
        <v>24</v>
      </c>
      <c r="D105" s="2">
        <v>401260992</v>
      </c>
      <c r="E105" s="2">
        <v>0</v>
      </c>
      <c r="F105" s="2">
        <v>0</v>
      </c>
      <c r="G105" s="2">
        <v>800539968</v>
      </c>
      <c r="H105" s="2">
        <v>0</v>
      </c>
      <c r="I105" s="2">
        <v>0</v>
      </c>
      <c r="J105" s="2">
        <v>2446250.7999999998</v>
      </c>
      <c r="K105" s="2">
        <v>0</v>
      </c>
      <c r="L105" s="2">
        <v>0</v>
      </c>
      <c r="M105" s="2">
        <v>9188356</v>
      </c>
      <c r="N105" s="2">
        <v>607024.80000000005</v>
      </c>
      <c r="O105" s="4">
        <f t="shared" si="4"/>
        <v>1214042591.5999999</v>
      </c>
    </row>
    <row r="106" spans="1:15" x14ac:dyDescent="0.5">
      <c r="A106">
        <v>135</v>
      </c>
      <c r="B106">
        <v>135</v>
      </c>
      <c r="C106" t="s">
        <v>25</v>
      </c>
      <c r="D106" s="2">
        <v>245284320</v>
      </c>
      <c r="E106" s="2">
        <v>1324731648</v>
      </c>
      <c r="F106" s="2">
        <v>1413051.8</v>
      </c>
      <c r="G106" s="2">
        <v>8246771200</v>
      </c>
      <c r="H106" s="2">
        <v>16442747904</v>
      </c>
      <c r="I106" s="2">
        <v>159568784</v>
      </c>
      <c r="J106" s="2">
        <v>167387440</v>
      </c>
      <c r="K106" s="2">
        <v>67101732</v>
      </c>
      <c r="L106" s="2">
        <v>0</v>
      </c>
      <c r="M106" s="2">
        <v>832253824</v>
      </c>
      <c r="N106" s="2">
        <v>1220116608</v>
      </c>
      <c r="O106" s="4">
        <f t="shared" si="4"/>
        <v>28707376511.799999</v>
      </c>
    </row>
    <row r="107" spans="1:15" x14ac:dyDescent="0.5">
      <c r="A107">
        <v>156</v>
      </c>
      <c r="B107">
        <v>156</v>
      </c>
      <c r="C107" t="s">
        <v>26</v>
      </c>
      <c r="D107" s="2">
        <v>0</v>
      </c>
      <c r="E107" s="2">
        <v>0</v>
      </c>
      <c r="F107" s="2">
        <v>0</v>
      </c>
      <c r="G107" s="2">
        <v>0</v>
      </c>
      <c r="H107" s="2">
        <v>321227808</v>
      </c>
      <c r="I107" s="2">
        <v>786907264</v>
      </c>
      <c r="J107" s="2">
        <v>0</v>
      </c>
      <c r="K107" s="2">
        <v>14832012</v>
      </c>
      <c r="L107" s="2">
        <v>6561995</v>
      </c>
      <c r="M107" s="2">
        <v>40629432</v>
      </c>
      <c r="N107" s="2">
        <v>70780968</v>
      </c>
      <c r="O107" s="4">
        <f t="shared" si="4"/>
        <v>1240939479</v>
      </c>
    </row>
    <row r="108" spans="1:15" x14ac:dyDescent="0.5">
      <c r="A108">
        <v>159</v>
      </c>
      <c r="B108">
        <v>159</v>
      </c>
      <c r="C108" t="s">
        <v>27</v>
      </c>
      <c r="D108" s="2">
        <v>78290816</v>
      </c>
      <c r="E108" s="2">
        <v>0</v>
      </c>
      <c r="F108" s="2">
        <v>0</v>
      </c>
      <c r="G108" s="2">
        <v>567061120</v>
      </c>
      <c r="H108" s="2">
        <v>0</v>
      </c>
      <c r="I108" s="2">
        <v>0</v>
      </c>
      <c r="J108" s="2">
        <v>20730520</v>
      </c>
      <c r="K108" s="2">
        <v>0</v>
      </c>
      <c r="L108" s="2">
        <v>0</v>
      </c>
      <c r="M108" s="2">
        <v>16022483</v>
      </c>
      <c r="N108" s="2">
        <v>11683965</v>
      </c>
      <c r="O108" s="4">
        <f t="shared" si="4"/>
        <v>693788904</v>
      </c>
    </row>
    <row r="109" spans="1:15" x14ac:dyDescent="0.5">
      <c r="A109">
        <v>178</v>
      </c>
      <c r="B109">
        <v>178</v>
      </c>
      <c r="C109" t="s">
        <v>56</v>
      </c>
      <c r="D109" s="2">
        <v>60555396</v>
      </c>
      <c r="E109" s="2">
        <v>186258.7</v>
      </c>
      <c r="F109" s="2">
        <v>0</v>
      </c>
      <c r="G109" s="2">
        <v>678861184</v>
      </c>
      <c r="H109" s="2">
        <v>0</v>
      </c>
      <c r="I109" s="2">
        <v>0</v>
      </c>
      <c r="J109" s="2">
        <v>2413218</v>
      </c>
      <c r="K109" s="2">
        <v>0</v>
      </c>
      <c r="L109" s="2">
        <v>0</v>
      </c>
      <c r="M109" s="2">
        <v>7226633</v>
      </c>
      <c r="N109" s="2">
        <v>24041672</v>
      </c>
      <c r="O109" s="4">
        <f t="shared" si="4"/>
        <v>773284361.70000005</v>
      </c>
    </row>
    <row r="110" spans="1:15" x14ac:dyDescent="0.5">
      <c r="A110">
        <v>179</v>
      </c>
      <c r="B110">
        <v>179</v>
      </c>
      <c r="C110" t="s">
        <v>28</v>
      </c>
      <c r="D110" s="2">
        <v>0</v>
      </c>
      <c r="E110" s="2">
        <v>139109216</v>
      </c>
      <c r="F110" s="2">
        <v>0</v>
      </c>
      <c r="G110" s="2">
        <v>83161768</v>
      </c>
      <c r="H110" s="2">
        <v>229017952</v>
      </c>
      <c r="I110" s="2">
        <v>0</v>
      </c>
      <c r="J110" s="2">
        <v>0</v>
      </c>
      <c r="K110" s="2">
        <v>1713876.8</v>
      </c>
      <c r="L110" s="2">
        <v>0</v>
      </c>
      <c r="M110" s="2">
        <v>13160818</v>
      </c>
      <c r="N110" s="2">
        <v>5520014</v>
      </c>
      <c r="O110" s="4">
        <f t="shared" si="4"/>
        <v>471683644.80000001</v>
      </c>
    </row>
    <row r="111" spans="1:15" x14ac:dyDescent="0.5">
      <c r="A111">
        <v>188</v>
      </c>
      <c r="B111">
        <v>188</v>
      </c>
      <c r="C111" t="s">
        <v>29</v>
      </c>
      <c r="D111" s="2">
        <v>217734400</v>
      </c>
      <c r="E111" s="2">
        <v>118179856</v>
      </c>
      <c r="F111" s="2">
        <v>26144576</v>
      </c>
      <c r="G111" s="2">
        <v>936806144</v>
      </c>
      <c r="H111" s="2">
        <v>1029116608</v>
      </c>
      <c r="I111" s="2">
        <v>448515232</v>
      </c>
      <c r="J111" s="2">
        <v>18131940</v>
      </c>
      <c r="K111" s="2">
        <v>3780815</v>
      </c>
      <c r="L111" s="2">
        <v>408775.7</v>
      </c>
      <c r="M111" s="2">
        <v>49901636</v>
      </c>
      <c r="N111" s="2">
        <v>1085593600</v>
      </c>
      <c r="O111" s="4">
        <f t="shared" si="4"/>
        <v>3934313582.6999998</v>
      </c>
    </row>
    <row r="112" spans="1:15" x14ac:dyDescent="0.5">
      <c r="A112">
        <v>189</v>
      </c>
      <c r="B112">
        <v>189</v>
      </c>
      <c r="C112" t="s">
        <v>30</v>
      </c>
      <c r="D112" s="2">
        <v>5209732.5</v>
      </c>
      <c r="E112" s="2">
        <v>47256604</v>
      </c>
      <c r="F112" s="2">
        <v>0</v>
      </c>
      <c r="G112" s="2">
        <v>43674344</v>
      </c>
      <c r="H112" s="2">
        <v>2979543552</v>
      </c>
      <c r="I112" s="2">
        <v>628171456</v>
      </c>
      <c r="J112" s="2">
        <v>0</v>
      </c>
      <c r="K112" s="2">
        <v>2884088</v>
      </c>
      <c r="L112" s="2">
        <v>0</v>
      </c>
      <c r="M112" s="2">
        <v>33437064</v>
      </c>
      <c r="N112" s="2">
        <v>195331744</v>
      </c>
      <c r="O112" s="4">
        <f t="shared" si="4"/>
        <v>3935508584.5</v>
      </c>
    </row>
    <row r="113" spans="1:15" x14ac:dyDescent="0.5">
      <c r="A113">
        <v>203</v>
      </c>
      <c r="B113">
        <v>203</v>
      </c>
      <c r="C113" t="s">
        <v>31</v>
      </c>
      <c r="D113" s="2">
        <v>238188736</v>
      </c>
      <c r="E113" s="2">
        <v>13796366</v>
      </c>
      <c r="F113" s="2">
        <v>2457670</v>
      </c>
      <c r="G113" s="2">
        <v>174104752</v>
      </c>
      <c r="H113" s="2">
        <v>3748180.5</v>
      </c>
      <c r="I113" s="2">
        <v>262966.5</v>
      </c>
      <c r="J113" s="2">
        <v>4132984.3</v>
      </c>
      <c r="K113" s="2">
        <v>0</v>
      </c>
      <c r="L113" s="2">
        <v>0</v>
      </c>
      <c r="M113" s="2">
        <v>12737233</v>
      </c>
      <c r="N113" s="2">
        <v>34628740</v>
      </c>
      <c r="O113" s="4">
        <f t="shared" si="4"/>
        <v>484057628.30000001</v>
      </c>
    </row>
    <row r="114" spans="1:15" x14ac:dyDescent="0.5">
      <c r="A114">
        <v>204</v>
      </c>
      <c r="B114">
        <v>204</v>
      </c>
      <c r="C114" t="s">
        <v>32</v>
      </c>
      <c r="D114" s="2">
        <v>61726044</v>
      </c>
      <c r="E114" s="2">
        <v>0</v>
      </c>
      <c r="F114" s="2">
        <v>370790.5</v>
      </c>
      <c r="G114" s="2">
        <v>325972448</v>
      </c>
      <c r="H114" s="2">
        <v>4091270.8</v>
      </c>
      <c r="I114" s="2">
        <v>21567522</v>
      </c>
      <c r="J114" s="2">
        <v>7795476.5</v>
      </c>
      <c r="K114" s="2">
        <v>0</v>
      </c>
      <c r="L114" s="2">
        <v>682211.2</v>
      </c>
      <c r="M114" s="2">
        <v>4932688</v>
      </c>
      <c r="N114" s="2">
        <v>37908100</v>
      </c>
      <c r="O114" s="4">
        <f t="shared" si="4"/>
        <v>465046551</v>
      </c>
    </row>
    <row r="115" spans="1:15" x14ac:dyDescent="0.5">
      <c r="D115" s="4">
        <f t="shared" ref="D115:N115" si="5">SUM(D89:D114)</f>
        <v>2482450312.4000001</v>
      </c>
      <c r="E115" s="4">
        <f t="shared" si="5"/>
        <v>2997290954.2999997</v>
      </c>
      <c r="F115" s="4">
        <f t="shared" si="5"/>
        <v>97268706.599999994</v>
      </c>
      <c r="G115" s="4">
        <f t="shared" si="5"/>
        <v>17332820498</v>
      </c>
      <c r="H115" s="4">
        <f t="shared" si="5"/>
        <v>28877209130.799999</v>
      </c>
      <c r="I115" s="4">
        <f t="shared" si="5"/>
        <v>6532113460</v>
      </c>
      <c r="J115" s="4">
        <f t="shared" si="5"/>
        <v>451403806.00000006</v>
      </c>
      <c r="K115" s="4">
        <f t="shared" si="5"/>
        <v>205703711.10000002</v>
      </c>
      <c r="L115" s="4">
        <f t="shared" si="5"/>
        <v>142149404.89999998</v>
      </c>
      <c r="M115" s="4">
        <f t="shared" si="5"/>
        <v>1669467477.0999999</v>
      </c>
      <c r="N115" s="4">
        <f t="shared" si="5"/>
        <v>5487596708.8999996</v>
      </c>
      <c r="O115" s="4">
        <f>SUM(D115:N115)</f>
        <v>66275474170.099998</v>
      </c>
    </row>
    <row r="116" spans="1:15" x14ac:dyDescent="0.5">
      <c r="A116" t="s">
        <v>58</v>
      </c>
      <c r="D116" s="2"/>
      <c r="E116" s="2"/>
      <c r="F116" s="2"/>
      <c r="G116" s="2"/>
      <c r="H116" s="2"/>
      <c r="I116" s="2"/>
      <c r="J116" s="2"/>
      <c r="K116" s="2"/>
      <c r="L116" s="2"/>
      <c r="M116" s="2"/>
      <c r="N116" s="2"/>
      <c r="O116" s="4"/>
    </row>
    <row r="117" spans="1:15" x14ac:dyDescent="0.5">
      <c r="A117">
        <v>13</v>
      </c>
      <c r="B117">
        <v>13</v>
      </c>
      <c r="C117" t="s">
        <v>12</v>
      </c>
      <c r="D117" s="2">
        <v>0</v>
      </c>
      <c r="E117" s="2">
        <v>0</v>
      </c>
      <c r="F117" s="2">
        <v>0</v>
      </c>
      <c r="G117" s="2">
        <v>0</v>
      </c>
      <c r="H117" s="2">
        <v>225129.4</v>
      </c>
      <c r="I117" s="2">
        <v>785653.6</v>
      </c>
      <c r="J117" s="2">
        <v>0</v>
      </c>
      <c r="K117" s="2">
        <v>21584.5</v>
      </c>
      <c r="L117" s="2">
        <v>7518.6</v>
      </c>
      <c r="M117" s="2">
        <v>11954.5</v>
      </c>
      <c r="N117" s="2">
        <v>52934.8</v>
      </c>
      <c r="O117" s="4">
        <f>SUM(D117:N117)</f>
        <v>1104775.4000000001</v>
      </c>
    </row>
    <row r="118" spans="1:15" x14ac:dyDescent="0.5">
      <c r="A118">
        <v>15</v>
      </c>
      <c r="B118">
        <v>15</v>
      </c>
      <c r="C118" t="s">
        <v>13</v>
      </c>
      <c r="D118" s="2">
        <v>215178.6</v>
      </c>
      <c r="E118" s="2">
        <v>124478.9</v>
      </c>
      <c r="F118" s="2">
        <v>0</v>
      </c>
      <c r="G118" s="2">
        <v>401960</v>
      </c>
      <c r="H118" s="2">
        <v>916945.4</v>
      </c>
      <c r="I118" s="2">
        <v>0</v>
      </c>
      <c r="J118" s="2">
        <v>0</v>
      </c>
      <c r="K118" s="2">
        <v>5606</v>
      </c>
      <c r="L118" s="2">
        <v>0</v>
      </c>
      <c r="M118" s="2">
        <v>62202.1</v>
      </c>
      <c r="N118" s="2">
        <v>10295</v>
      </c>
      <c r="O118" s="4">
        <f t="shared" ref="O118:O142" si="6">SUM(D118:N118)</f>
        <v>1736666</v>
      </c>
    </row>
    <row r="119" spans="1:15" x14ac:dyDescent="0.5">
      <c r="A119">
        <v>16</v>
      </c>
      <c r="B119">
        <v>16</v>
      </c>
      <c r="C119" t="s">
        <v>52</v>
      </c>
      <c r="D119" s="2">
        <v>141526.1</v>
      </c>
      <c r="E119" s="2">
        <v>11144.3</v>
      </c>
      <c r="F119" s="2">
        <v>0</v>
      </c>
      <c r="G119" s="2">
        <v>4165720.8</v>
      </c>
      <c r="H119" s="2">
        <v>843.2</v>
      </c>
      <c r="I119" s="2">
        <v>0</v>
      </c>
      <c r="J119" s="2">
        <v>5421.7</v>
      </c>
      <c r="K119" s="2">
        <v>0</v>
      </c>
      <c r="L119" s="2">
        <v>0</v>
      </c>
      <c r="M119" s="2">
        <v>95132.800000000003</v>
      </c>
      <c r="N119" s="2">
        <v>188.3</v>
      </c>
      <c r="O119" s="4">
        <f t="shared" si="6"/>
        <v>4419977.2</v>
      </c>
    </row>
    <row r="120" spans="1:15" x14ac:dyDescent="0.5">
      <c r="A120">
        <v>30</v>
      </c>
      <c r="B120">
        <v>30</v>
      </c>
      <c r="C120" t="s">
        <v>53</v>
      </c>
      <c r="D120" s="2">
        <v>37676.9</v>
      </c>
      <c r="E120" s="2">
        <v>0</v>
      </c>
      <c r="F120" s="2">
        <v>0</v>
      </c>
      <c r="G120" s="2">
        <v>97768.5</v>
      </c>
      <c r="H120" s="2">
        <v>0</v>
      </c>
      <c r="I120" s="2">
        <v>0</v>
      </c>
      <c r="J120" s="2">
        <v>0</v>
      </c>
      <c r="K120" s="2">
        <v>0</v>
      </c>
      <c r="L120" s="2">
        <v>0</v>
      </c>
      <c r="M120" s="2">
        <v>10150</v>
      </c>
      <c r="N120" s="2">
        <v>27.7</v>
      </c>
      <c r="O120" s="4">
        <f t="shared" si="6"/>
        <v>145623.1</v>
      </c>
    </row>
    <row r="121" spans="1:15" x14ac:dyDescent="0.5">
      <c r="A121">
        <v>37</v>
      </c>
      <c r="B121">
        <v>37</v>
      </c>
      <c r="C121" t="s">
        <v>14</v>
      </c>
      <c r="D121" s="2">
        <v>105894.2</v>
      </c>
      <c r="E121" s="2">
        <v>224790.7</v>
      </c>
      <c r="F121" s="2">
        <v>0</v>
      </c>
      <c r="G121" s="2">
        <v>112883</v>
      </c>
      <c r="H121" s="2">
        <v>1918551.6</v>
      </c>
      <c r="I121" s="2">
        <v>309.7</v>
      </c>
      <c r="J121" s="2">
        <v>0</v>
      </c>
      <c r="K121" s="2">
        <v>14948.6</v>
      </c>
      <c r="L121" s="2">
        <v>0</v>
      </c>
      <c r="M121" s="2">
        <v>33796.699999999997</v>
      </c>
      <c r="N121" s="2">
        <v>137345.1</v>
      </c>
      <c r="O121" s="4">
        <f t="shared" si="6"/>
        <v>2548519.6000000006</v>
      </c>
    </row>
    <row r="122" spans="1:15" x14ac:dyDescent="0.5">
      <c r="A122">
        <v>38</v>
      </c>
      <c r="B122">
        <v>38</v>
      </c>
      <c r="C122" t="s">
        <v>54</v>
      </c>
      <c r="D122" s="2">
        <v>50607</v>
      </c>
      <c r="E122" s="2">
        <v>404795.1</v>
      </c>
      <c r="F122" s="2">
        <v>47551.5</v>
      </c>
      <c r="G122" s="2">
        <v>819320.9</v>
      </c>
      <c r="H122" s="2">
        <v>370604.7</v>
      </c>
      <c r="I122" s="2">
        <v>277615.8</v>
      </c>
      <c r="J122" s="2">
        <v>18177.3</v>
      </c>
      <c r="K122" s="2">
        <v>0</v>
      </c>
      <c r="L122" s="2">
        <v>0</v>
      </c>
      <c r="M122" s="2">
        <v>74540.3</v>
      </c>
      <c r="N122" s="2">
        <v>1013374.9</v>
      </c>
      <c r="O122" s="4">
        <f t="shared" si="6"/>
        <v>3076587.5</v>
      </c>
    </row>
    <row r="123" spans="1:15" x14ac:dyDescent="0.5">
      <c r="A123">
        <v>60</v>
      </c>
      <c r="B123">
        <v>60</v>
      </c>
      <c r="C123" t="s">
        <v>15</v>
      </c>
      <c r="D123" s="2">
        <v>99180.7</v>
      </c>
      <c r="E123" s="2">
        <v>21062.1</v>
      </c>
      <c r="F123" s="2">
        <v>25054.6</v>
      </c>
      <c r="G123" s="2">
        <v>1513071.8</v>
      </c>
      <c r="H123" s="2">
        <v>525664.69999999995</v>
      </c>
      <c r="I123" s="2">
        <v>8235568</v>
      </c>
      <c r="J123" s="2">
        <v>107524</v>
      </c>
      <c r="K123" s="2">
        <v>2206.5</v>
      </c>
      <c r="L123" s="2">
        <v>242993.7</v>
      </c>
      <c r="M123" s="2">
        <v>160195.20000000001</v>
      </c>
      <c r="N123" s="2">
        <v>210441.8</v>
      </c>
      <c r="O123" s="4">
        <f t="shared" si="6"/>
        <v>11142963.1</v>
      </c>
    </row>
    <row r="124" spans="1:15" x14ac:dyDescent="0.5">
      <c r="A124">
        <v>67</v>
      </c>
      <c r="B124">
        <v>67</v>
      </c>
      <c r="C124" t="s">
        <v>16</v>
      </c>
      <c r="D124" s="2">
        <v>206300.5</v>
      </c>
      <c r="E124" s="2">
        <v>426633.4</v>
      </c>
      <c r="F124" s="2">
        <v>0</v>
      </c>
      <c r="G124" s="2">
        <v>1017847.5</v>
      </c>
      <c r="H124" s="2">
        <v>2117725.2999999998</v>
      </c>
      <c r="I124" s="2">
        <v>0</v>
      </c>
      <c r="J124" s="2">
        <v>6888.5</v>
      </c>
      <c r="K124" s="2">
        <v>3904</v>
      </c>
      <c r="L124" s="2">
        <v>0</v>
      </c>
      <c r="M124" s="2">
        <v>196939.6</v>
      </c>
      <c r="N124" s="2">
        <v>178101.9</v>
      </c>
      <c r="O124" s="4">
        <f t="shared" si="6"/>
        <v>4154340.6999999997</v>
      </c>
    </row>
    <row r="125" spans="1:15" x14ac:dyDescent="0.5">
      <c r="A125">
        <v>69</v>
      </c>
      <c r="B125">
        <v>69</v>
      </c>
      <c r="C125" t="s">
        <v>17</v>
      </c>
      <c r="D125" s="2">
        <v>259448.2</v>
      </c>
      <c r="E125" s="2">
        <v>67176.7</v>
      </c>
      <c r="F125" s="2">
        <v>0</v>
      </c>
      <c r="G125" s="2">
        <v>281482.5</v>
      </c>
      <c r="H125" s="2">
        <v>1597428.3</v>
      </c>
      <c r="I125" s="2">
        <v>2109.3000000000002</v>
      </c>
      <c r="J125" s="2">
        <v>13424.3</v>
      </c>
      <c r="K125" s="2">
        <v>11419.9</v>
      </c>
      <c r="L125" s="2">
        <v>0</v>
      </c>
      <c r="M125" s="2">
        <v>40411.1</v>
      </c>
      <c r="N125" s="2">
        <v>175696.4</v>
      </c>
      <c r="O125" s="4">
        <f t="shared" si="6"/>
        <v>2448596.6999999997</v>
      </c>
    </row>
    <row r="126" spans="1:15" x14ac:dyDescent="0.5">
      <c r="A126">
        <v>71</v>
      </c>
      <c r="B126">
        <v>71</v>
      </c>
      <c r="C126" t="s">
        <v>18</v>
      </c>
      <c r="D126" s="2">
        <v>5891.3</v>
      </c>
      <c r="E126" s="2">
        <v>0</v>
      </c>
      <c r="F126" s="2">
        <v>0</v>
      </c>
      <c r="G126" s="2">
        <v>300402.7</v>
      </c>
      <c r="H126" s="2">
        <v>0</v>
      </c>
      <c r="I126" s="2">
        <v>0</v>
      </c>
      <c r="J126" s="2">
        <v>0</v>
      </c>
      <c r="K126" s="2">
        <v>0</v>
      </c>
      <c r="L126" s="2">
        <v>0</v>
      </c>
      <c r="M126" s="2">
        <v>14599.6</v>
      </c>
      <c r="N126" s="2">
        <v>6869.5</v>
      </c>
      <c r="O126" s="4">
        <f t="shared" si="6"/>
        <v>327763.09999999998</v>
      </c>
    </row>
    <row r="127" spans="1:15" x14ac:dyDescent="0.5">
      <c r="A127">
        <v>72</v>
      </c>
      <c r="B127">
        <v>72</v>
      </c>
      <c r="C127" t="s">
        <v>19</v>
      </c>
      <c r="D127" s="2">
        <v>32633.9</v>
      </c>
      <c r="E127" s="2">
        <v>0</v>
      </c>
      <c r="F127" s="2">
        <v>0</v>
      </c>
      <c r="G127" s="2">
        <v>97019.8</v>
      </c>
      <c r="H127" s="2">
        <v>6848</v>
      </c>
      <c r="I127" s="2">
        <v>0</v>
      </c>
      <c r="J127" s="2">
        <v>2870.4</v>
      </c>
      <c r="K127" s="2">
        <v>0</v>
      </c>
      <c r="L127" s="2">
        <v>0</v>
      </c>
      <c r="M127" s="2">
        <v>3776.9</v>
      </c>
      <c r="N127" s="2">
        <v>46771.7</v>
      </c>
      <c r="O127" s="4">
        <f t="shared" si="6"/>
        <v>189920.7</v>
      </c>
    </row>
    <row r="128" spans="1:15" x14ac:dyDescent="0.5">
      <c r="A128">
        <v>96</v>
      </c>
      <c r="B128">
        <v>96</v>
      </c>
      <c r="C128" t="s">
        <v>20</v>
      </c>
      <c r="D128" s="2">
        <v>128532.4</v>
      </c>
      <c r="E128" s="2">
        <v>7268.9</v>
      </c>
      <c r="F128" s="2">
        <v>40418.800000000003</v>
      </c>
      <c r="G128" s="2">
        <v>1100682.3</v>
      </c>
      <c r="H128" s="2">
        <v>470281.5</v>
      </c>
      <c r="I128" s="2">
        <v>1418889.1</v>
      </c>
      <c r="J128" s="2">
        <v>45120.1</v>
      </c>
      <c r="K128" s="2">
        <v>27627.7</v>
      </c>
      <c r="L128" s="2">
        <v>9678.4</v>
      </c>
      <c r="M128" s="2">
        <v>108288</v>
      </c>
      <c r="N128" s="2">
        <v>660312.80000000005</v>
      </c>
      <c r="O128" s="4">
        <f t="shared" si="6"/>
        <v>4017100</v>
      </c>
    </row>
    <row r="129" spans="1:15" x14ac:dyDescent="0.5">
      <c r="A129">
        <v>121</v>
      </c>
      <c r="B129">
        <v>121</v>
      </c>
      <c r="C129" t="s">
        <v>21</v>
      </c>
      <c r="D129" s="2">
        <v>517463.7</v>
      </c>
      <c r="E129" s="2">
        <v>0</v>
      </c>
      <c r="F129" s="2">
        <v>0</v>
      </c>
      <c r="G129" s="2">
        <v>3142027.8</v>
      </c>
      <c r="H129" s="2">
        <v>0</v>
      </c>
      <c r="I129" s="2">
        <v>0</v>
      </c>
      <c r="J129" s="2">
        <v>90152.5</v>
      </c>
      <c r="K129" s="2">
        <v>0</v>
      </c>
      <c r="L129" s="2">
        <v>0</v>
      </c>
      <c r="M129" s="2">
        <v>38934.699999999997</v>
      </c>
      <c r="N129" s="2">
        <v>71132.7</v>
      </c>
      <c r="O129" s="4">
        <f t="shared" si="6"/>
        <v>3859711.4000000004</v>
      </c>
    </row>
    <row r="130" spans="1:15" x14ac:dyDescent="0.5">
      <c r="A130">
        <v>126</v>
      </c>
      <c r="B130">
        <v>126</v>
      </c>
      <c r="C130" t="s">
        <v>22</v>
      </c>
      <c r="D130" s="2">
        <v>933549.1</v>
      </c>
      <c r="E130" s="2">
        <v>225629.7</v>
      </c>
      <c r="F130" s="2">
        <v>2515.8000000000002</v>
      </c>
      <c r="G130" s="2">
        <v>1447144</v>
      </c>
      <c r="H130" s="2">
        <v>789479.8</v>
      </c>
      <c r="I130" s="2">
        <v>0</v>
      </c>
      <c r="J130" s="2">
        <v>32589.1</v>
      </c>
      <c r="K130" s="2">
        <v>6523.9</v>
      </c>
      <c r="L130" s="2">
        <v>0</v>
      </c>
      <c r="M130" s="2">
        <v>48640.1</v>
      </c>
      <c r="N130" s="2">
        <v>1156647.3999999999</v>
      </c>
      <c r="O130" s="4">
        <f t="shared" si="6"/>
        <v>4642718.9000000004</v>
      </c>
    </row>
    <row r="131" spans="1:15" x14ac:dyDescent="0.5">
      <c r="A131">
        <v>127</v>
      </c>
      <c r="B131">
        <v>127</v>
      </c>
      <c r="C131" t="s">
        <v>55</v>
      </c>
      <c r="D131" s="2">
        <v>125591.3</v>
      </c>
      <c r="E131" s="2">
        <v>0</v>
      </c>
      <c r="F131" s="2">
        <v>0</v>
      </c>
      <c r="G131" s="2">
        <v>168528.8</v>
      </c>
      <c r="H131" s="2">
        <v>0</v>
      </c>
      <c r="I131" s="2">
        <v>0</v>
      </c>
      <c r="J131" s="2">
        <v>17973</v>
      </c>
      <c r="K131" s="2">
        <v>0</v>
      </c>
      <c r="L131" s="2">
        <v>0</v>
      </c>
      <c r="M131" s="2">
        <v>2199.6999999999998</v>
      </c>
      <c r="N131" s="2">
        <v>314.89999999999998</v>
      </c>
      <c r="O131" s="4">
        <f t="shared" si="6"/>
        <v>314607.7</v>
      </c>
    </row>
    <row r="132" spans="1:15" x14ac:dyDescent="0.5">
      <c r="A132">
        <v>131</v>
      </c>
      <c r="B132">
        <v>131</v>
      </c>
      <c r="C132" t="s">
        <v>23</v>
      </c>
      <c r="D132" s="2">
        <v>65392.2</v>
      </c>
      <c r="E132" s="2">
        <v>1165.9000000000001</v>
      </c>
      <c r="F132" s="2">
        <v>1194.3</v>
      </c>
      <c r="G132" s="2">
        <v>2362793</v>
      </c>
      <c r="H132" s="2">
        <v>413745.8</v>
      </c>
      <c r="I132" s="2">
        <v>70727.8</v>
      </c>
      <c r="J132" s="2">
        <v>6179.1</v>
      </c>
      <c r="K132" s="2">
        <v>6534.3</v>
      </c>
      <c r="L132" s="2">
        <v>0</v>
      </c>
      <c r="M132" s="2">
        <v>92839.1</v>
      </c>
      <c r="N132" s="2">
        <v>130953.5</v>
      </c>
      <c r="O132" s="4">
        <f t="shared" si="6"/>
        <v>3151524.9999999995</v>
      </c>
    </row>
    <row r="133" spans="1:15" x14ac:dyDescent="0.5">
      <c r="A133">
        <v>134</v>
      </c>
      <c r="B133">
        <v>134</v>
      </c>
      <c r="C133" t="s">
        <v>24</v>
      </c>
      <c r="D133" s="2">
        <v>4186188.3</v>
      </c>
      <c r="E133" s="2">
        <v>0</v>
      </c>
      <c r="F133" s="2">
        <v>0</v>
      </c>
      <c r="G133" s="2">
        <v>8021356</v>
      </c>
      <c r="H133" s="2">
        <v>0</v>
      </c>
      <c r="I133" s="2">
        <v>0</v>
      </c>
      <c r="J133" s="2">
        <v>34173.4</v>
      </c>
      <c r="K133" s="2">
        <v>0</v>
      </c>
      <c r="L133" s="2">
        <v>0</v>
      </c>
      <c r="M133" s="2">
        <v>80704.3</v>
      </c>
      <c r="N133" s="2">
        <v>7157.4</v>
      </c>
      <c r="O133" s="4">
        <f t="shared" si="6"/>
        <v>12329579.400000002</v>
      </c>
    </row>
    <row r="134" spans="1:15" x14ac:dyDescent="0.5">
      <c r="A134">
        <v>135</v>
      </c>
      <c r="B134">
        <v>135</v>
      </c>
      <c r="C134" t="s">
        <v>25</v>
      </c>
      <c r="D134" s="2">
        <v>543140.4</v>
      </c>
      <c r="E134" s="2">
        <v>999918.2</v>
      </c>
      <c r="F134" s="2">
        <v>1163.0999999999999</v>
      </c>
      <c r="G134" s="2">
        <v>19873026</v>
      </c>
      <c r="H134" s="2">
        <v>13774826</v>
      </c>
      <c r="I134" s="2">
        <v>104361.9</v>
      </c>
      <c r="J134" s="2">
        <v>293055.09999999998</v>
      </c>
      <c r="K134" s="2">
        <v>49694.8</v>
      </c>
      <c r="L134" s="2">
        <v>0</v>
      </c>
      <c r="M134" s="2">
        <v>733559.8</v>
      </c>
      <c r="N134" s="2">
        <v>921020.9</v>
      </c>
      <c r="O134" s="4">
        <f t="shared" si="6"/>
        <v>37293766.199999996</v>
      </c>
    </row>
    <row r="135" spans="1:15" x14ac:dyDescent="0.5">
      <c r="A135">
        <v>156</v>
      </c>
      <c r="B135">
        <v>156</v>
      </c>
      <c r="C135" t="s">
        <v>26</v>
      </c>
      <c r="D135" s="2">
        <v>0</v>
      </c>
      <c r="E135" s="2">
        <v>0</v>
      </c>
      <c r="F135" s="2">
        <v>0</v>
      </c>
      <c r="G135" s="2">
        <v>0</v>
      </c>
      <c r="H135" s="2">
        <v>392447.1</v>
      </c>
      <c r="I135" s="2">
        <v>1071192.8999999999</v>
      </c>
      <c r="J135" s="2">
        <v>0</v>
      </c>
      <c r="K135" s="2">
        <v>14908.1</v>
      </c>
      <c r="L135" s="2">
        <v>8809</v>
      </c>
      <c r="M135" s="2">
        <v>37234.400000000001</v>
      </c>
      <c r="N135" s="2">
        <v>89469.7</v>
      </c>
      <c r="O135" s="4">
        <f t="shared" si="6"/>
        <v>1614061.2</v>
      </c>
    </row>
    <row r="136" spans="1:15" x14ac:dyDescent="0.5">
      <c r="A136">
        <v>159</v>
      </c>
      <c r="B136">
        <v>159</v>
      </c>
      <c r="C136" t="s">
        <v>27</v>
      </c>
      <c r="D136" s="2">
        <v>88765.2</v>
      </c>
      <c r="E136" s="2">
        <v>0</v>
      </c>
      <c r="F136" s="2">
        <v>0</v>
      </c>
      <c r="G136" s="2">
        <v>1937278.9</v>
      </c>
      <c r="H136" s="2">
        <v>0</v>
      </c>
      <c r="I136" s="2">
        <v>0</v>
      </c>
      <c r="J136" s="2">
        <v>22653.3</v>
      </c>
      <c r="K136" s="2">
        <v>0</v>
      </c>
      <c r="L136" s="2">
        <v>0</v>
      </c>
      <c r="M136" s="2">
        <v>43738.1</v>
      </c>
      <c r="N136" s="2">
        <v>27473.599999999999</v>
      </c>
      <c r="O136" s="4">
        <f t="shared" si="6"/>
        <v>2119909.1</v>
      </c>
    </row>
    <row r="137" spans="1:15" x14ac:dyDescent="0.5">
      <c r="A137">
        <v>178</v>
      </c>
      <c r="B137">
        <v>178</v>
      </c>
      <c r="C137" t="s">
        <v>56</v>
      </c>
      <c r="D137" s="2">
        <v>206503.2</v>
      </c>
      <c r="E137" s="2">
        <v>597.79999999999995</v>
      </c>
      <c r="F137" s="2">
        <v>0</v>
      </c>
      <c r="G137" s="2">
        <v>2755362.8</v>
      </c>
      <c r="H137" s="2">
        <v>0</v>
      </c>
      <c r="I137" s="2">
        <v>0</v>
      </c>
      <c r="J137" s="2">
        <v>6742.2</v>
      </c>
      <c r="K137" s="2">
        <v>0</v>
      </c>
      <c r="L137" s="2">
        <v>0</v>
      </c>
      <c r="M137" s="2">
        <v>25865</v>
      </c>
      <c r="N137" s="2">
        <v>85669.3</v>
      </c>
      <c r="O137" s="4">
        <f t="shared" si="6"/>
        <v>3080740.3</v>
      </c>
    </row>
    <row r="138" spans="1:15" x14ac:dyDescent="0.5">
      <c r="A138">
        <v>179</v>
      </c>
      <c r="B138">
        <v>179</v>
      </c>
      <c r="C138" t="s">
        <v>28</v>
      </c>
      <c r="D138" s="2">
        <v>0</v>
      </c>
      <c r="E138" s="2">
        <v>278818</v>
      </c>
      <c r="F138" s="2">
        <v>0</v>
      </c>
      <c r="G138" s="2">
        <v>296603.7</v>
      </c>
      <c r="H138" s="2">
        <v>594828.80000000005</v>
      </c>
      <c r="I138" s="2">
        <v>0</v>
      </c>
      <c r="J138" s="2">
        <v>0</v>
      </c>
      <c r="K138" s="2">
        <v>4792.7</v>
      </c>
      <c r="L138" s="2">
        <v>0</v>
      </c>
      <c r="M138" s="2">
        <v>31458.7</v>
      </c>
      <c r="N138" s="2">
        <v>18011.5</v>
      </c>
      <c r="O138" s="4">
        <f t="shared" si="6"/>
        <v>1224513.3999999999</v>
      </c>
    </row>
    <row r="139" spans="1:15" x14ac:dyDescent="0.5">
      <c r="A139">
        <v>188</v>
      </c>
      <c r="B139">
        <v>188</v>
      </c>
      <c r="C139" t="s">
        <v>29</v>
      </c>
      <c r="D139" s="2">
        <v>548030.1</v>
      </c>
      <c r="E139" s="2">
        <v>353809.9</v>
      </c>
      <c r="F139" s="2">
        <v>52346.5</v>
      </c>
      <c r="G139" s="2">
        <v>3437941.5</v>
      </c>
      <c r="H139" s="2">
        <v>2201610.2999999998</v>
      </c>
      <c r="I139" s="2">
        <v>770926.1</v>
      </c>
      <c r="J139" s="2">
        <v>37677.1</v>
      </c>
      <c r="K139" s="2">
        <v>6416.1</v>
      </c>
      <c r="L139" s="2">
        <v>651.6</v>
      </c>
      <c r="M139" s="2">
        <v>133808.79999999999</v>
      </c>
      <c r="N139" s="2">
        <v>1953102.5</v>
      </c>
      <c r="O139" s="4">
        <f t="shared" si="6"/>
        <v>9496320.4999999981</v>
      </c>
    </row>
    <row r="140" spans="1:15" x14ac:dyDescent="0.5">
      <c r="A140">
        <v>189</v>
      </c>
      <c r="B140">
        <v>189</v>
      </c>
      <c r="C140" t="s">
        <v>30</v>
      </c>
      <c r="D140" s="2">
        <v>19954.099999999999</v>
      </c>
      <c r="E140" s="2">
        <v>95382.5</v>
      </c>
      <c r="F140" s="2">
        <v>0</v>
      </c>
      <c r="G140" s="2">
        <v>134103</v>
      </c>
      <c r="H140" s="2">
        <v>4533767.5</v>
      </c>
      <c r="I140" s="2">
        <v>811747.1</v>
      </c>
      <c r="J140" s="2">
        <v>0</v>
      </c>
      <c r="K140" s="2">
        <v>6267</v>
      </c>
      <c r="L140" s="2">
        <v>0</v>
      </c>
      <c r="M140" s="2">
        <v>50699.7</v>
      </c>
      <c r="N140" s="2">
        <v>299930.3</v>
      </c>
      <c r="O140" s="4">
        <f t="shared" si="6"/>
        <v>5951851.1999999993</v>
      </c>
    </row>
    <row r="141" spans="1:15" x14ac:dyDescent="0.5">
      <c r="A141">
        <v>203</v>
      </c>
      <c r="B141">
        <v>203</v>
      </c>
      <c r="C141" t="s">
        <v>31</v>
      </c>
      <c r="D141" s="2">
        <v>578550.9</v>
      </c>
      <c r="E141" s="2">
        <v>32877</v>
      </c>
      <c r="F141" s="2">
        <v>8128.8</v>
      </c>
      <c r="G141" s="2">
        <v>434232.6</v>
      </c>
      <c r="H141" s="2">
        <v>9703.4</v>
      </c>
      <c r="I141" s="2">
        <v>784.2</v>
      </c>
      <c r="J141" s="2">
        <v>5341.2</v>
      </c>
      <c r="K141" s="2">
        <v>0</v>
      </c>
      <c r="L141" s="2">
        <v>0</v>
      </c>
      <c r="M141" s="2">
        <v>28717.3</v>
      </c>
      <c r="N141" s="2">
        <v>87929</v>
      </c>
      <c r="O141" s="4">
        <f t="shared" si="6"/>
        <v>1186264.3999999999</v>
      </c>
    </row>
    <row r="142" spans="1:15" x14ac:dyDescent="0.5">
      <c r="A142">
        <v>204</v>
      </c>
      <c r="B142">
        <v>204</v>
      </c>
      <c r="C142" t="s">
        <v>32</v>
      </c>
      <c r="D142" s="2">
        <v>347846.8</v>
      </c>
      <c r="E142" s="2">
        <v>0</v>
      </c>
      <c r="F142" s="2">
        <v>1903.9</v>
      </c>
      <c r="G142" s="2">
        <v>1996145.6</v>
      </c>
      <c r="H142" s="2">
        <v>2886.9</v>
      </c>
      <c r="I142" s="2">
        <v>54428.2</v>
      </c>
      <c r="J142" s="2">
        <v>15799.2</v>
      </c>
      <c r="K142" s="2">
        <v>0</v>
      </c>
      <c r="L142" s="2">
        <v>1324.2</v>
      </c>
      <c r="M142" s="2">
        <v>12366.4</v>
      </c>
      <c r="N142" s="2">
        <v>107120.9</v>
      </c>
      <c r="O142" s="4">
        <f t="shared" si="6"/>
        <v>2539822.1000000006</v>
      </c>
    </row>
    <row r="143" spans="1:15" x14ac:dyDescent="0.5">
      <c r="D143" s="4">
        <f t="shared" ref="D143:N143" si="7">SUM(D117:D142)</f>
        <v>9443845.1000000015</v>
      </c>
      <c r="E143" s="4">
        <f t="shared" si="7"/>
        <v>3275549.0999999992</v>
      </c>
      <c r="F143" s="4">
        <f t="shared" si="7"/>
        <v>180277.30000000002</v>
      </c>
      <c r="G143" s="4">
        <f t="shared" si="7"/>
        <v>55914703.500000007</v>
      </c>
      <c r="H143" s="4">
        <f t="shared" si="7"/>
        <v>30863317.700000003</v>
      </c>
      <c r="I143" s="4">
        <f t="shared" si="7"/>
        <v>13604313.699999999</v>
      </c>
      <c r="J143" s="4">
        <f t="shared" si="7"/>
        <v>761761.49999999988</v>
      </c>
      <c r="K143" s="4">
        <f t="shared" si="7"/>
        <v>182434.10000000003</v>
      </c>
      <c r="L143" s="4">
        <f t="shared" si="7"/>
        <v>270975.5</v>
      </c>
      <c r="M143" s="4">
        <f t="shared" si="7"/>
        <v>2172752.9</v>
      </c>
      <c r="N143" s="4">
        <f t="shared" si="7"/>
        <v>7448293.5</v>
      </c>
      <c r="O143" s="4">
        <f>SUM(D143:N143)</f>
        <v>124118223.90000002</v>
      </c>
    </row>
    <row r="144" spans="1:15" x14ac:dyDescent="0.5">
      <c r="A144" t="s">
        <v>48</v>
      </c>
      <c r="D144" s="2"/>
      <c r="E144" s="2"/>
      <c r="F144" s="2"/>
      <c r="G144" s="2"/>
      <c r="H144" s="2"/>
      <c r="I144" s="2"/>
      <c r="J144" s="2"/>
      <c r="K144" s="2"/>
      <c r="L144" s="2"/>
      <c r="M144" s="2"/>
      <c r="N144" s="2"/>
      <c r="O144" s="4"/>
    </row>
    <row r="145" spans="1:15" x14ac:dyDescent="0.5">
      <c r="A145">
        <v>13</v>
      </c>
      <c r="B145">
        <v>13</v>
      </c>
      <c r="C145" t="s">
        <v>12</v>
      </c>
      <c r="D145" s="2">
        <v>0</v>
      </c>
      <c r="E145" s="2">
        <v>0</v>
      </c>
      <c r="F145" s="2">
        <v>0</v>
      </c>
      <c r="G145" s="2">
        <v>0</v>
      </c>
      <c r="H145" s="2">
        <v>2249772.5</v>
      </c>
      <c r="I145" s="2">
        <v>13425044</v>
      </c>
      <c r="J145" s="2">
        <v>0</v>
      </c>
      <c r="K145" s="2">
        <v>2408.4</v>
      </c>
      <c r="L145" s="2">
        <v>245522.6</v>
      </c>
      <c r="M145" s="2">
        <v>243185</v>
      </c>
      <c r="N145" s="2">
        <v>957298.8</v>
      </c>
      <c r="O145" s="4">
        <f>SUM(D145:N145)</f>
        <v>17123231.300000001</v>
      </c>
    </row>
    <row r="146" spans="1:15" x14ac:dyDescent="0.5">
      <c r="A146">
        <v>15</v>
      </c>
      <c r="B146">
        <v>15</v>
      </c>
      <c r="C146" t="s">
        <v>13</v>
      </c>
      <c r="D146" s="2">
        <v>12159842</v>
      </c>
      <c r="E146" s="2">
        <v>5588898.5</v>
      </c>
      <c r="F146" s="2">
        <v>0</v>
      </c>
      <c r="G146" s="2">
        <v>19172410</v>
      </c>
      <c r="H146" s="2">
        <v>67008736</v>
      </c>
      <c r="I146" s="2">
        <v>0</v>
      </c>
      <c r="J146" s="2">
        <v>0</v>
      </c>
      <c r="K146" s="2">
        <v>199029.7</v>
      </c>
      <c r="L146" s="2">
        <v>0</v>
      </c>
      <c r="M146" s="2">
        <v>6621154.5</v>
      </c>
      <c r="N146" s="2">
        <v>388977.8</v>
      </c>
      <c r="O146" s="4">
        <f t="shared" ref="O146:O170" si="8">SUM(D146:N146)</f>
        <v>111139048.5</v>
      </c>
    </row>
    <row r="147" spans="1:15" x14ac:dyDescent="0.5">
      <c r="A147">
        <v>16</v>
      </c>
      <c r="B147">
        <v>16</v>
      </c>
      <c r="C147" t="s">
        <v>52</v>
      </c>
      <c r="D147" s="2">
        <v>6470616</v>
      </c>
      <c r="E147" s="2">
        <v>410010.7</v>
      </c>
      <c r="F147" s="2">
        <v>0</v>
      </c>
      <c r="G147" s="2">
        <v>92684480</v>
      </c>
      <c r="H147" s="2">
        <v>20115.900000000001</v>
      </c>
      <c r="I147" s="2">
        <v>0</v>
      </c>
      <c r="J147" s="2">
        <v>909353.3</v>
      </c>
      <c r="K147" s="2">
        <v>0</v>
      </c>
      <c r="L147" s="2">
        <v>0</v>
      </c>
      <c r="M147" s="2">
        <v>1703465.3</v>
      </c>
      <c r="N147" s="2">
        <v>26887.4</v>
      </c>
      <c r="O147" s="4">
        <f t="shared" si="8"/>
        <v>102224928.60000001</v>
      </c>
    </row>
    <row r="148" spans="1:15" x14ac:dyDescent="0.5">
      <c r="A148">
        <v>30</v>
      </c>
      <c r="B148">
        <v>30</v>
      </c>
      <c r="C148" t="s">
        <v>53</v>
      </c>
      <c r="D148" s="2">
        <v>322357.09999999998</v>
      </c>
      <c r="E148" s="2">
        <v>0</v>
      </c>
      <c r="F148" s="2">
        <v>0</v>
      </c>
      <c r="G148" s="2">
        <v>1306485.8999999999</v>
      </c>
      <c r="H148" s="2">
        <v>0</v>
      </c>
      <c r="I148" s="2">
        <v>0</v>
      </c>
      <c r="J148" s="2">
        <v>0</v>
      </c>
      <c r="K148" s="2">
        <v>0</v>
      </c>
      <c r="L148" s="2">
        <v>0</v>
      </c>
      <c r="M148" s="2">
        <v>198239.1</v>
      </c>
      <c r="N148" s="2">
        <v>0</v>
      </c>
      <c r="O148" s="4">
        <f t="shared" si="8"/>
        <v>1827082.1</v>
      </c>
    </row>
    <row r="149" spans="1:15" x14ac:dyDescent="0.5">
      <c r="A149">
        <v>37</v>
      </c>
      <c r="B149">
        <v>37</v>
      </c>
      <c r="C149" t="s">
        <v>14</v>
      </c>
      <c r="D149" s="2">
        <v>11678465</v>
      </c>
      <c r="E149" s="2">
        <v>15489357</v>
      </c>
      <c r="F149" s="2">
        <v>0</v>
      </c>
      <c r="G149" s="2">
        <v>13187891</v>
      </c>
      <c r="H149" s="2">
        <v>45182868</v>
      </c>
      <c r="I149" s="2">
        <v>325.8</v>
      </c>
      <c r="J149" s="2">
        <v>0</v>
      </c>
      <c r="K149" s="2">
        <v>819161.2</v>
      </c>
      <c r="L149" s="2">
        <v>0</v>
      </c>
      <c r="M149" s="2">
        <v>560473.4</v>
      </c>
      <c r="N149" s="2">
        <v>2101029</v>
      </c>
      <c r="O149" s="4">
        <f t="shared" si="8"/>
        <v>89019570.400000006</v>
      </c>
    </row>
    <row r="150" spans="1:15" x14ac:dyDescent="0.5">
      <c r="A150">
        <v>38</v>
      </c>
      <c r="B150">
        <v>38</v>
      </c>
      <c r="C150" t="s">
        <v>54</v>
      </c>
      <c r="D150" s="2">
        <v>2460160.2999999998</v>
      </c>
      <c r="E150" s="2">
        <v>24180118</v>
      </c>
      <c r="F150" s="2">
        <v>5974269</v>
      </c>
      <c r="G150" s="2">
        <v>26162176</v>
      </c>
      <c r="H150" s="2">
        <v>16676100</v>
      </c>
      <c r="I150" s="2">
        <v>25942826</v>
      </c>
      <c r="J150" s="2">
        <v>2080995.5</v>
      </c>
      <c r="K150" s="2">
        <v>0</v>
      </c>
      <c r="L150" s="2">
        <v>0</v>
      </c>
      <c r="M150" s="2">
        <v>5005635.5</v>
      </c>
      <c r="N150" s="2">
        <v>43686692</v>
      </c>
      <c r="O150" s="4">
        <f t="shared" si="8"/>
        <v>152168972.30000001</v>
      </c>
    </row>
    <row r="151" spans="1:15" x14ac:dyDescent="0.5">
      <c r="A151">
        <v>60</v>
      </c>
      <c r="B151">
        <v>60</v>
      </c>
      <c r="C151" t="s">
        <v>15</v>
      </c>
      <c r="D151" s="2">
        <v>6274439.5</v>
      </c>
      <c r="E151" s="2">
        <v>1146279.5</v>
      </c>
      <c r="F151" s="2">
        <v>682262.6</v>
      </c>
      <c r="G151" s="2">
        <v>42619776</v>
      </c>
      <c r="H151" s="2">
        <v>18836408</v>
      </c>
      <c r="I151" s="2">
        <v>408259456</v>
      </c>
      <c r="J151" s="2">
        <v>4751471</v>
      </c>
      <c r="K151" s="2">
        <v>0</v>
      </c>
      <c r="L151" s="2">
        <v>8965793</v>
      </c>
      <c r="M151" s="2">
        <v>8794158</v>
      </c>
      <c r="N151" s="2">
        <v>9789896</v>
      </c>
      <c r="O151" s="4">
        <f t="shared" si="8"/>
        <v>510119939.60000002</v>
      </c>
    </row>
    <row r="152" spans="1:15" x14ac:dyDescent="0.5">
      <c r="A152">
        <v>67</v>
      </c>
      <c r="B152">
        <v>67</v>
      </c>
      <c r="C152" t="s">
        <v>16</v>
      </c>
      <c r="D152" s="2">
        <v>5669526.5</v>
      </c>
      <c r="E152" s="2">
        <v>17106622</v>
      </c>
      <c r="F152" s="2">
        <v>0</v>
      </c>
      <c r="G152" s="2">
        <v>19740658</v>
      </c>
      <c r="H152" s="2">
        <v>106941192</v>
      </c>
      <c r="I152" s="2">
        <v>0</v>
      </c>
      <c r="J152" s="2">
        <v>49414.7</v>
      </c>
      <c r="K152" s="2">
        <v>755085</v>
      </c>
      <c r="L152" s="2">
        <v>0</v>
      </c>
      <c r="M152" s="2">
        <v>8984695</v>
      </c>
      <c r="N152" s="2">
        <v>5949598</v>
      </c>
      <c r="O152" s="4">
        <f t="shared" si="8"/>
        <v>165196791.19999999</v>
      </c>
    </row>
    <row r="153" spans="1:15" x14ac:dyDescent="0.5">
      <c r="A153">
        <v>69</v>
      </c>
      <c r="B153">
        <v>69</v>
      </c>
      <c r="C153" t="s">
        <v>17</v>
      </c>
      <c r="D153" s="2">
        <v>7037552</v>
      </c>
      <c r="E153" s="2">
        <v>2001523.5</v>
      </c>
      <c r="F153" s="2">
        <v>0</v>
      </c>
      <c r="G153" s="2">
        <v>8405131</v>
      </c>
      <c r="H153" s="2">
        <v>47236132</v>
      </c>
      <c r="I153" s="2">
        <v>40562</v>
      </c>
      <c r="J153" s="2">
        <v>320883.40000000002</v>
      </c>
      <c r="K153" s="2">
        <v>266026.40000000002</v>
      </c>
      <c r="L153" s="2">
        <v>0</v>
      </c>
      <c r="M153" s="2">
        <v>1125168.1000000001</v>
      </c>
      <c r="N153" s="2">
        <v>4056639.8</v>
      </c>
      <c r="O153" s="4">
        <f t="shared" si="8"/>
        <v>70489618.200000003</v>
      </c>
    </row>
    <row r="154" spans="1:15" x14ac:dyDescent="0.5">
      <c r="A154">
        <v>71</v>
      </c>
      <c r="B154">
        <v>71</v>
      </c>
      <c r="C154" t="s">
        <v>18</v>
      </c>
      <c r="D154" s="2">
        <v>41727.5</v>
      </c>
      <c r="E154" s="2">
        <v>0</v>
      </c>
      <c r="F154" s="2">
        <v>0</v>
      </c>
      <c r="G154" s="2">
        <v>3884937</v>
      </c>
      <c r="H154" s="2">
        <v>0</v>
      </c>
      <c r="I154" s="2">
        <v>0</v>
      </c>
      <c r="J154" s="2">
        <v>0</v>
      </c>
      <c r="K154" s="2">
        <v>0</v>
      </c>
      <c r="L154" s="2">
        <v>0</v>
      </c>
      <c r="M154" s="2">
        <v>140640.9</v>
      </c>
      <c r="N154" s="2">
        <v>132720.20000000001</v>
      </c>
      <c r="O154" s="4">
        <f t="shared" si="8"/>
        <v>4200025.5999999996</v>
      </c>
    </row>
    <row r="155" spans="1:15" x14ac:dyDescent="0.5">
      <c r="A155">
        <v>72</v>
      </c>
      <c r="B155">
        <v>72</v>
      </c>
      <c r="C155" t="s">
        <v>19</v>
      </c>
      <c r="D155" s="2">
        <v>1332965.5</v>
      </c>
      <c r="E155" s="2">
        <v>0</v>
      </c>
      <c r="F155" s="2">
        <v>0</v>
      </c>
      <c r="G155" s="2">
        <v>3248244.3</v>
      </c>
      <c r="H155" s="2">
        <v>62733.4</v>
      </c>
      <c r="I155" s="2">
        <v>0</v>
      </c>
      <c r="J155" s="2">
        <v>53765.9</v>
      </c>
      <c r="K155" s="2">
        <v>0</v>
      </c>
      <c r="L155" s="2">
        <v>0</v>
      </c>
      <c r="M155" s="2">
        <v>14578.3</v>
      </c>
      <c r="N155" s="2">
        <v>566771.5</v>
      </c>
      <c r="O155" s="4">
        <f t="shared" si="8"/>
        <v>5279058.9000000004</v>
      </c>
    </row>
    <row r="156" spans="1:15" x14ac:dyDescent="0.5">
      <c r="A156">
        <v>96</v>
      </c>
      <c r="B156">
        <v>96</v>
      </c>
      <c r="C156" t="s">
        <v>20</v>
      </c>
      <c r="D156" s="2">
        <v>4946754.5</v>
      </c>
      <c r="E156" s="2">
        <v>338288.7</v>
      </c>
      <c r="F156" s="2">
        <v>3952442</v>
      </c>
      <c r="G156" s="2">
        <v>27529480</v>
      </c>
      <c r="H156" s="2">
        <v>66534516</v>
      </c>
      <c r="I156" s="2">
        <v>250594896</v>
      </c>
      <c r="J156" s="2">
        <v>2162746.5</v>
      </c>
      <c r="K156" s="2">
        <v>3903231.5</v>
      </c>
      <c r="L156" s="2">
        <v>1334456</v>
      </c>
      <c r="M156" s="2">
        <v>17188590</v>
      </c>
      <c r="N156" s="2">
        <v>31905182</v>
      </c>
      <c r="O156" s="4">
        <f t="shared" si="8"/>
        <v>410390583.19999999</v>
      </c>
    </row>
    <row r="157" spans="1:15" x14ac:dyDescent="0.5">
      <c r="A157">
        <v>121</v>
      </c>
      <c r="B157">
        <v>121</v>
      </c>
      <c r="C157" t="s">
        <v>21</v>
      </c>
      <c r="D157" s="2">
        <v>6889235.5</v>
      </c>
      <c r="E157" s="2">
        <v>0</v>
      </c>
      <c r="F157" s="2">
        <v>0</v>
      </c>
      <c r="G157" s="2">
        <v>75761080</v>
      </c>
      <c r="H157" s="2">
        <v>0</v>
      </c>
      <c r="I157" s="2">
        <v>0</v>
      </c>
      <c r="J157" s="2">
        <v>17053.5</v>
      </c>
      <c r="K157" s="2">
        <v>0</v>
      </c>
      <c r="L157" s="2">
        <v>0</v>
      </c>
      <c r="M157" s="2">
        <v>1028007.9</v>
      </c>
      <c r="N157" s="2">
        <v>433556.3</v>
      </c>
      <c r="O157" s="4">
        <f t="shared" si="8"/>
        <v>84128933.200000003</v>
      </c>
    </row>
    <row r="158" spans="1:15" x14ac:dyDescent="0.5">
      <c r="A158">
        <v>126</v>
      </c>
      <c r="B158">
        <v>126</v>
      </c>
      <c r="C158" t="s">
        <v>22</v>
      </c>
      <c r="D158" s="2">
        <v>35910952</v>
      </c>
      <c r="E158" s="2">
        <v>6335017</v>
      </c>
      <c r="F158" s="2">
        <v>65296.7</v>
      </c>
      <c r="G158" s="2">
        <v>52192572</v>
      </c>
      <c r="H158" s="2">
        <v>22380424</v>
      </c>
      <c r="I158" s="2">
        <v>0</v>
      </c>
      <c r="J158" s="2">
        <v>2203728.7999999998</v>
      </c>
      <c r="K158" s="2">
        <v>411173.8</v>
      </c>
      <c r="L158" s="2">
        <v>0</v>
      </c>
      <c r="M158" s="2">
        <v>1958958.4</v>
      </c>
      <c r="N158" s="2">
        <v>38001272</v>
      </c>
      <c r="O158" s="4">
        <f t="shared" si="8"/>
        <v>159459394.69999999</v>
      </c>
    </row>
    <row r="159" spans="1:15" x14ac:dyDescent="0.5">
      <c r="A159">
        <v>127</v>
      </c>
      <c r="B159">
        <v>127</v>
      </c>
      <c r="C159" t="s">
        <v>55</v>
      </c>
      <c r="D159" s="2">
        <v>463164.1</v>
      </c>
      <c r="E159" s="2">
        <v>0</v>
      </c>
      <c r="F159" s="2">
        <v>0</v>
      </c>
      <c r="G159" s="2">
        <v>724281.3</v>
      </c>
      <c r="H159" s="2">
        <v>0</v>
      </c>
      <c r="I159" s="2">
        <v>0</v>
      </c>
      <c r="J159" s="2">
        <v>188966.5</v>
      </c>
      <c r="K159" s="2">
        <v>0</v>
      </c>
      <c r="L159" s="2">
        <v>0</v>
      </c>
      <c r="M159" s="2">
        <v>0</v>
      </c>
      <c r="N159" s="2">
        <v>3058.2</v>
      </c>
      <c r="O159" s="4">
        <f t="shared" si="8"/>
        <v>1379470.0999999999</v>
      </c>
    </row>
    <row r="160" spans="1:15" x14ac:dyDescent="0.5">
      <c r="A160">
        <v>131</v>
      </c>
      <c r="B160">
        <v>131</v>
      </c>
      <c r="C160" t="s">
        <v>23</v>
      </c>
      <c r="D160" s="2">
        <v>5964692</v>
      </c>
      <c r="E160" s="2">
        <v>39454.800000000003</v>
      </c>
      <c r="F160" s="2">
        <v>19918.7</v>
      </c>
      <c r="G160" s="2">
        <v>198954592</v>
      </c>
      <c r="H160" s="2">
        <v>29431856</v>
      </c>
      <c r="I160" s="2">
        <v>4460400.5</v>
      </c>
      <c r="J160" s="2">
        <v>464744.5</v>
      </c>
      <c r="K160" s="2">
        <v>453396.9</v>
      </c>
      <c r="L160" s="2">
        <v>0</v>
      </c>
      <c r="M160" s="2">
        <v>6942509.5</v>
      </c>
      <c r="N160" s="2">
        <v>7726074.5</v>
      </c>
      <c r="O160" s="4">
        <f t="shared" si="8"/>
        <v>254457639.40000001</v>
      </c>
    </row>
    <row r="161" spans="1:15" x14ac:dyDescent="0.5">
      <c r="A161">
        <v>134</v>
      </c>
      <c r="B161">
        <v>134</v>
      </c>
      <c r="C161" t="s">
        <v>24</v>
      </c>
      <c r="D161" s="2">
        <v>619826.69999999995</v>
      </c>
      <c r="E161" s="2">
        <v>0</v>
      </c>
      <c r="F161" s="2">
        <v>0</v>
      </c>
      <c r="G161" s="2">
        <v>488527.8</v>
      </c>
      <c r="H161" s="2">
        <v>0</v>
      </c>
      <c r="I161" s="2">
        <v>0</v>
      </c>
      <c r="J161" s="2">
        <v>2568.1999999999998</v>
      </c>
      <c r="K161" s="2">
        <v>0</v>
      </c>
      <c r="L161" s="2">
        <v>0</v>
      </c>
      <c r="M161" s="2">
        <v>17381.599999999999</v>
      </c>
      <c r="N161" s="2">
        <v>113.5</v>
      </c>
      <c r="O161" s="4">
        <f t="shared" si="8"/>
        <v>1128417.8</v>
      </c>
    </row>
    <row r="162" spans="1:15" x14ac:dyDescent="0.5">
      <c r="A162">
        <v>135</v>
      </c>
      <c r="B162">
        <v>135</v>
      </c>
      <c r="C162" t="s">
        <v>25</v>
      </c>
      <c r="D162" s="2">
        <v>11280252</v>
      </c>
      <c r="E162" s="2">
        <v>34743272</v>
      </c>
      <c r="F162" s="2">
        <v>16602.900000000001</v>
      </c>
      <c r="G162" s="2">
        <v>359934144</v>
      </c>
      <c r="H162" s="2">
        <v>410303136</v>
      </c>
      <c r="I162" s="2">
        <v>2356739</v>
      </c>
      <c r="J162" s="2">
        <v>4713704</v>
      </c>
      <c r="K162" s="2">
        <v>1869232.9</v>
      </c>
      <c r="L162" s="2">
        <v>0</v>
      </c>
      <c r="M162" s="2">
        <v>18821660</v>
      </c>
      <c r="N162" s="2">
        <v>25711658</v>
      </c>
      <c r="O162" s="4">
        <f t="shared" si="8"/>
        <v>869750400.79999995</v>
      </c>
    </row>
    <row r="163" spans="1:15" x14ac:dyDescent="0.5">
      <c r="A163">
        <v>156</v>
      </c>
      <c r="B163">
        <v>156</v>
      </c>
      <c r="C163" t="s">
        <v>26</v>
      </c>
      <c r="D163" s="2">
        <v>0</v>
      </c>
      <c r="E163" s="2">
        <v>0</v>
      </c>
      <c r="F163" s="2">
        <v>0</v>
      </c>
      <c r="G163" s="2">
        <v>0</v>
      </c>
      <c r="H163" s="2">
        <v>1400557.1</v>
      </c>
      <c r="I163" s="2">
        <v>10184829</v>
      </c>
      <c r="J163" s="2">
        <v>0</v>
      </c>
      <c r="K163" s="2">
        <v>0</v>
      </c>
      <c r="L163" s="2">
        <v>118588.8</v>
      </c>
      <c r="M163" s="2">
        <v>78336.3</v>
      </c>
      <c r="N163" s="2">
        <v>927970.7</v>
      </c>
      <c r="O163" s="4">
        <f t="shared" si="8"/>
        <v>12710281.9</v>
      </c>
    </row>
    <row r="164" spans="1:15" x14ac:dyDescent="0.5">
      <c r="A164">
        <v>159</v>
      </c>
      <c r="B164">
        <v>159</v>
      </c>
      <c r="C164" t="s">
        <v>27</v>
      </c>
      <c r="D164" s="2">
        <v>3663054.3</v>
      </c>
      <c r="E164" s="2">
        <v>0</v>
      </c>
      <c r="F164" s="2">
        <v>0</v>
      </c>
      <c r="G164" s="2">
        <v>39321260</v>
      </c>
      <c r="H164" s="2">
        <v>0</v>
      </c>
      <c r="I164" s="2">
        <v>0</v>
      </c>
      <c r="J164" s="2">
        <v>1100385.3999999999</v>
      </c>
      <c r="K164" s="2">
        <v>0</v>
      </c>
      <c r="L164" s="2">
        <v>0</v>
      </c>
      <c r="M164" s="2">
        <v>665578</v>
      </c>
      <c r="N164" s="2">
        <v>398296.1</v>
      </c>
      <c r="O164" s="4">
        <f t="shared" si="8"/>
        <v>45148573.799999997</v>
      </c>
    </row>
    <row r="165" spans="1:15" x14ac:dyDescent="0.5">
      <c r="A165">
        <v>178</v>
      </c>
      <c r="B165">
        <v>178</v>
      </c>
      <c r="C165" t="s">
        <v>56</v>
      </c>
      <c r="D165" s="2">
        <v>2542866.7999999998</v>
      </c>
      <c r="E165" s="2">
        <v>17587</v>
      </c>
      <c r="F165" s="2">
        <v>0</v>
      </c>
      <c r="G165" s="2">
        <v>19303374</v>
      </c>
      <c r="H165" s="2">
        <v>0</v>
      </c>
      <c r="I165" s="2">
        <v>0</v>
      </c>
      <c r="J165" s="2">
        <v>213119</v>
      </c>
      <c r="K165" s="2">
        <v>0</v>
      </c>
      <c r="L165" s="2">
        <v>0</v>
      </c>
      <c r="M165" s="2">
        <v>317618</v>
      </c>
      <c r="N165" s="2">
        <v>397843.4</v>
      </c>
      <c r="O165" s="4">
        <f t="shared" si="8"/>
        <v>22792408.199999999</v>
      </c>
    </row>
    <row r="166" spans="1:15" x14ac:dyDescent="0.5">
      <c r="A166">
        <v>179</v>
      </c>
      <c r="B166">
        <v>179</v>
      </c>
      <c r="C166" t="s">
        <v>28</v>
      </c>
      <c r="D166" s="2">
        <v>0</v>
      </c>
      <c r="E166" s="2">
        <v>17757522</v>
      </c>
      <c r="F166" s="2">
        <v>0</v>
      </c>
      <c r="G166" s="2">
        <v>6380555.5</v>
      </c>
      <c r="H166" s="2">
        <v>47232408</v>
      </c>
      <c r="I166" s="2">
        <v>0</v>
      </c>
      <c r="J166" s="2">
        <v>0</v>
      </c>
      <c r="K166" s="2">
        <v>299000.8</v>
      </c>
      <c r="L166" s="2">
        <v>0</v>
      </c>
      <c r="M166" s="2">
        <v>2195700.2999999998</v>
      </c>
      <c r="N166" s="2">
        <v>1268348.6000000001</v>
      </c>
      <c r="O166" s="4">
        <f t="shared" si="8"/>
        <v>75133535.199999988</v>
      </c>
    </row>
    <row r="167" spans="1:15" x14ac:dyDescent="0.5">
      <c r="A167">
        <v>188</v>
      </c>
      <c r="B167">
        <v>188</v>
      </c>
      <c r="C167" t="s">
        <v>29</v>
      </c>
      <c r="D167" s="2">
        <v>43425044</v>
      </c>
      <c r="E167" s="2">
        <v>14613809</v>
      </c>
      <c r="F167" s="2">
        <v>5885364.5</v>
      </c>
      <c r="G167" s="2">
        <v>180837760</v>
      </c>
      <c r="H167" s="2">
        <v>114172664</v>
      </c>
      <c r="I167" s="2">
        <v>74297872</v>
      </c>
      <c r="J167" s="2">
        <v>3602844.5</v>
      </c>
      <c r="K167" s="2">
        <v>1067000.1000000001</v>
      </c>
      <c r="L167" s="2">
        <v>213309.4</v>
      </c>
      <c r="M167" s="2">
        <v>7021332</v>
      </c>
      <c r="N167" s="2">
        <v>76374912</v>
      </c>
      <c r="O167" s="4">
        <f t="shared" si="8"/>
        <v>521511911.5</v>
      </c>
    </row>
    <row r="168" spans="1:15" x14ac:dyDescent="0.5">
      <c r="A168">
        <v>189</v>
      </c>
      <c r="B168">
        <v>189</v>
      </c>
      <c r="C168" t="s">
        <v>30</v>
      </c>
      <c r="D168" s="2">
        <v>414735.3</v>
      </c>
      <c r="E168" s="2">
        <v>2495047.2999999998</v>
      </c>
      <c r="F168" s="2">
        <v>0</v>
      </c>
      <c r="G168" s="2">
        <v>2733807.3</v>
      </c>
      <c r="H168" s="2">
        <v>137759632</v>
      </c>
      <c r="I168" s="2">
        <v>13427859</v>
      </c>
      <c r="J168" s="2">
        <v>0</v>
      </c>
      <c r="K168" s="2">
        <v>287833.40000000002</v>
      </c>
      <c r="L168" s="2">
        <v>0</v>
      </c>
      <c r="M168" s="2">
        <v>1322506.5</v>
      </c>
      <c r="N168" s="2">
        <v>8223623.5</v>
      </c>
      <c r="O168" s="4">
        <f t="shared" si="8"/>
        <v>166665044.30000001</v>
      </c>
    </row>
    <row r="169" spans="1:15" x14ac:dyDescent="0.5">
      <c r="A169">
        <v>203</v>
      </c>
      <c r="B169">
        <v>203</v>
      </c>
      <c r="C169" t="s">
        <v>31</v>
      </c>
      <c r="D169" s="2">
        <v>78434440</v>
      </c>
      <c r="E169" s="2">
        <v>2407364.7999999998</v>
      </c>
      <c r="F169" s="2">
        <v>773130.9</v>
      </c>
      <c r="G169" s="2">
        <v>68513568</v>
      </c>
      <c r="H169" s="2">
        <v>949049.1</v>
      </c>
      <c r="I169" s="2">
        <v>50409.8</v>
      </c>
      <c r="J169" s="2">
        <v>541067.19999999995</v>
      </c>
      <c r="K169" s="2">
        <v>0</v>
      </c>
      <c r="L169" s="2">
        <v>0</v>
      </c>
      <c r="M169" s="2">
        <v>4363508</v>
      </c>
      <c r="N169" s="2">
        <v>8554838</v>
      </c>
      <c r="O169" s="4">
        <f t="shared" si="8"/>
        <v>164587375.79999998</v>
      </c>
    </row>
    <row r="170" spans="1:15" x14ac:dyDescent="0.5">
      <c r="A170">
        <v>204</v>
      </c>
      <c r="B170">
        <v>204</v>
      </c>
      <c r="C170" t="s">
        <v>32</v>
      </c>
      <c r="D170" s="2">
        <v>24570672</v>
      </c>
      <c r="E170" s="2">
        <v>0</v>
      </c>
      <c r="F170" s="2">
        <v>219819.4</v>
      </c>
      <c r="G170" s="2">
        <v>156295888</v>
      </c>
      <c r="H170" s="2">
        <v>566.5</v>
      </c>
      <c r="I170" s="2">
        <v>3861419.3</v>
      </c>
      <c r="J170" s="2">
        <v>859803.8</v>
      </c>
      <c r="K170" s="2">
        <v>0</v>
      </c>
      <c r="L170" s="2">
        <v>71521.600000000006</v>
      </c>
      <c r="M170" s="2">
        <v>816012.9</v>
      </c>
      <c r="N170" s="2">
        <v>5418915</v>
      </c>
      <c r="O170" s="4">
        <f t="shared" si="8"/>
        <v>192114618.50000003</v>
      </c>
    </row>
    <row r="171" spans="1:15" x14ac:dyDescent="0.5">
      <c r="D171" s="4">
        <f t="shared" ref="D171:N171" si="9">SUM(D145:D170)</f>
        <v>272573340.60000002</v>
      </c>
      <c r="E171" s="4">
        <f t="shared" si="9"/>
        <v>144670171.80000001</v>
      </c>
      <c r="F171" s="4">
        <f t="shared" si="9"/>
        <v>17589106.699999996</v>
      </c>
      <c r="G171" s="4">
        <f t="shared" si="9"/>
        <v>1419383079.0999999</v>
      </c>
      <c r="H171" s="4">
        <f t="shared" si="9"/>
        <v>1134378866.5</v>
      </c>
      <c r="I171" s="4">
        <f t="shared" si="9"/>
        <v>806902638.39999986</v>
      </c>
      <c r="J171" s="4">
        <f t="shared" si="9"/>
        <v>24236615.699999999</v>
      </c>
      <c r="K171" s="4">
        <f t="shared" si="9"/>
        <v>10332580.1</v>
      </c>
      <c r="L171" s="4">
        <f t="shared" si="9"/>
        <v>10949191.4</v>
      </c>
      <c r="M171" s="4">
        <f t="shared" si="9"/>
        <v>96129092.5</v>
      </c>
      <c r="N171" s="4">
        <f t="shared" si="9"/>
        <v>273002172.29999995</v>
      </c>
      <c r="O171" s="4">
        <f>SUM(D171:N171)</f>
        <v>4210146855.0999994</v>
      </c>
    </row>
    <row r="172" spans="1:15" x14ac:dyDescent="0.5">
      <c r="A172" t="s">
        <v>49</v>
      </c>
      <c r="D172" s="2"/>
      <c r="E172" s="2"/>
      <c r="F172" s="2"/>
      <c r="G172" s="2"/>
      <c r="H172" s="2"/>
      <c r="I172" s="2"/>
      <c r="J172" s="2"/>
      <c r="K172" s="2"/>
      <c r="L172" s="2"/>
      <c r="M172" s="2"/>
      <c r="N172" s="2"/>
      <c r="O172" s="4"/>
    </row>
    <row r="173" spans="1:15" x14ac:dyDescent="0.5">
      <c r="A173">
        <v>13</v>
      </c>
      <c r="B173">
        <v>13</v>
      </c>
      <c r="C173" t="s">
        <v>12</v>
      </c>
      <c r="D173" s="2">
        <v>0</v>
      </c>
      <c r="E173" s="2">
        <v>0</v>
      </c>
      <c r="F173" s="2">
        <v>0</v>
      </c>
      <c r="G173" s="2">
        <v>0</v>
      </c>
      <c r="H173" s="2">
        <v>14653.5</v>
      </c>
      <c r="I173" s="2">
        <v>88569.4</v>
      </c>
      <c r="J173" s="2">
        <v>0</v>
      </c>
      <c r="K173" s="2">
        <v>14.9</v>
      </c>
      <c r="L173" s="2">
        <v>1545.3</v>
      </c>
      <c r="M173" s="2">
        <v>1575.8</v>
      </c>
      <c r="N173" s="2">
        <v>6539</v>
      </c>
      <c r="O173" s="4">
        <f>SUM(D173:N173)</f>
        <v>112897.9</v>
      </c>
    </row>
    <row r="174" spans="1:15" x14ac:dyDescent="0.5">
      <c r="A174">
        <v>15</v>
      </c>
      <c r="B174">
        <v>15</v>
      </c>
      <c r="C174" t="s">
        <v>13</v>
      </c>
      <c r="D174" s="2">
        <v>59506.3</v>
      </c>
      <c r="E174" s="2">
        <v>32919.300000000003</v>
      </c>
      <c r="F174" s="2">
        <v>0</v>
      </c>
      <c r="G174" s="2">
        <v>99993.7</v>
      </c>
      <c r="H174" s="2">
        <v>446677.3</v>
      </c>
      <c r="I174" s="2">
        <v>0</v>
      </c>
      <c r="J174" s="2">
        <v>0</v>
      </c>
      <c r="K174" s="2">
        <v>1629.8</v>
      </c>
      <c r="L174" s="2">
        <v>0</v>
      </c>
      <c r="M174" s="2">
        <v>37709.9</v>
      </c>
      <c r="N174" s="2">
        <v>2202.6</v>
      </c>
      <c r="O174" s="4">
        <f t="shared" ref="O174:O198" si="10">SUM(D174:N174)</f>
        <v>680638.9</v>
      </c>
    </row>
    <row r="175" spans="1:15" x14ac:dyDescent="0.5">
      <c r="A175">
        <v>16</v>
      </c>
      <c r="B175">
        <v>16</v>
      </c>
      <c r="C175" t="s">
        <v>52</v>
      </c>
      <c r="D175" s="2">
        <v>24299.8</v>
      </c>
      <c r="E175" s="2">
        <v>1631.3</v>
      </c>
      <c r="F175" s="2">
        <v>0</v>
      </c>
      <c r="G175" s="2">
        <v>389648.1</v>
      </c>
      <c r="H175" s="2">
        <v>116.6</v>
      </c>
      <c r="I175" s="2">
        <v>0</v>
      </c>
      <c r="J175" s="2">
        <v>2480.5</v>
      </c>
      <c r="K175" s="2">
        <v>0</v>
      </c>
      <c r="L175" s="2">
        <v>0</v>
      </c>
      <c r="M175" s="2">
        <v>6973</v>
      </c>
      <c r="N175" s="2">
        <v>65.599999999999994</v>
      </c>
      <c r="O175" s="4">
        <f t="shared" si="10"/>
        <v>425214.89999999991</v>
      </c>
    </row>
    <row r="176" spans="1:15" x14ac:dyDescent="0.5">
      <c r="A176">
        <v>30</v>
      </c>
      <c r="B176">
        <v>30</v>
      </c>
      <c r="C176" t="s">
        <v>53</v>
      </c>
      <c r="D176" s="2">
        <v>10024.4</v>
      </c>
      <c r="E176" s="2">
        <v>0</v>
      </c>
      <c r="F176" s="2">
        <v>0</v>
      </c>
      <c r="G176" s="2">
        <v>41559.1</v>
      </c>
      <c r="H176" s="2">
        <v>0</v>
      </c>
      <c r="I176" s="2">
        <v>0</v>
      </c>
      <c r="J176" s="2">
        <v>0</v>
      </c>
      <c r="K176" s="2">
        <v>0</v>
      </c>
      <c r="L176" s="2">
        <v>0</v>
      </c>
      <c r="M176" s="2">
        <v>5667</v>
      </c>
      <c r="N176" s="2">
        <v>0</v>
      </c>
      <c r="O176" s="4">
        <f t="shared" si="10"/>
        <v>57250.5</v>
      </c>
    </row>
    <row r="177" spans="1:15" x14ac:dyDescent="0.5">
      <c r="A177">
        <v>37</v>
      </c>
      <c r="B177">
        <v>37</v>
      </c>
      <c r="C177" t="s">
        <v>14</v>
      </c>
      <c r="D177" s="2">
        <v>38302.199999999997</v>
      </c>
      <c r="E177" s="2">
        <v>49762.400000000001</v>
      </c>
      <c r="F177" s="2">
        <v>0</v>
      </c>
      <c r="G177" s="2">
        <v>42593.8</v>
      </c>
      <c r="H177" s="2">
        <v>139125.70000000001</v>
      </c>
      <c r="I177" s="2">
        <v>2.2000000000000002</v>
      </c>
      <c r="J177" s="2">
        <v>0</v>
      </c>
      <c r="K177" s="2">
        <v>2686.3</v>
      </c>
      <c r="L177" s="2">
        <v>0</v>
      </c>
      <c r="M177" s="2">
        <v>1669</v>
      </c>
      <c r="N177" s="2">
        <v>6648.8</v>
      </c>
      <c r="O177" s="4">
        <f t="shared" si="10"/>
        <v>280790.40000000002</v>
      </c>
    </row>
    <row r="178" spans="1:15" x14ac:dyDescent="0.5">
      <c r="A178">
        <v>38</v>
      </c>
      <c r="B178">
        <v>38</v>
      </c>
      <c r="C178" t="s">
        <v>54</v>
      </c>
      <c r="D178" s="2">
        <v>9251</v>
      </c>
      <c r="E178" s="2">
        <v>80679.8</v>
      </c>
      <c r="F178" s="2">
        <v>17368.7</v>
      </c>
      <c r="G178" s="2">
        <v>95952.1</v>
      </c>
      <c r="H178" s="2">
        <v>56551.7</v>
      </c>
      <c r="I178" s="2">
        <v>86122.8</v>
      </c>
      <c r="J178" s="2">
        <v>3727.4</v>
      </c>
      <c r="K178" s="2">
        <v>0</v>
      </c>
      <c r="L178" s="2">
        <v>0</v>
      </c>
      <c r="M178" s="2">
        <v>14191.6</v>
      </c>
      <c r="N178" s="2">
        <v>150216.29999999999</v>
      </c>
      <c r="O178" s="4">
        <f t="shared" si="10"/>
        <v>514061.39999999997</v>
      </c>
    </row>
    <row r="179" spans="1:15" x14ac:dyDescent="0.5">
      <c r="A179">
        <v>60</v>
      </c>
      <c r="B179">
        <v>60</v>
      </c>
      <c r="C179" t="s">
        <v>15</v>
      </c>
      <c r="D179" s="2">
        <v>23681.200000000001</v>
      </c>
      <c r="E179" s="2">
        <v>3457.6</v>
      </c>
      <c r="F179" s="2">
        <v>2448.5</v>
      </c>
      <c r="G179" s="2">
        <v>148682.70000000001</v>
      </c>
      <c r="H179" s="2">
        <v>68192.100000000006</v>
      </c>
      <c r="I179" s="2">
        <v>1407888.8</v>
      </c>
      <c r="J179" s="2">
        <v>12312.9</v>
      </c>
      <c r="K179" s="2">
        <v>0</v>
      </c>
      <c r="L179" s="2">
        <v>24657.8</v>
      </c>
      <c r="M179" s="2">
        <v>27682.2</v>
      </c>
      <c r="N179" s="2">
        <v>35185.699999999997</v>
      </c>
      <c r="O179" s="4">
        <f t="shared" si="10"/>
        <v>1754189.5</v>
      </c>
    </row>
    <row r="180" spans="1:15" x14ac:dyDescent="0.5">
      <c r="A180">
        <v>67</v>
      </c>
      <c r="B180">
        <v>67</v>
      </c>
      <c r="C180" t="s">
        <v>16</v>
      </c>
      <c r="D180" s="2">
        <v>21727.9</v>
      </c>
      <c r="E180" s="2">
        <v>70688.100000000006</v>
      </c>
      <c r="F180" s="2">
        <v>0</v>
      </c>
      <c r="G180" s="2">
        <v>76577.100000000006</v>
      </c>
      <c r="H180" s="2">
        <v>505235.6</v>
      </c>
      <c r="I180" s="2">
        <v>0</v>
      </c>
      <c r="J180" s="2">
        <v>228.4</v>
      </c>
      <c r="K180" s="2">
        <v>3079</v>
      </c>
      <c r="L180" s="2">
        <v>0</v>
      </c>
      <c r="M180" s="2">
        <v>44527</v>
      </c>
      <c r="N180" s="2">
        <v>30301.7</v>
      </c>
      <c r="O180" s="4">
        <f t="shared" si="10"/>
        <v>752364.79999999993</v>
      </c>
    </row>
    <row r="181" spans="1:15" x14ac:dyDescent="0.5">
      <c r="A181">
        <v>69</v>
      </c>
      <c r="B181">
        <v>69</v>
      </c>
      <c r="C181" t="s">
        <v>17</v>
      </c>
      <c r="D181" s="2">
        <v>33678.9</v>
      </c>
      <c r="E181" s="2">
        <v>8555</v>
      </c>
      <c r="F181" s="2">
        <v>0</v>
      </c>
      <c r="G181" s="2">
        <v>38207.5</v>
      </c>
      <c r="H181" s="2">
        <v>215002.3</v>
      </c>
      <c r="I181" s="2">
        <v>320.5</v>
      </c>
      <c r="J181" s="2">
        <v>1300.8</v>
      </c>
      <c r="K181" s="2">
        <v>1322.2</v>
      </c>
      <c r="L181" s="2">
        <v>0</v>
      </c>
      <c r="M181" s="2">
        <v>5050.8999999999996</v>
      </c>
      <c r="N181" s="2">
        <v>19528.8</v>
      </c>
      <c r="O181" s="4">
        <f t="shared" si="10"/>
        <v>322966.89999999997</v>
      </c>
    </row>
    <row r="182" spans="1:15" x14ac:dyDescent="0.5">
      <c r="A182">
        <v>71</v>
      </c>
      <c r="B182">
        <v>71</v>
      </c>
      <c r="C182" t="s">
        <v>18</v>
      </c>
      <c r="D182" s="2">
        <v>266</v>
      </c>
      <c r="E182" s="2">
        <v>0</v>
      </c>
      <c r="F182" s="2">
        <v>0</v>
      </c>
      <c r="G182" s="2">
        <v>25575.200000000001</v>
      </c>
      <c r="H182" s="2">
        <v>0</v>
      </c>
      <c r="I182" s="2">
        <v>0</v>
      </c>
      <c r="J182" s="2">
        <v>0</v>
      </c>
      <c r="K182" s="2">
        <v>0</v>
      </c>
      <c r="L182" s="2">
        <v>0</v>
      </c>
      <c r="M182" s="2">
        <v>883.2</v>
      </c>
      <c r="N182" s="2">
        <v>898.5</v>
      </c>
      <c r="O182" s="4">
        <f t="shared" si="10"/>
        <v>27622.9</v>
      </c>
    </row>
    <row r="183" spans="1:15" x14ac:dyDescent="0.5">
      <c r="A183">
        <v>72</v>
      </c>
      <c r="B183">
        <v>72</v>
      </c>
      <c r="C183" t="s">
        <v>19</v>
      </c>
      <c r="D183" s="2">
        <v>3726.6</v>
      </c>
      <c r="E183" s="2">
        <v>0</v>
      </c>
      <c r="F183" s="2">
        <v>0</v>
      </c>
      <c r="G183" s="2">
        <v>9239.7999999999993</v>
      </c>
      <c r="H183" s="2">
        <v>203.8</v>
      </c>
      <c r="I183" s="2">
        <v>0</v>
      </c>
      <c r="J183" s="2">
        <v>147.80000000000001</v>
      </c>
      <c r="K183" s="2">
        <v>0</v>
      </c>
      <c r="L183" s="2">
        <v>0</v>
      </c>
      <c r="M183" s="2">
        <v>41.8</v>
      </c>
      <c r="N183" s="2">
        <v>1700.5</v>
      </c>
      <c r="O183" s="4">
        <f t="shared" si="10"/>
        <v>15060.299999999997</v>
      </c>
    </row>
    <row r="184" spans="1:15" x14ac:dyDescent="0.5">
      <c r="A184">
        <v>96</v>
      </c>
      <c r="B184">
        <v>96</v>
      </c>
      <c r="C184" t="s">
        <v>20</v>
      </c>
      <c r="D184" s="2">
        <v>44457.1</v>
      </c>
      <c r="E184" s="2">
        <v>3178.4</v>
      </c>
      <c r="F184" s="2">
        <v>15940.5</v>
      </c>
      <c r="G184" s="2">
        <v>362343</v>
      </c>
      <c r="H184" s="2">
        <v>229760.9</v>
      </c>
      <c r="I184" s="2">
        <v>689797.7</v>
      </c>
      <c r="J184" s="2">
        <v>13418.4</v>
      </c>
      <c r="K184" s="2">
        <v>12208.1</v>
      </c>
      <c r="L184" s="2">
        <v>4274.8999999999996</v>
      </c>
      <c r="M184" s="2">
        <v>53797.599999999999</v>
      </c>
      <c r="N184" s="2">
        <v>224116.3</v>
      </c>
      <c r="O184" s="4">
        <f t="shared" si="10"/>
        <v>1653292.9000000001</v>
      </c>
    </row>
    <row r="185" spans="1:15" x14ac:dyDescent="0.5">
      <c r="A185">
        <v>121</v>
      </c>
      <c r="B185">
        <v>121</v>
      </c>
      <c r="C185" t="s">
        <v>21</v>
      </c>
      <c r="D185" s="2">
        <v>37211.300000000003</v>
      </c>
      <c r="E185" s="2">
        <v>0</v>
      </c>
      <c r="F185" s="2">
        <v>0</v>
      </c>
      <c r="G185" s="2">
        <v>345933.7</v>
      </c>
      <c r="H185" s="2">
        <v>0</v>
      </c>
      <c r="I185" s="2">
        <v>0</v>
      </c>
      <c r="J185" s="2">
        <v>90.5</v>
      </c>
      <c r="K185" s="2">
        <v>0</v>
      </c>
      <c r="L185" s="2">
        <v>0</v>
      </c>
      <c r="M185" s="2">
        <v>4518.3</v>
      </c>
      <c r="N185" s="2">
        <v>2100.1</v>
      </c>
      <c r="O185" s="4">
        <f t="shared" si="10"/>
        <v>389853.89999999997</v>
      </c>
    </row>
    <row r="186" spans="1:15" x14ac:dyDescent="0.5">
      <c r="A186">
        <v>126</v>
      </c>
      <c r="B186">
        <v>126</v>
      </c>
      <c r="C186" t="s">
        <v>22</v>
      </c>
      <c r="D186" s="2">
        <v>358897.1</v>
      </c>
      <c r="E186" s="2">
        <v>65177.4</v>
      </c>
      <c r="F186" s="2">
        <v>1597.7</v>
      </c>
      <c r="G186" s="2">
        <v>509640.6</v>
      </c>
      <c r="H186" s="2">
        <v>216512.7</v>
      </c>
      <c r="I186" s="2">
        <v>0</v>
      </c>
      <c r="J186" s="2">
        <v>11900.2</v>
      </c>
      <c r="K186" s="2">
        <v>2626.9</v>
      </c>
      <c r="L186" s="2">
        <v>0</v>
      </c>
      <c r="M186" s="2">
        <v>17057.900000000001</v>
      </c>
      <c r="N186" s="2">
        <v>395052</v>
      </c>
      <c r="O186" s="4">
        <f t="shared" si="10"/>
        <v>1578462.4999999998</v>
      </c>
    </row>
    <row r="187" spans="1:15" x14ac:dyDescent="0.5">
      <c r="A187">
        <v>127</v>
      </c>
      <c r="B187">
        <v>127</v>
      </c>
      <c r="C187" t="s">
        <v>55</v>
      </c>
      <c r="D187" s="2">
        <v>4732.3999999999996</v>
      </c>
      <c r="E187" s="2">
        <v>0</v>
      </c>
      <c r="F187" s="2">
        <v>0</v>
      </c>
      <c r="G187" s="2">
        <v>9068.6</v>
      </c>
      <c r="H187" s="2">
        <v>0</v>
      </c>
      <c r="I187" s="2">
        <v>0</v>
      </c>
      <c r="J187" s="2">
        <v>1822.2</v>
      </c>
      <c r="K187" s="2">
        <v>0</v>
      </c>
      <c r="L187" s="2">
        <v>0</v>
      </c>
      <c r="M187" s="2">
        <v>0</v>
      </c>
      <c r="N187" s="2">
        <v>33</v>
      </c>
      <c r="O187" s="4">
        <f t="shared" si="10"/>
        <v>15656.2</v>
      </c>
    </row>
    <row r="188" spans="1:15" x14ac:dyDescent="0.5">
      <c r="A188">
        <v>131</v>
      </c>
      <c r="B188">
        <v>131</v>
      </c>
      <c r="C188" t="s">
        <v>23</v>
      </c>
      <c r="D188" s="2">
        <v>34853.599999999999</v>
      </c>
      <c r="E188" s="2">
        <v>235.7</v>
      </c>
      <c r="F188" s="2">
        <v>334.7</v>
      </c>
      <c r="G188" s="2">
        <v>1212043.3</v>
      </c>
      <c r="H188" s="2">
        <v>192900.2</v>
      </c>
      <c r="I188" s="2">
        <v>38541.1</v>
      </c>
      <c r="J188" s="2">
        <v>3272</v>
      </c>
      <c r="K188" s="2">
        <v>3185.5</v>
      </c>
      <c r="L188" s="2">
        <v>0</v>
      </c>
      <c r="M188" s="2">
        <v>44747.8</v>
      </c>
      <c r="N188" s="2">
        <v>62098.8</v>
      </c>
      <c r="O188" s="4">
        <f t="shared" si="10"/>
        <v>1592212.7000000002</v>
      </c>
    </row>
    <row r="189" spans="1:15" x14ac:dyDescent="0.5">
      <c r="A189">
        <v>134</v>
      </c>
      <c r="B189">
        <v>134</v>
      </c>
      <c r="C189" t="s">
        <v>24</v>
      </c>
      <c r="D189" s="2">
        <v>4997.3999999999996</v>
      </c>
      <c r="E189" s="2">
        <v>0</v>
      </c>
      <c r="F189" s="2">
        <v>0</v>
      </c>
      <c r="G189" s="2">
        <v>2608.8000000000002</v>
      </c>
      <c r="H189" s="2">
        <v>0</v>
      </c>
      <c r="I189" s="2">
        <v>0</v>
      </c>
      <c r="J189" s="2">
        <v>10.4</v>
      </c>
      <c r="K189" s="2">
        <v>0</v>
      </c>
      <c r="L189" s="2">
        <v>0</v>
      </c>
      <c r="M189" s="2">
        <v>141.80000000000001</v>
      </c>
      <c r="N189" s="2">
        <v>0.8</v>
      </c>
      <c r="O189" s="4">
        <f t="shared" si="10"/>
        <v>7759.2</v>
      </c>
    </row>
    <row r="190" spans="1:15" x14ac:dyDescent="0.5">
      <c r="A190">
        <v>135</v>
      </c>
      <c r="B190">
        <v>135</v>
      </c>
      <c r="C190" t="s">
        <v>25</v>
      </c>
      <c r="D190" s="2">
        <v>55819.3</v>
      </c>
      <c r="E190" s="2">
        <v>142578.5</v>
      </c>
      <c r="F190" s="2">
        <v>145</v>
      </c>
      <c r="G190" s="2">
        <v>1591629.6</v>
      </c>
      <c r="H190" s="2">
        <v>1610082</v>
      </c>
      <c r="I190" s="2">
        <v>10191</v>
      </c>
      <c r="J190" s="2">
        <v>18784.400000000001</v>
      </c>
      <c r="K190" s="2">
        <v>6267.1</v>
      </c>
      <c r="L190" s="2">
        <v>0</v>
      </c>
      <c r="M190" s="2">
        <v>70632.100000000006</v>
      </c>
      <c r="N190" s="2">
        <v>107263.4</v>
      </c>
      <c r="O190" s="4">
        <f t="shared" si="10"/>
        <v>3613392.4000000004</v>
      </c>
    </row>
    <row r="191" spans="1:15" x14ac:dyDescent="0.5">
      <c r="A191">
        <v>156</v>
      </c>
      <c r="B191">
        <v>156</v>
      </c>
      <c r="C191" t="s">
        <v>26</v>
      </c>
      <c r="D191" s="2">
        <v>0</v>
      </c>
      <c r="E191" s="2">
        <v>0</v>
      </c>
      <c r="F191" s="2">
        <v>0</v>
      </c>
      <c r="G191" s="2">
        <v>0</v>
      </c>
      <c r="H191" s="2">
        <v>11993.2</v>
      </c>
      <c r="I191" s="2">
        <v>84711.2</v>
      </c>
      <c r="J191" s="2">
        <v>0</v>
      </c>
      <c r="K191" s="2">
        <v>0</v>
      </c>
      <c r="L191" s="2">
        <v>955.9</v>
      </c>
      <c r="M191" s="2">
        <v>631.5</v>
      </c>
      <c r="N191" s="2">
        <v>7650.3</v>
      </c>
      <c r="O191" s="4">
        <f t="shared" si="10"/>
        <v>105942.09999999999</v>
      </c>
    </row>
    <row r="192" spans="1:15" x14ac:dyDescent="0.5">
      <c r="A192">
        <v>159</v>
      </c>
      <c r="B192">
        <v>159</v>
      </c>
      <c r="C192" t="s">
        <v>27</v>
      </c>
      <c r="D192" s="2">
        <v>12301.7</v>
      </c>
      <c r="E192" s="2">
        <v>0</v>
      </c>
      <c r="F192" s="2">
        <v>0</v>
      </c>
      <c r="G192" s="2">
        <v>118664.7</v>
      </c>
      <c r="H192" s="2">
        <v>0</v>
      </c>
      <c r="I192" s="2">
        <v>0</v>
      </c>
      <c r="J192" s="2">
        <v>2548.3000000000002</v>
      </c>
      <c r="K192" s="2">
        <v>0</v>
      </c>
      <c r="L192" s="2">
        <v>0</v>
      </c>
      <c r="M192" s="2">
        <v>2287.1999999999998</v>
      </c>
      <c r="N192" s="2">
        <v>1753.3</v>
      </c>
      <c r="O192" s="4">
        <f t="shared" si="10"/>
        <v>137555.19999999998</v>
      </c>
    </row>
    <row r="193" spans="1:15" x14ac:dyDescent="0.5">
      <c r="A193">
        <v>178</v>
      </c>
      <c r="B193">
        <v>178</v>
      </c>
      <c r="C193" t="s">
        <v>56</v>
      </c>
      <c r="D193" s="2">
        <v>13578.9</v>
      </c>
      <c r="E193" s="2">
        <v>134.1</v>
      </c>
      <c r="F193" s="2">
        <v>0</v>
      </c>
      <c r="G193" s="2">
        <v>139073.79999999999</v>
      </c>
      <c r="H193" s="2">
        <v>0</v>
      </c>
      <c r="I193" s="2">
        <v>0</v>
      </c>
      <c r="J193" s="2">
        <v>990.3</v>
      </c>
      <c r="K193" s="2">
        <v>0</v>
      </c>
      <c r="L193" s="2">
        <v>0</v>
      </c>
      <c r="M193" s="2">
        <v>1810</v>
      </c>
      <c r="N193" s="2">
        <v>2978.5</v>
      </c>
      <c r="O193" s="4">
        <f t="shared" si="10"/>
        <v>158565.59999999998</v>
      </c>
    </row>
    <row r="194" spans="1:15" x14ac:dyDescent="0.5">
      <c r="A194">
        <v>179</v>
      </c>
      <c r="B194">
        <v>179</v>
      </c>
      <c r="C194" t="s">
        <v>28</v>
      </c>
      <c r="D194" s="2">
        <v>0</v>
      </c>
      <c r="E194" s="2">
        <v>107662.7</v>
      </c>
      <c r="F194" s="2">
        <v>0</v>
      </c>
      <c r="G194" s="2">
        <v>41172.199999999997</v>
      </c>
      <c r="H194" s="2">
        <v>293471</v>
      </c>
      <c r="I194" s="2">
        <v>0</v>
      </c>
      <c r="J194" s="2">
        <v>0</v>
      </c>
      <c r="K194" s="2">
        <v>2624.6</v>
      </c>
      <c r="L194" s="2">
        <v>0</v>
      </c>
      <c r="M194" s="2">
        <v>13091</v>
      </c>
      <c r="N194" s="2">
        <v>9511.2999999999993</v>
      </c>
      <c r="O194" s="4">
        <f t="shared" si="10"/>
        <v>467532.79999999999</v>
      </c>
    </row>
    <row r="195" spans="1:15" x14ac:dyDescent="0.5">
      <c r="A195">
        <v>188</v>
      </c>
      <c r="B195">
        <v>188</v>
      </c>
      <c r="C195" t="s">
        <v>29</v>
      </c>
      <c r="D195" s="2">
        <v>209852.9</v>
      </c>
      <c r="E195" s="2">
        <v>82821.5</v>
      </c>
      <c r="F195" s="2">
        <v>25763.4</v>
      </c>
      <c r="G195" s="2">
        <v>1198150.8</v>
      </c>
      <c r="H195" s="2">
        <v>614589.80000000005</v>
      </c>
      <c r="I195" s="2">
        <v>300584.3</v>
      </c>
      <c r="J195" s="2">
        <v>16068.7</v>
      </c>
      <c r="K195" s="2">
        <v>2899.7</v>
      </c>
      <c r="L195" s="2">
        <v>355.3</v>
      </c>
      <c r="M195" s="2">
        <v>31907.1</v>
      </c>
      <c r="N195" s="2">
        <v>423808.3</v>
      </c>
      <c r="O195" s="4">
        <f t="shared" si="10"/>
        <v>2906801.8000000003</v>
      </c>
    </row>
    <row r="196" spans="1:15" x14ac:dyDescent="0.5">
      <c r="A196">
        <v>189</v>
      </c>
      <c r="B196">
        <v>189</v>
      </c>
      <c r="C196" t="s">
        <v>30</v>
      </c>
      <c r="D196" s="2">
        <v>2314.3000000000002</v>
      </c>
      <c r="E196" s="2">
        <v>11325.9</v>
      </c>
      <c r="F196" s="2">
        <v>0</v>
      </c>
      <c r="G196" s="2">
        <v>16532.599999999999</v>
      </c>
      <c r="H196" s="2">
        <v>635355.4</v>
      </c>
      <c r="I196" s="2">
        <v>56586.9</v>
      </c>
      <c r="J196" s="2">
        <v>0</v>
      </c>
      <c r="K196" s="2">
        <v>1589.2</v>
      </c>
      <c r="L196" s="2">
        <v>0</v>
      </c>
      <c r="M196" s="2">
        <v>5561.7</v>
      </c>
      <c r="N196" s="2">
        <v>39941.4</v>
      </c>
      <c r="O196" s="4">
        <f t="shared" si="10"/>
        <v>769207.4</v>
      </c>
    </row>
    <row r="197" spans="1:15" x14ac:dyDescent="0.5">
      <c r="A197">
        <v>203</v>
      </c>
      <c r="B197">
        <v>203</v>
      </c>
      <c r="C197" t="s">
        <v>31</v>
      </c>
      <c r="D197" s="2">
        <v>293590.59999999998</v>
      </c>
      <c r="E197" s="2">
        <v>8982.6</v>
      </c>
      <c r="F197" s="2">
        <v>3619.2</v>
      </c>
      <c r="G197" s="2">
        <v>248478.7</v>
      </c>
      <c r="H197" s="2">
        <v>3387.9</v>
      </c>
      <c r="I197" s="2">
        <v>254.9</v>
      </c>
      <c r="J197" s="2">
        <v>1992.5</v>
      </c>
      <c r="K197" s="2">
        <v>0</v>
      </c>
      <c r="L197" s="2">
        <v>0</v>
      </c>
      <c r="M197" s="2">
        <v>15510.1</v>
      </c>
      <c r="N197" s="2">
        <v>35841.4</v>
      </c>
      <c r="O197" s="4">
        <f t="shared" si="10"/>
        <v>611657.9</v>
      </c>
    </row>
    <row r="198" spans="1:15" x14ac:dyDescent="0.5">
      <c r="A198">
        <v>204</v>
      </c>
      <c r="B198">
        <v>204</v>
      </c>
      <c r="C198" t="s">
        <v>32</v>
      </c>
      <c r="D198" s="2">
        <v>203741.3</v>
      </c>
      <c r="E198" s="2">
        <v>0</v>
      </c>
      <c r="F198" s="2">
        <v>1647.6</v>
      </c>
      <c r="G198" s="2">
        <v>1340550.1000000001</v>
      </c>
      <c r="H198" s="2">
        <v>14.4</v>
      </c>
      <c r="I198" s="2">
        <v>33326</v>
      </c>
      <c r="J198" s="2">
        <v>3855</v>
      </c>
      <c r="K198" s="2">
        <v>0</v>
      </c>
      <c r="L198" s="2">
        <v>436.3</v>
      </c>
      <c r="M198" s="2">
        <v>6326.6</v>
      </c>
      <c r="N198" s="2">
        <v>48062.6</v>
      </c>
      <c r="O198" s="4">
        <f t="shared" si="10"/>
        <v>1637959.9000000001</v>
      </c>
    </row>
    <row r="199" spans="1:15" x14ac:dyDescent="0.5">
      <c r="D199" s="4">
        <f t="shared" ref="D199:N199" si="11">SUM(D173:D198)</f>
        <v>1500812.2000000002</v>
      </c>
      <c r="E199" s="4">
        <f t="shared" si="11"/>
        <v>669790.29999999993</v>
      </c>
      <c r="F199" s="4">
        <f t="shared" si="11"/>
        <v>68865.3</v>
      </c>
      <c r="G199" s="4">
        <f t="shared" si="11"/>
        <v>8103919.5999999996</v>
      </c>
      <c r="H199" s="4">
        <f t="shared" si="11"/>
        <v>5253826.1000000015</v>
      </c>
      <c r="I199" s="4">
        <f t="shared" si="11"/>
        <v>2796896.8</v>
      </c>
      <c r="J199" s="4">
        <f t="shared" si="11"/>
        <v>94950.7</v>
      </c>
      <c r="K199" s="4">
        <f t="shared" si="11"/>
        <v>40133.299999999996</v>
      </c>
      <c r="L199" s="4">
        <f t="shared" si="11"/>
        <v>32225.5</v>
      </c>
      <c r="M199" s="4">
        <f t="shared" si="11"/>
        <v>413992.1</v>
      </c>
      <c r="N199" s="4">
        <f t="shared" si="11"/>
        <v>1613499</v>
      </c>
      <c r="O199" s="4">
        <f>SUM(D199:N199)</f>
        <v>20588910.900000002</v>
      </c>
    </row>
    <row r="200" spans="1:15" x14ac:dyDescent="0.5">
      <c r="A200" t="s">
        <v>50</v>
      </c>
      <c r="D200" s="2"/>
      <c r="E200" s="2"/>
      <c r="F200" s="2"/>
      <c r="G200" s="2"/>
      <c r="H200" s="2"/>
      <c r="I200" s="2"/>
      <c r="J200" s="2"/>
      <c r="K200" s="2"/>
      <c r="L200" s="2"/>
      <c r="M200" s="2"/>
      <c r="N200" s="2"/>
      <c r="O200" s="4"/>
    </row>
    <row r="201" spans="1:15" x14ac:dyDescent="0.5">
      <c r="A201">
        <v>13</v>
      </c>
      <c r="B201">
        <v>13</v>
      </c>
      <c r="C201" t="s">
        <v>12</v>
      </c>
      <c r="D201" s="2">
        <v>0</v>
      </c>
      <c r="E201" s="2">
        <v>0</v>
      </c>
      <c r="F201" s="2">
        <v>0</v>
      </c>
      <c r="G201" s="2">
        <v>0</v>
      </c>
      <c r="H201" s="2">
        <v>15880.9</v>
      </c>
      <c r="I201" s="2">
        <v>94765</v>
      </c>
      <c r="J201" s="2">
        <v>0</v>
      </c>
      <c r="K201" s="2">
        <v>17</v>
      </c>
      <c r="L201" s="2">
        <v>1733.1</v>
      </c>
      <c r="M201" s="2">
        <v>1716.6</v>
      </c>
      <c r="N201" s="2">
        <v>6757.4</v>
      </c>
      <c r="O201" s="4">
        <f>SUM(D201:N201)</f>
        <v>120870</v>
      </c>
    </row>
    <row r="202" spans="1:15" x14ac:dyDescent="0.5">
      <c r="A202">
        <v>15</v>
      </c>
      <c r="B202">
        <v>15</v>
      </c>
      <c r="C202" t="s">
        <v>13</v>
      </c>
      <c r="D202" s="2">
        <v>85827.1</v>
      </c>
      <c r="E202" s="2">
        <v>39447.800000000003</v>
      </c>
      <c r="F202" s="2">
        <v>0</v>
      </c>
      <c r="G202" s="2">
        <v>135323.5</v>
      </c>
      <c r="H202" s="2">
        <v>472963.9</v>
      </c>
      <c r="I202" s="2">
        <v>0</v>
      </c>
      <c r="J202" s="2">
        <v>0</v>
      </c>
      <c r="K202" s="2">
        <v>1404.8</v>
      </c>
      <c r="L202" s="2">
        <v>0</v>
      </c>
      <c r="M202" s="2">
        <v>46733.7</v>
      </c>
      <c r="N202" s="2">
        <v>2745.5</v>
      </c>
      <c r="O202" s="4">
        <f t="shared" ref="O202:O226" si="12">SUM(D202:N202)</f>
        <v>784446.3</v>
      </c>
    </row>
    <row r="203" spans="1:15" x14ac:dyDescent="0.5">
      <c r="A203">
        <v>16</v>
      </c>
      <c r="B203">
        <v>16</v>
      </c>
      <c r="C203" t="s">
        <v>52</v>
      </c>
      <c r="D203" s="2">
        <v>45676.5</v>
      </c>
      <c r="E203" s="2">
        <v>2894.3</v>
      </c>
      <c r="F203" s="2">
        <v>0</v>
      </c>
      <c r="G203" s="2">
        <v>654268.80000000005</v>
      </c>
      <c r="H203" s="2">
        <v>142</v>
      </c>
      <c r="I203" s="2">
        <v>0</v>
      </c>
      <c r="J203" s="2">
        <v>6419.2</v>
      </c>
      <c r="K203" s="2">
        <v>0</v>
      </c>
      <c r="L203" s="2">
        <v>0</v>
      </c>
      <c r="M203" s="2">
        <v>12024.9</v>
      </c>
      <c r="N203" s="2">
        <v>189.8</v>
      </c>
      <c r="O203" s="4">
        <f t="shared" si="12"/>
        <v>721615.50000000012</v>
      </c>
    </row>
    <row r="204" spans="1:15" x14ac:dyDescent="0.5">
      <c r="A204">
        <v>30</v>
      </c>
      <c r="B204">
        <v>30</v>
      </c>
      <c r="C204" t="s">
        <v>53</v>
      </c>
      <c r="D204" s="2">
        <v>2271.5</v>
      </c>
      <c r="E204" s="2">
        <v>0</v>
      </c>
      <c r="F204" s="2">
        <v>0</v>
      </c>
      <c r="G204" s="2">
        <v>9206.2000000000007</v>
      </c>
      <c r="H204" s="2">
        <v>0</v>
      </c>
      <c r="I204" s="2">
        <v>0</v>
      </c>
      <c r="J204" s="2">
        <v>0</v>
      </c>
      <c r="K204" s="2">
        <v>0</v>
      </c>
      <c r="L204" s="2">
        <v>0</v>
      </c>
      <c r="M204" s="2">
        <v>1396.9</v>
      </c>
      <c r="N204" s="2">
        <v>0</v>
      </c>
      <c r="O204" s="4">
        <f t="shared" si="12"/>
        <v>12874.6</v>
      </c>
    </row>
    <row r="205" spans="1:15" x14ac:dyDescent="0.5">
      <c r="A205">
        <v>37</v>
      </c>
      <c r="B205">
        <v>37</v>
      </c>
      <c r="C205" t="s">
        <v>14</v>
      </c>
      <c r="D205" s="2">
        <v>82434.8</v>
      </c>
      <c r="E205" s="2">
        <v>109334.5</v>
      </c>
      <c r="F205" s="2">
        <v>0</v>
      </c>
      <c r="G205" s="2">
        <v>93089.3</v>
      </c>
      <c r="H205" s="2">
        <v>318931.40000000002</v>
      </c>
      <c r="I205" s="2">
        <v>2.2999999999999998</v>
      </c>
      <c r="J205" s="2">
        <v>0</v>
      </c>
      <c r="K205" s="2">
        <v>5782.2</v>
      </c>
      <c r="L205" s="2">
        <v>0</v>
      </c>
      <c r="M205" s="2">
        <v>3956.2</v>
      </c>
      <c r="N205" s="2">
        <v>14830.5</v>
      </c>
      <c r="O205" s="4">
        <f t="shared" si="12"/>
        <v>628361.19999999995</v>
      </c>
    </row>
    <row r="206" spans="1:15" x14ac:dyDescent="0.5">
      <c r="A206">
        <v>38</v>
      </c>
      <c r="B206">
        <v>38</v>
      </c>
      <c r="C206" t="s">
        <v>54</v>
      </c>
      <c r="D206" s="2">
        <v>17362</v>
      </c>
      <c r="E206" s="2">
        <v>170645.1</v>
      </c>
      <c r="F206" s="2">
        <v>42161.9</v>
      </c>
      <c r="G206" s="2">
        <v>184633.9</v>
      </c>
      <c r="H206" s="2">
        <v>117687.4</v>
      </c>
      <c r="I206" s="2">
        <v>183084.9</v>
      </c>
      <c r="J206" s="2">
        <v>14686.1</v>
      </c>
      <c r="K206" s="2">
        <v>0</v>
      </c>
      <c r="L206" s="2">
        <v>0</v>
      </c>
      <c r="M206" s="2">
        <v>35326</v>
      </c>
      <c r="N206" s="2">
        <v>308307.7</v>
      </c>
      <c r="O206" s="4">
        <f t="shared" si="12"/>
        <v>1073895</v>
      </c>
    </row>
    <row r="207" spans="1:15" x14ac:dyDescent="0.5">
      <c r="A207">
        <v>60</v>
      </c>
      <c r="B207">
        <v>60</v>
      </c>
      <c r="C207" t="s">
        <v>15</v>
      </c>
      <c r="D207" s="2">
        <v>44288.6</v>
      </c>
      <c r="E207" s="2">
        <v>8091.1</v>
      </c>
      <c r="F207" s="2">
        <v>4815.8</v>
      </c>
      <c r="G207" s="2">
        <v>300834.8</v>
      </c>
      <c r="H207" s="2">
        <v>132958.20000000001</v>
      </c>
      <c r="I207" s="2">
        <v>2881735.8</v>
      </c>
      <c r="J207" s="2">
        <v>33538.6</v>
      </c>
      <c r="K207" s="2">
        <v>0</v>
      </c>
      <c r="L207" s="2">
        <v>63285.7</v>
      </c>
      <c r="M207" s="2">
        <v>62074.2</v>
      </c>
      <c r="N207" s="2">
        <v>69102.7</v>
      </c>
      <c r="O207" s="4">
        <f t="shared" si="12"/>
        <v>3600725.5000000005</v>
      </c>
    </row>
    <row r="208" spans="1:15" x14ac:dyDescent="0.5">
      <c r="A208">
        <v>67</v>
      </c>
      <c r="B208">
        <v>67</v>
      </c>
      <c r="C208" t="s">
        <v>16</v>
      </c>
      <c r="D208" s="2">
        <v>40030.6</v>
      </c>
      <c r="E208" s="2">
        <v>120784.1</v>
      </c>
      <c r="F208" s="2">
        <v>0</v>
      </c>
      <c r="G208" s="2">
        <v>139381.9</v>
      </c>
      <c r="H208" s="2">
        <v>755076.3</v>
      </c>
      <c r="I208" s="2">
        <v>0</v>
      </c>
      <c r="J208" s="2">
        <v>348.9</v>
      </c>
      <c r="K208" s="2">
        <v>5331.4</v>
      </c>
      <c r="L208" s="2">
        <v>0</v>
      </c>
      <c r="M208" s="2">
        <v>63437.9</v>
      </c>
      <c r="N208" s="2">
        <v>42008.1</v>
      </c>
      <c r="O208" s="4">
        <f t="shared" si="12"/>
        <v>1166399.1999999997</v>
      </c>
    </row>
    <row r="209" spans="1:15" x14ac:dyDescent="0.5">
      <c r="A209">
        <v>69</v>
      </c>
      <c r="B209">
        <v>69</v>
      </c>
      <c r="C209" t="s">
        <v>17</v>
      </c>
      <c r="D209" s="2">
        <v>49673.3</v>
      </c>
      <c r="E209" s="2">
        <v>14127.4</v>
      </c>
      <c r="F209" s="2">
        <v>0</v>
      </c>
      <c r="G209" s="2">
        <v>59326.3</v>
      </c>
      <c r="H209" s="2">
        <v>333408</v>
      </c>
      <c r="I209" s="2">
        <v>286.3</v>
      </c>
      <c r="J209" s="2">
        <v>2264.9</v>
      </c>
      <c r="K209" s="2">
        <v>1877.7</v>
      </c>
      <c r="L209" s="2">
        <v>0</v>
      </c>
      <c r="M209" s="2">
        <v>7941.8</v>
      </c>
      <c r="N209" s="2">
        <v>28633.200000000001</v>
      </c>
      <c r="O209" s="4">
        <f t="shared" si="12"/>
        <v>497538.9</v>
      </c>
    </row>
    <row r="210" spans="1:15" x14ac:dyDescent="0.5">
      <c r="A210">
        <v>71</v>
      </c>
      <c r="B210">
        <v>71</v>
      </c>
      <c r="C210" t="s">
        <v>18</v>
      </c>
      <c r="D210" s="2">
        <v>294.5</v>
      </c>
      <c r="E210" s="2">
        <v>0</v>
      </c>
      <c r="F210" s="2">
        <v>0</v>
      </c>
      <c r="G210" s="2">
        <v>27418.799999999999</v>
      </c>
      <c r="H210" s="2">
        <v>0</v>
      </c>
      <c r="I210" s="2">
        <v>0</v>
      </c>
      <c r="J210" s="2">
        <v>0</v>
      </c>
      <c r="K210" s="2">
        <v>0</v>
      </c>
      <c r="L210" s="2">
        <v>0</v>
      </c>
      <c r="M210" s="2">
        <v>992.6</v>
      </c>
      <c r="N210" s="2">
        <v>936.7</v>
      </c>
      <c r="O210" s="4">
        <f t="shared" si="12"/>
        <v>29642.6</v>
      </c>
    </row>
    <row r="211" spans="1:15" x14ac:dyDescent="0.5">
      <c r="A211">
        <v>72</v>
      </c>
      <c r="B211">
        <v>72</v>
      </c>
      <c r="C211" t="s">
        <v>19</v>
      </c>
      <c r="D211" s="2">
        <v>9408.6</v>
      </c>
      <c r="E211" s="2">
        <v>0</v>
      </c>
      <c r="F211" s="2">
        <v>0</v>
      </c>
      <c r="G211" s="2">
        <v>22927.4</v>
      </c>
      <c r="H211" s="2">
        <v>442.8</v>
      </c>
      <c r="I211" s="2">
        <v>0</v>
      </c>
      <c r="J211" s="2">
        <v>379.5</v>
      </c>
      <c r="K211" s="2">
        <v>0</v>
      </c>
      <c r="L211" s="2">
        <v>0</v>
      </c>
      <c r="M211" s="2">
        <v>102.9</v>
      </c>
      <c r="N211" s="2">
        <v>4000.5</v>
      </c>
      <c r="O211" s="4">
        <f t="shared" si="12"/>
        <v>37261.700000000004</v>
      </c>
    </row>
    <row r="212" spans="1:15" x14ac:dyDescent="0.5">
      <c r="A212">
        <v>96</v>
      </c>
      <c r="B212">
        <v>96</v>
      </c>
      <c r="C212" t="s">
        <v>20</v>
      </c>
      <c r="D212" s="2">
        <v>34920.9</v>
      </c>
      <c r="E212" s="2">
        <v>2388.1</v>
      </c>
      <c r="F212" s="2">
        <v>27901.7</v>
      </c>
      <c r="G212" s="2">
        <v>194340.4</v>
      </c>
      <c r="H212" s="2">
        <v>469690.6</v>
      </c>
      <c r="I212" s="2">
        <v>1769039.3</v>
      </c>
      <c r="J212" s="2">
        <v>15267.6</v>
      </c>
      <c r="K212" s="2">
        <v>27554.3</v>
      </c>
      <c r="L212" s="2">
        <v>9420.4</v>
      </c>
      <c r="M212" s="2">
        <v>121340.4</v>
      </c>
      <c r="N212" s="2">
        <v>225229.9</v>
      </c>
      <c r="O212" s="4">
        <f t="shared" si="12"/>
        <v>2897093.5999999996</v>
      </c>
    </row>
    <row r="213" spans="1:15" x14ac:dyDescent="0.5">
      <c r="A213">
        <v>121</v>
      </c>
      <c r="B213">
        <v>121</v>
      </c>
      <c r="C213" t="s">
        <v>21</v>
      </c>
      <c r="D213" s="2">
        <v>48637.7</v>
      </c>
      <c r="E213" s="2">
        <v>0</v>
      </c>
      <c r="F213" s="2">
        <v>0</v>
      </c>
      <c r="G213" s="2">
        <v>534877.80000000005</v>
      </c>
      <c r="H213" s="2">
        <v>0</v>
      </c>
      <c r="I213" s="2">
        <v>0</v>
      </c>
      <c r="J213" s="2">
        <v>120.4</v>
      </c>
      <c r="K213" s="2">
        <v>0</v>
      </c>
      <c r="L213" s="2">
        <v>0</v>
      </c>
      <c r="M213" s="2">
        <v>7257.8</v>
      </c>
      <c r="N213" s="2">
        <v>3060.8</v>
      </c>
      <c r="O213" s="4">
        <f t="shared" si="12"/>
        <v>593954.50000000012</v>
      </c>
    </row>
    <row r="214" spans="1:15" x14ac:dyDescent="0.5">
      <c r="A214">
        <v>126</v>
      </c>
      <c r="B214">
        <v>126</v>
      </c>
      <c r="C214" t="s">
        <v>22</v>
      </c>
      <c r="D214" s="2">
        <v>253314.4</v>
      </c>
      <c r="E214" s="2">
        <v>44686.9</v>
      </c>
      <c r="F214" s="2">
        <v>460.6</v>
      </c>
      <c r="G214" s="2">
        <v>368169.1</v>
      </c>
      <c r="H214" s="2">
        <v>157870.6</v>
      </c>
      <c r="I214" s="2">
        <v>0</v>
      </c>
      <c r="J214" s="2">
        <v>15545</v>
      </c>
      <c r="K214" s="2">
        <v>2900.4</v>
      </c>
      <c r="L214" s="2">
        <v>0</v>
      </c>
      <c r="M214" s="2">
        <v>13818.4</v>
      </c>
      <c r="N214" s="2">
        <v>268058.90000000002</v>
      </c>
      <c r="O214" s="4">
        <f t="shared" si="12"/>
        <v>1124824.3</v>
      </c>
    </row>
    <row r="215" spans="1:15" x14ac:dyDescent="0.5">
      <c r="A215">
        <v>127</v>
      </c>
      <c r="B215">
        <v>127</v>
      </c>
      <c r="C215" t="s">
        <v>55</v>
      </c>
      <c r="D215" s="2">
        <v>3271.4</v>
      </c>
      <c r="E215" s="2">
        <v>0</v>
      </c>
      <c r="F215" s="2">
        <v>0</v>
      </c>
      <c r="G215" s="2">
        <v>5115.7</v>
      </c>
      <c r="H215" s="2">
        <v>0</v>
      </c>
      <c r="I215" s="2">
        <v>0</v>
      </c>
      <c r="J215" s="2">
        <v>1334.7</v>
      </c>
      <c r="K215" s="2">
        <v>0</v>
      </c>
      <c r="L215" s="2">
        <v>0</v>
      </c>
      <c r="M215" s="2">
        <v>0</v>
      </c>
      <c r="N215" s="2">
        <v>21.6</v>
      </c>
      <c r="O215" s="4">
        <f t="shared" si="12"/>
        <v>9743.4000000000015</v>
      </c>
    </row>
    <row r="216" spans="1:15" x14ac:dyDescent="0.5">
      <c r="A216">
        <v>131</v>
      </c>
      <c r="B216">
        <v>131</v>
      </c>
      <c r="C216" t="s">
        <v>23</v>
      </c>
      <c r="D216" s="2">
        <v>42103.3</v>
      </c>
      <c r="E216" s="2">
        <v>278.5</v>
      </c>
      <c r="F216" s="2">
        <v>140.6</v>
      </c>
      <c r="G216" s="2">
        <v>1404363.1</v>
      </c>
      <c r="H216" s="2">
        <v>207751.1</v>
      </c>
      <c r="I216" s="2">
        <v>31484.7</v>
      </c>
      <c r="J216" s="2">
        <v>3280.5</v>
      </c>
      <c r="K216" s="2">
        <v>3200.4</v>
      </c>
      <c r="L216" s="2">
        <v>0</v>
      </c>
      <c r="M216" s="2">
        <v>49005.2</v>
      </c>
      <c r="N216" s="2">
        <v>54535.7</v>
      </c>
      <c r="O216" s="4">
        <f t="shared" si="12"/>
        <v>1796143.0999999999</v>
      </c>
    </row>
    <row r="217" spans="1:15" x14ac:dyDescent="0.5">
      <c r="A217">
        <v>134</v>
      </c>
      <c r="B217">
        <v>134</v>
      </c>
      <c r="C217" t="s">
        <v>24</v>
      </c>
      <c r="D217" s="2">
        <v>4368.3999999999996</v>
      </c>
      <c r="E217" s="2">
        <v>0</v>
      </c>
      <c r="F217" s="2">
        <v>0</v>
      </c>
      <c r="G217" s="2">
        <v>3443</v>
      </c>
      <c r="H217" s="2">
        <v>0</v>
      </c>
      <c r="I217" s="2">
        <v>0</v>
      </c>
      <c r="J217" s="2">
        <v>18.100000000000001</v>
      </c>
      <c r="K217" s="2">
        <v>0</v>
      </c>
      <c r="L217" s="2">
        <v>0</v>
      </c>
      <c r="M217" s="2">
        <v>122.5</v>
      </c>
      <c r="N217" s="2">
        <v>0.8</v>
      </c>
      <c r="O217" s="4">
        <f t="shared" si="12"/>
        <v>7952.8</v>
      </c>
    </row>
    <row r="218" spans="1:15" x14ac:dyDescent="0.5">
      <c r="A218">
        <v>135</v>
      </c>
      <c r="B218">
        <v>135</v>
      </c>
      <c r="C218" t="s">
        <v>25</v>
      </c>
      <c r="D218" s="2">
        <v>79627.100000000006</v>
      </c>
      <c r="E218" s="2">
        <v>245252.5</v>
      </c>
      <c r="F218" s="2">
        <v>117.2</v>
      </c>
      <c r="G218" s="2">
        <v>2540768.2999999998</v>
      </c>
      <c r="H218" s="2">
        <v>2896325.3</v>
      </c>
      <c r="I218" s="2">
        <v>16636.2</v>
      </c>
      <c r="J218" s="2">
        <v>33274</v>
      </c>
      <c r="K218" s="2">
        <v>13194.9</v>
      </c>
      <c r="L218" s="2">
        <v>0</v>
      </c>
      <c r="M218" s="2">
        <v>132862</v>
      </c>
      <c r="N218" s="2">
        <v>181498.3</v>
      </c>
      <c r="O218" s="4">
        <f t="shared" si="12"/>
        <v>6139555.7999999998</v>
      </c>
    </row>
    <row r="219" spans="1:15" x14ac:dyDescent="0.5">
      <c r="A219">
        <v>156</v>
      </c>
      <c r="B219">
        <v>156</v>
      </c>
      <c r="C219" t="s">
        <v>26</v>
      </c>
      <c r="D219" s="2">
        <v>0</v>
      </c>
      <c r="E219" s="2">
        <v>0</v>
      </c>
      <c r="F219" s="2">
        <v>0</v>
      </c>
      <c r="G219" s="2">
        <v>0</v>
      </c>
      <c r="H219" s="2">
        <v>9881.6</v>
      </c>
      <c r="I219" s="2">
        <v>71859.199999999997</v>
      </c>
      <c r="J219" s="2">
        <v>0</v>
      </c>
      <c r="K219" s="2">
        <v>0</v>
      </c>
      <c r="L219" s="2">
        <v>836.7</v>
      </c>
      <c r="M219" s="2">
        <v>552.70000000000005</v>
      </c>
      <c r="N219" s="2">
        <v>6547.5</v>
      </c>
      <c r="O219" s="4">
        <f t="shared" si="12"/>
        <v>89677.7</v>
      </c>
    </row>
    <row r="220" spans="1:15" x14ac:dyDescent="0.5">
      <c r="A220">
        <v>159</v>
      </c>
      <c r="B220">
        <v>159</v>
      </c>
      <c r="C220" t="s">
        <v>27</v>
      </c>
      <c r="D220" s="2">
        <v>25854.3</v>
      </c>
      <c r="E220" s="2">
        <v>0</v>
      </c>
      <c r="F220" s="2">
        <v>0</v>
      </c>
      <c r="G220" s="2">
        <v>277532.5</v>
      </c>
      <c r="H220" s="2">
        <v>0</v>
      </c>
      <c r="I220" s="2">
        <v>0</v>
      </c>
      <c r="J220" s="2">
        <v>7766.6</v>
      </c>
      <c r="K220" s="2">
        <v>0</v>
      </c>
      <c r="L220" s="2">
        <v>0</v>
      </c>
      <c r="M220" s="2">
        <v>4697.7</v>
      </c>
      <c r="N220" s="2">
        <v>2811.2</v>
      </c>
      <c r="O220" s="4">
        <f t="shared" si="12"/>
        <v>318662.3</v>
      </c>
    </row>
    <row r="221" spans="1:15" x14ac:dyDescent="0.5">
      <c r="A221">
        <v>178</v>
      </c>
      <c r="B221">
        <v>178</v>
      </c>
      <c r="C221" t="s">
        <v>56</v>
      </c>
      <c r="D221" s="2">
        <v>17956</v>
      </c>
      <c r="E221" s="2">
        <v>124.2</v>
      </c>
      <c r="F221" s="2">
        <v>0</v>
      </c>
      <c r="G221" s="2">
        <v>136307.20000000001</v>
      </c>
      <c r="H221" s="2">
        <v>0</v>
      </c>
      <c r="I221" s="2">
        <v>0</v>
      </c>
      <c r="J221" s="2">
        <v>1504.9</v>
      </c>
      <c r="K221" s="2">
        <v>0</v>
      </c>
      <c r="L221" s="2">
        <v>0</v>
      </c>
      <c r="M221" s="2">
        <v>2242.8000000000002</v>
      </c>
      <c r="N221" s="2">
        <v>2809.3</v>
      </c>
      <c r="O221" s="4">
        <f t="shared" si="12"/>
        <v>160944.4</v>
      </c>
    </row>
    <row r="222" spans="1:15" x14ac:dyDescent="0.5">
      <c r="A222">
        <v>179</v>
      </c>
      <c r="B222">
        <v>179</v>
      </c>
      <c r="C222" t="s">
        <v>28</v>
      </c>
      <c r="D222" s="2">
        <v>0</v>
      </c>
      <c r="E222" s="2">
        <v>125330.2</v>
      </c>
      <c r="F222" s="2">
        <v>0</v>
      </c>
      <c r="G222" s="2">
        <v>45033</v>
      </c>
      <c r="H222" s="2">
        <v>333358.7</v>
      </c>
      <c r="I222" s="2">
        <v>0</v>
      </c>
      <c r="J222" s="2">
        <v>0</v>
      </c>
      <c r="K222" s="2">
        <v>2110.3000000000002</v>
      </c>
      <c r="L222" s="2">
        <v>0</v>
      </c>
      <c r="M222" s="2">
        <v>15496.9</v>
      </c>
      <c r="N222" s="2">
        <v>8951.7999999999993</v>
      </c>
      <c r="O222" s="4">
        <f t="shared" si="12"/>
        <v>530280.9</v>
      </c>
    </row>
    <row r="223" spans="1:15" x14ac:dyDescent="0.5">
      <c r="A223">
        <v>188</v>
      </c>
      <c r="B223">
        <v>188</v>
      </c>
      <c r="C223" t="s">
        <v>29</v>
      </c>
      <c r="D223" s="2">
        <v>306567.09999999998</v>
      </c>
      <c r="E223" s="2">
        <v>103169.1</v>
      </c>
      <c r="F223" s="2">
        <v>41548.9</v>
      </c>
      <c r="G223" s="2">
        <v>1276660.6000000001</v>
      </c>
      <c r="H223" s="2">
        <v>806024.8</v>
      </c>
      <c r="I223" s="2">
        <v>524520.80000000005</v>
      </c>
      <c r="J223" s="2">
        <v>25435</v>
      </c>
      <c r="K223" s="2">
        <v>7532.7</v>
      </c>
      <c r="L223" s="2">
        <v>1505.9</v>
      </c>
      <c r="M223" s="2">
        <v>49568.5</v>
      </c>
      <c r="N223" s="2">
        <v>539183.9</v>
      </c>
      <c r="O223" s="4">
        <f t="shared" si="12"/>
        <v>3681717.3</v>
      </c>
    </row>
    <row r="224" spans="1:15" x14ac:dyDescent="0.5">
      <c r="A224">
        <v>189</v>
      </c>
      <c r="B224">
        <v>189</v>
      </c>
      <c r="C224" t="s">
        <v>30</v>
      </c>
      <c r="D224" s="2">
        <v>2927.6</v>
      </c>
      <c r="E224" s="2">
        <v>17612.400000000001</v>
      </c>
      <c r="F224" s="2">
        <v>0</v>
      </c>
      <c r="G224" s="2">
        <v>19297.8</v>
      </c>
      <c r="H224" s="2">
        <v>972438.2</v>
      </c>
      <c r="I224" s="2">
        <v>94786.5</v>
      </c>
      <c r="J224" s="2">
        <v>0</v>
      </c>
      <c r="K224" s="2">
        <v>2031.8</v>
      </c>
      <c r="L224" s="2">
        <v>0</v>
      </c>
      <c r="M224" s="2">
        <v>9335.5</v>
      </c>
      <c r="N224" s="2">
        <v>58050.1</v>
      </c>
      <c r="O224" s="4">
        <f t="shared" si="12"/>
        <v>1176479.9000000001</v>
      </c>
    </row>
    <row r="225" spans="1:15" x14ac:dyDescent="0.5">
      <c r="A225">
        <v>203</v>
      </c>
      <c r="B225">
        <v>203</v>
      </c>
      <c r="C225" t="s">
        <v>31</v>
      </c>
      <c r="D225" s="2">
        <v>553755.80000000005</v>
      </c>
      <c r="E225" s="2">
        <v>16996.099999999999</v>
      </c>
      <c r="F225" s="2">
        <v>5458.4</v>
      </c>
      <c r="G225" s="2">
        <v>483714</v>
      </c>
      <c r="H225" s="2">
        <v>6700.4</v>
      </c>
      <c r="I225" s="2">
        <v>355.9</v>
      </c>
      <c r="J225" s="2">
        <v>3820</v>
      </c>
      <c r="K225" s="2">
        <v>0</v>
      </c>
      <c r="L225" s="2">
        <v>0</v>
      </c>
      <c r="M225" s="2">
        <v>30806.9</v>
      </c>
      <c r="N225" s="2">
        <v>60398.2</v>
      </c>
      <c r="O225" s="4">
        <f t="shared" si="12"/>
        <v>1162005.6999999997</v>
      </c>
    </row>
    <row r="226" spans="1:15" x14ac:dyDescent="0.5">
      <c r="A226">
        <v>204</v>
      </c>
      <c r="B226">
        <v>204</v>
      </c>
      <c r="C226" t="s">
        <v>32</v>
      </c>
      <c r="D226" s="2">
        <v>173488.6</v>
      </c>
      <c r="E226" s="2">
        <v>0</v>
      </c>
      <c r="F226" s="2">
        <v>1552.1</v>
      </c>
      <c r="G226" s="2">
        <v>1103573.8999999999</v>
      </c>
      <c r="H226" s="2">
        <v>4</v>
      </c>
      <c r="I226" s="2">
        <v>27264.7</v>
      </c>
      <c r="J226" s="2">
        <v>6070.9</v>
      </c>
      <c r="K226" s="2">
        <v>0</v>
      </c>
      <c r="L226" s="2">
        <v>505</v>
      </c>
      <c r="M226" s="2">
        <v>5761.7</v>
      </c>
      <c r="N226" s="2">
        <v>38260.699999999997</v>
      </c>
      <c r="O226" s="4">
        <f t="shared" si="12"/>
        <v>1356481.5999999996</v>
      </c>
    </row>
    <row r="227" spans="1:15" x14ac:dyDescent="0.5">
      <c r="D227" s="4">
        <f t="shared" ref="D227:N227" si="13">SUM(D201:D226)</f>
        <v>1924060.1000000003</v>
      </c>
      <c r="E227" s="4">
        <f t="shared" si="13"/>
        <v>1021162.2999999999</v>
      </c>
      <c r="F227" s="4">
        <f t="shared" si="13"/>
        <v>124157.20000000001</v>
      </c>
      <c r="G227" s="4">
        <f t="shared" si="13"/>
        <v>10019607.300000001</v>
      </c>
      <c r="H227" s="4">
        <f t="shared" si="13"/>
        <v>8007536.2000000002</v>
      </c>
      <c r="I227" s="4">
        <f t="shared" si="13"/>
        <v>5695821.6000000006</v>
      </c>
      <c r="J227" s="4">
        <f t="shared" si="13"/>
        <v>171074.9</v>
      </c>
      <c r="K227" s="4">
        <f t="shared" si="13"/>
        <v>72937.900000000009</v>
      </c>
      <c r="L227" s="4">
        <f t="shared" si="13"/>
        <v>77286.799999999988</v>
      </c>
      <c r="M227" s="4">
        <f t="shared" si="13"/>
        <v>678572.7</v>
      </c>
      <c r="N227" s="4">
        <f t="shared" si="13"/>
        <v>1926930.8000000003</v>
      </c>
      <c r="O227" s="4">
        <f>SUM(D227:N227)</f>
        <v>29719147.800000001</v>
      </c>
    </row>
    <row r="228" spans="1:15" x14ac:dyDescent="0.5">
      <c r="A228" t="s">
        <v>51</v>
      </c>
      <c r="D228" s="2"/>
      <c r="E228" s="2"/>
      <c r="F228" s="2"/>
      <c r="G228" s="2"/>
      <c r="H228" s="2"/>
      <c r="I228" s="2"/>
      <c r="J228" s="2"/>
      <c r="K228" s="2"/>
      <c r="L228" s="2"/>
      <c r="M228" s="2"/>
      <c r="N228" s="2"/>
      <c r="O228" s="4"/>
    </row>
    <row r="229" spans="1:15" x14ac:dyDescent="0.5">
      <c r="A229">
        <v>13</v>
      </c>
      <c r="B229">
        <v>13</v>
      </c>
      <c r="C229" t="s">
        <v>12</v>
      </c>
      <c r="D229" s="2">
        <v>0</v>
      </c>
      <c r="E229" s="2">
        <v>0</v>
      </c>
      <c r="F229" s="2">
        <v>0</v>
      </c>
      <c r="G229" s="2">
        <v>0</v>
      </c>
      <c r="H229" s="2">
        <v>1046.9000000000001</v>
      </c>
      <c r="I229" s="2">
        <v>1008.5</v>
      </c>
      <c r="J229" s="2">
        <v>0</v>
      </c>
      <c r="K229" s="2">
        <v>380.1</v>
      </c>
      <c r="L229" s="2">
        <v>1121.5999999999999</v>
      </c>
      <c r="M229" s="2">
        <v>1058.8</v>
      </c>
      <c r="N229" s="2">
        <v>930.1</v>
      </c>
      <c r="O229" s="4">
        <f>SUM(D229:N229)</f>
        <v>5546</v>
      </c>
    </row>
    <row r="230" spans="1:15" x14ac:dyDescent="0.5">
      <c r="A230">
        <v>15</v>
      </c>
      <c r="B230">
        <v>15</v>
      </c>
      <c r="C230" t="s">
        <v>13</v>
      </c>
      <c r="D230" s="2">
        <v>1050</v>
      </c>
      <c r="E230" s="2">
        <v>1215.5999999999999</v>
      </c>
      <c r="F230" s="2">
        <v>0</v>
      </c>
      <c r="G230" s="2">
        <v>1051.4000000000001</v>
      </c>
      <c r="H230" s="2">
        <v>920.3</v>
      </c>
      <c r="I230" s="2">
        <v>0</v>
      </c>
      <c r="J230" s="2">
        <v>0</v>
      </c>
      <c r="K230" s="2">
        <v>911.6</v>
      </c>
      <c r="L230" s="2">
        <v>0</v>
      </c>
      <c r="M230" s="2">
        <v>1058.3</v>
      </c>
      <c r="N230" s="2">
        <v>902.7</v>
      </c>
      <c r="O230" s="4">
        <f t="shared" ref="O230:O254" si="14">SUM(D230:N230)</f>
        <v>7109.9000000000005</v>
      </c>
    </row>
    <row r="231" spans="1:15" x14ac:dyDescent="0.5">
      <c r="A231">
        <v>16</v>
      </c>
      <c r="B231">
        <v>16</v>
      </c>
      <c r="C231" t="s">
        <v>52</v>
      </c>
      <c r="D231" s="2">
        <v>254.9</v>
      </c>
      <c r="E231" s="2">
        <v>261.2</v>
      </c>
      <c r="F231" s="2">
        <v>0</v>
      </c>
      <c r="G231" s="2">
        <v>995.8</v>
      </c>
      <c r="H231" s="2">
        <v>243.5</v>
      </c>
      <c r="I231" s="2">
        <v>0</v>
      </c>
      <c r="J231" s="2">
        <v>2587.8000000000002</v>
      </c>
      <c r="K231" s="2">
        <v>0</v>
      </c>
      <c r="L231" s="2">
        <v>0</v>
      </c>
      <c r="M231" s="2">
        <v>972.2</v>
      </c>
      <c r="N231" s="2">
        <v>1737.4</v>
      </c>
      <c r="O231" s="4">
        <f t="shared" si="14"/>
        <v>7052.8000000000011</v>
      </c>
    </row>
    <row r="232" spans="1:15" x14ac:dyDescent="0.5">
      <c r="A232">
        <v>30</v>
      </c>
      <c r="B232">
        <v>30</v>
      </c>
      <c r="C232" t="s">
        <v>53</v>
      </c>
      <c r="D232" s="2">
        <v>3</v>
      </c>
      <c r="E232" s="2">
        <v>0</v>
      </c>
      <c r="F232" s="2">
        <v>0</v>
      </c>
      <c r="G232" s="2">
        <v>48.2</v>
      </c>
      <c r="H232" s="2">
        <v>0</v>
      </c>
      <c r="I232" s="2">
        <v>0</v>
      </c>
      <c r="J232" s="2">
        <v>0</v>
      </c>
      <c r="K232" s="2">
        <v>0</v>
      </c>
      <c r="L232" s="2">
        <v>0</v>
      </c>
      <c r="M232" s="2">
        <v>91.3</v>
      </c>
      <c r="N232" s="2">
        <v>0</v>
      </c>
      <c r="O232" s="4">
        <f t="shared" si="14"/>
        <v>142.5</v>
      </c>
    </row>
    <row r="233" spans="1:15" x14ac:dyDescent="0.5">
      <c r="A233">
        <v>37</v>
      </c>
      <c r="B233">
        <v>37</v>
      </c>
      <c r="C233" t="s">
        <v>14</v>
      </c>
      <c r="D233" s="2">
        <v>1914.2</v>
      </c>
      <c r="E233" s="2">
        <v>1165.8</v>
      </c>
      <c r="F233" s="2">
        <v>0</v>
      </c>
      <c r="G233" s="2">
        <v>2118.6999999999998</v>
      </c>
      <c r="H233" s="2">
        <v>2173.1</v>
      </c>
      <c r="I233" s="2">
        <v>1046.2</v>
      </c>
      <c r="J233" s="2">
        <v>0</v>
      </c>
      <c r="K233" s="2">
        <v>2235.6999999999998</v>
      </c>
      <c r="L233" s="2">
        <v>0</v>
      </c>
      <c r="M233" s="2">
        <v>2251.1999999999998</v>
      </c>
      <c r="N233" s="2">
        <v>1953.5</v>
      </c>
      <c r="O233" s="4">
        <f t="shared" si="14"/>
        <v>14858.400000000001</v>
      </c>
    </row>
    <row r="234" spans="1:15" x14ac:dyDescent="0.5">
      <c r="A234">
        <v>38</v>
      </c>
      <c r="B234">
        <v>38</v>
      </c>
      <c r="C234" t="s">
        <v>54</v>
      </c>
      <c r="D234" s="2">
        <v>1361.6</v>
      </c>
      <c r="E234" s="2">
        <v>1140.3</v>
      </c>
      <c r="F234" s="2">
        <v>1462.8</v>
      </c>
      <c r="G234" s="2">
        <v>1917</v>
      </c>
      <c r="H234" s="2">
        <v>1672.9</v>
      </c>
      <c r="I234" s="2">
        <v>1912.6</v>
      </c>
      <c r="J234" s="2">
        <v>3811.5</v>
      </c>
      <c r="K234" s="2">
        <v>0</v>
      </c>
      <c r="L234" s="2">
        <v>0</v>
      </c>
      <c r="M234" s="2">
        <v>2181.1999999999998</v>
      </c>
      <c r="N234" s="2">
        <v>1294.4000000000001</v>
      </c>
      <c r="O234" s="4">
        <f t="shared" si="14"/>
        <v>16754.300000000003</v>
      </c>
    </row>
    <row r="235" spans="1:15" x14ac:dyDescent="0.5">
      <c r="A235">
        <v>60</v>
      </c>
      <c r="B235">
        <v>60</v>
      </c>
      <c r="C235" t="s">
        <v>15</v>
      </c>
      <c r="D235" s="2">
        <v>41.9</v>
      </c>
      <c r="E235" s="2">
        <v>493.4</v>
      </c>
      <c r="F235" s="2">
        <v>158.1</v>
      </c>
      <c r="G235" s="2">
        <v>422.8</v>
      </c>
      <c r="H235" s="2">
        <v>470.6</v>
      </c>
      <c r="I235" s="2">
        <v>1089.4000000000001</v>
      </c>
      <c r="J235" s="2">
        <v>1862</v>
      </c>
      <c r="K235" s="2">
        <v>0</v>
      </c>
      <c r="L235" s="2">
        <v>2069.1999999999998</v>
      </c>
      <c r="M235" s="2">
        <v>1332.3</v>
      </c>
      <c r="N235" s="2">
        <v>515.70000000000005</v>
      </c>
      <c r="O235" s="4">
        <f t="shared" si="14"/>
        <v>8455.4000000000015</v>
      </c>
    </row>
    <row r="236" spans="1:15" x14ac:dyDescent="0.5">
      <c r="A236">
        <v>67</v>
      </c>
      <c r="B236">
        <v>67</v>
      </c>
      <c r="C236" t="s">
        <v>16</v>
      </c>
      <c r="D236" s="2">
        <v>1585.9</v>
      </c>
      <c r="E236" s="2">
        <v>1128.5999999999999</v>
      </c>
      <c r="F236" s="2">
        <v>0</v>
      </c>
      <c r="G236" s="2">
        <v>1693.7</v>
      </c>
      <c r="H236" s="2">
        <v>1451.7</v>
      </c>
      <c r="I236" s="2">
        <v>0</v>
      </c>
      <c r="J236" s="2">
        <v>1527.9</v>
      </c>
      <c r="K236" s="2">
        <v>1731.6</v>
      </c>
      <c r="L236" s="2">
        <v>0</v>
      </c>
      <c r="M236" s="2">
        <v>1360.4</v>
      </c>
      <c r="N236" s="2">
        <v>1204.5999999999999</v>
      </c>
      <c r="O236" s="4">
        <f t="shared" si="14"/>
        <v>11684.4</v>
      </c>
    </row>
    <row r="237" spans="1:15" x14ac:dyDescent="0.5">
      <c r="A237">
        <v>69</v>
      </c>
      <c r="B237">
        <v>69</v>
      </c>
      <c r="C237" t="s">
        <v>17</v>
      </c>
      <c r="D237" s="2">
        <v>391.6</v>
      </c>
      <c r="E237" s="2">
        <v>150.5</v>
      </c>
      <c r="F237" s="2">
        <v>0</v>
      </c>
      <c r="G237" s="2">
        <v>657.8</v>
      </c>
      <c r="H237" s="2">
        <v>870.3</v>
      </c>
      <c r="I237" s="2">
        <v>893.1</v>
      </c>
      <c r="J237" s="2">
        <v>1730.6</v>
      </c>
      <c r="K237" s="2">
        <v>1136.9000000000001</v>
      </c>
      <c r="L237" s="2">
        <v>0</v>
      </c>
      <c r="M237" s="2">
        <v>1067.2</v>
      </c>
      <c r="N237" s="2">
        <v>1064.0999999999999</v>
      </c>
      <c r="O237" s="4">
        <f t="shared" si="14"/>
        <v>7962.0999999999985</v>
      </c>
    </row>
    <row r="238" spans="1:15" x14ac:dyDescent="0.5">
      <c r="A238">
        <v>71</v>
      </c>
      <c r="B238">
        <v>71</v>
      </c>
      <c r="C238" t="s">
        <v>18</v>
      </c>
      <c r="D238" s="2">
        <v>221.4</v>
      </c>
      <c r="E238" s="2">
        <v>0</v>
      </c>
      <c r="F238" s="2">
        <v>0</v>
      </c>
      <c r="G238" s="2">
        <v>843</v>
      </c>
      <c r="H238" s="2">
        <v>0</v>
      </c>
      <c r="I238" s="2">
        <v>0</v>
      </c>
      <c r="J238" s="2">
        <v>0</v>
      </c>
      <c r="K238" s="2">
        <v>0</v>
      </c>
      <c r="L238" s="2">
        <v>0</v>
      </c>
      <c r="M238" s="2">
        <v>663.6</v>
      </c>
      <c r="N238" s="2">
        <v>245.4</v>
      </c>
      <c r="O238" s="4">
        <f t="shared" si="14"/>
        <v>1973.4</v>
      </c>
    </row>
    <row r="239" spans="1:15" x14ac:dyDescent="0.5">
      <c r="A239">
        <v>72</v>
      </c>
      <c r="B239">
        <v>72</v>
      </c>
      <c r="C239" t="s">
        <v>19</v>
      </c>
      <c r="D239" s="2">
        <v>2311.3000000000002</v>
      </c>
      <c r="E239" s="2">
        <v>0</v>
      </c>
      <c r="F239" s="2">
        <v>0</v>
      </c>
      <c r="G239" s="2">
        <v>2420.1999999999998</v>
      </c>
      <c r="H239" s="2">
        <v>1999.9</v>
      </c>
      <c r="I239" s="2">
        <v>0</v>
      </c>
      <c r="J239" s="2">
        <v>2512.3000000000002</v>
      </c>
      <c r="K239" s="2">
        <v>0</v>
      </c>
      <c r="L239" s="2">
        <v>0</v>
      </c>
      <c r="M239" s="2">
        <v>1679.5</v>
      </c>
      <c r="N239" s="2">
        <v>1905.2</v>
      </c>
      <c r="O239" s="4">
        <f t="shared" si="14"/>
        <v>12828.400000000001</v>
      </c>
    </row>
    <row r="240" spans="1:15" x14ac:dyDescent="0.5">
      <c r="A240">
        <v>96</v>
      </c>
      <c r="B240">
        <v>96</v>
      </c>
      <c r="C240" t="s">
        <v>20</v>
      </c>
      <c r="D240" s="2">
        <v>51.4</v>
      </c>
      <c r="E240" s="2">
        <v>109.8</v>
      </c>
      <c r="F240" s="2">
        <v>211.3</v>
      </c>
      <c r="G240" s="2">
        <v>315.60000000000002</v>
      </c>
      <c r="H240" s="2">
        <v>1727.9</v>
      </c>
      <c r="I240" s="2">
        <v>1454.2</v>
      </c>
      <c r="J240" s="2">
        <v>1044.5</v>
      </c>
      <c r="K240" s="2">
        <v>2432.6999999999998</v>
      </c>
      <c r="L240" s="2">
        <v>1451.2</v>
      </c>
      <c r="M240" s="2">
        <v>1463.6</v>
      </c>
      <c r="N240" s="2">
        <v>431.1</v>
      </c>
      <c r="O240" s="4">
        <f t="shared" si="14"/>
        <v>10693.300000000001</v>
      </c>
    </row>
    <row r="241" spans="1:15" x14ac:dyDescent="0.5">
      <c r="A241">
        <v>121</v>
      </c>
      <c r="B241">
        <v>121</v>
      </c>
      <c r="C241" t="s">
        <v>21</v>
      </c>
      <c r="D241" s="2">
        <v>75.099999999999994</v>
      </c>
      <c r="E241" s="2">
        <v>0</v>
      </c>
      <c r="F241" s="2">
        <v>0</v>
      </c>
      <c r="G241" s="2">
        <v>1216.7</v>
      </c>
      <c r="H241" s="2">
        <v>0</v>
      </c>
      <c r="I241" s="2">
        <v>0</v>
      </c>
      <c r="J241" s="2">
        <v>803</v>
      </c>
      <c r="K241" s="2">
        <v>0</v>
      </c>
      <c r="L241" s="2">
        <v>0</v>
      </c>
      <c r="M241" s="2">
        <v>1162.2</v>
      </c>
      <c r="N241" s="2">
        <v>712.5</v>
      </c>
      <c r="O241" s="4">
        <f t="shared" si="14"/>
        <v>3969.5</v>
      </c>
    </row>
    <row r="242" spans="1:15" x14ac:dyDescent="0.5">
      <c r="A242">
        <v>126</v>
      </c>
      <c r="B242">
        <v>126</v>
      </c>
      <c r="C242" t="s">
        <v>22</v>
      </c>
      <c r="D242" s="2">
        <v>465.9</v>
      </c>
      <c r="E242" s="2">
        <v>491.7</v>
      </c>
      <c r="F242" s="2">
        <v>255.5</v>
      </c>
      <c r="G242" s="2">
        <v>527</v>
      </c>
      <c r="H242" s="2">
        <v>632.4</v>
      </c>
      <c r="I242" s="2">
        <v>0</v>
      </c>
      <c r="J242" s="2">
        <v>1235.2</v>
      </c>
      <c r="K242" s="2">
        <v>1124.2</v>
      </c>
      <c r="L242" s="2">
        <v>0</v>
      </c>
      <c r="M242" s="2">
        <v>758</v>
      </c>
      <c r="N242" s="2">
        <v>509.4</v>
      </c>
      <c r="O242" s="4">
        <f t="shared" si="14"/>
        <v>5999.2999999999993</v>
      </c>
    </row>
    <row r="243" spans="1:15" x14ac:dyDescent="0.5">
      <c r="A243">
        <v>127</v>
      </c>
      <c r="B243">
        <v>127</v>
      </c>
      <c r="C243" t="s">
        <v>55</v>
      </c>
      <c r="D243" s="2">
        <v>6.8</v>
      </c>
      <c r="E243" s="2">
        <v>0</v>
      </c>
      <c r="F243" s="2">
        <v>0</v>
      </c>
      <c r="G243" s="2">
        <v>310.39999999999998</v>
      </c>
      <c r="H243" s="2">
        <v>0</v>
      </c>
      <c r="I243" s="2">
        <v>0</v>
      </c>
      <c r="J243" s="2">
        <v>424</v>
      </c>
      <c r="K243" s="2">
        <v>0</v>
      </c>
      <c r="L243" s="2">
        <v>0</v>
      </c>
      <c r="M243" s="2">
        <v>0</v>
      </c>
      <c r="N243" s="2">
        <v>59.6</v>
      </c>
      <c r="O243" s="4">
        <f t="shared" si="14"/>
        <v>800.80000000000007</v>
      </c>
    </row>
    <row r="244" spans="1:15" x14ac:dyDescent="0.5">
      <c r="A244">
        <v>131</v>
      </c>
      <c r="B244">
        <v>131</v>
      </c>
      <c r="C244" t="s">
        <v>23</v>
      </c>
      <c r="D244" s="2">
        <v>190</v>
      </c>
      <c r="E244" s="2">
        <v>36.9</v>
      </c>
      <c r="F244" s="2">
        <v>27.7</v>
      </c>
      <c r="G244" s="2">
        <v>996.5</v>
      </c>
      <c r="H244" s="2">
        <v>948.9</v>
      </c>
      <c r="I244" s="2">
        <v>548.6</v>
      </c>
      <c r="J244" s="2">
        <v>1002.6</v>
      </c>
      <c r="K244" s="2">
        <v>1004.6</v>
      </c>
      <c r="L244" s="2">
        <v>0</v>
      </c>
      <c r="M244" s="2">
        <v>792.5</v>
      </c>
      <c r="N244" s="2">
        <v>171.6</v>
      </c>
      <c r="O244" s="4">
        <f t="shared" si="14"/>
        <v>5719.9000000000005</v>
      </c>
    </row>
    <row r="245" spans="1:15" x14ac:dyDescent="0.5">
      <c r="A245">
        <v>134</v>
      </c>
      <c r="B245">
        <v>134</v>
      </c>
      <c r="C245" t="s">
        <v>24</v>
      </c>
      <c r="D245" s="2">
        <v>92</v>
      </c>
      <c r="E245" s="2">
        <v>0</v>
      </c>
      <c r="F245" s="2">
        <v>0</v>
      </c>
      <c r="G245" s="2">
        <v>1134.5999999999999</v>
      </c>
      <c r="H245" s="2">
        <v>0</v>
      </c>
      <c r="I245" s="2">
        <v>0</v>
      </c>
      <c r="J245" s="2">
        <v>1897.6</v>
      </c>
      <c r="K245" s="2">
        <v>0</v>
      </c>
      <c r="L245" s="2">
        <v>0</v>
      </c>
      <c r="M245" s="2">
        <v>1029</v>
      </c>
      <c r="N245" s="2">
        <v>74.099999999999994</v>
      </c>
      <c r="O245" s="4">
        <f t="shared" si="14"/>
        <v>4227.3</v>
      </c>
    </row>
    <row r="246" spans="1:15" x14ac:dyDescent="0.5">
      <c r="A246">
        <v>135</v>
      </c>
      <c r="B246">
        <v>135</v>
      </c>
      <c r="C246" t="s">
        <v>25</v>
      </c>
      <c r="D246" s="2">
        <v>727.8</v>
      </c>
      <c r="E246" s="2">
        <v>1423.6</v>
      </c>
      <c r="F246" s="2">
        <v>808.4</v>
      </c>
      <c r="G246" s="2">
        <v>1221.7</v>
      </c>
      <c r="H246" s="2">
        <v>1553.4</v>
      </c>
      <c r="I246" s="2">
        <v>1509.9</v>
      </c>
      <c r="J246" s="2">
        <v>1640</v>
      </c>
      <c r="K246" s="2">
        <v>2130.9</v>
      </c>
      <c r="L246" s="2">
        <v>0</v>
      </c>
      <c r="M246" s="2">
        <v>1685.8</v>
      </c>
      <c r="N246" s="2">
        <v>1185.8</v>
      </c>
      <c r="O246" s="4">
        <f t="shared" si="14"/>
        <v>13887.299999999997</v>
      </c>
    </row>
    <row r="247" spans="1:15" x14ac:dyDescent="0.5">
      <c r="A247">
        <v>156</v>
      </c>
      <c r="B247">
        <v>156</v>
      </c>
      <c r="C247" t="s">
        <v>26</v>
      </c>
      <c r="D247" s="2">
        <v>0</v>
      </c>
      <c r="E247" s="2">
        <v>0</v>
      </c>
      <c r="F247" s="2">
        <v>0</v>
      </c>
      <c r="G247" s="2">
        <v>0</v>
      </c>
      <c r="H247" s="2">
        <v>419.9</v>
      </c>
      <c r="I247" s="2">
        <v>699.1</v>
      </c>
      <c r="J247" s="2">
        <v>0</v>
      </c>
      <c r="K247" s="2">
        <v>0</v>
      </c>
      <c r="L247" s="2">
        <v>875.3</v>
      </c>
      <c r="M247" s="2">
        <v>218.8</v>
      </c>
      <c r="N247" s="2">
        <v>303.89999999999998</v>
      </c>
      <c r="O247" s="4">
        <f t="shared" si="14"/>
        <v>2517</v>
      </c>
    </row>
    <row r="248" spans="1:15" x14ac:dyDescent="0.5">
      <c r="A248">
        <v>159</v>
      </c>
      <c r="B248">
        <v>159</v>
      </c>
      <c r="C248" t="s">
        <v>27</v>
      </c>
      <c r="D248" s="2">
        <v>721.7</v>
      </c>
      <c r="E248" s="2">
        <v>0</v>
      </c>
      <c r="F248" s="2">
        <v>0</v>
      </c>
      <c r="G248" s="2">
        <v>1105.9000000000001</v>
      </c>
      <c r="H248" s="2">
        <v>0</v>
      </c>
      <c r="I248" s="2">
        <v>0</v>
      </c>
      <c r="J248" s="2">
        <v>3135.7</v>
      </c>
      <c r="K248" s="2">
        <v>0</v>
      </c>
      <c r="L248" s="2">
        <v>0</v>
      </c>
      <c r="M248" s="2">
        <v>838.3</v>
      </c>
      <c r="N248" s="2">
        <v>845.8</v>
      </c>
      <c r="O248" s="4">
        <f t="shared" si="14"/>
        <v>6647.4000000000005</v>
      </c>
    </row>
    <row r="249" spans="1:15" x14ac:dyDescent="0.5">
      <c r="A249">
        <v>178</v>
      </c>
      <c r="B249">
        <v>178</v>
      </c>
      <c r="C249" t="s">
        <v>56</v>
      </c>
      <c r="D249" s="2">
        <v>21.7</v>
      </c>
      <c r="E249" s="2">
        <v>231.6</v>
      </c>
      <c r="F249" s="2">
        <v>0</v>
      </c>
      <c r="G249" s="2">
        <v>517.29999999999995</v>
      </c>
      <c r="H249" s="2">
        <v>0</v>
      </c>
      <c r="I249" s="2">
        <v>0</v>
      </c>
      <c r="J249" s="2">
        <v>1642.2</v>
      </c>
      <c r="K249" s="2">
        <v>0</v>
      </c>
      <c r="L249" s="2">
        <v>0</v>
      </c>
      <c r="M249" s="2">
        <v>937.9</v>
      </c>
      <c r="N249" s="2">
        <v>200.8</v>
      </c>
      <c r="O249" s="4">
        <f t="shared" si="14"/>
        <v>3551.5000000000005</v>
      </c>
    </row>
    <row r="250" spans="1:15" x14ac:dyDescent="0.5">
      <c r="A250">
        <v>179</v>
      </c>
      <c r="B250">
        <v>179</v>
      </c>
      <c r="C250" t="s">
        <v>28</v>
      </c>
      <c r="D250" s="2">
        <v>0</v>
      </c>
      <c r="E250" s="2">
        <v>602.1</v>
      </c>
      <c r="F250" s="2">
        <v>0</v>
      </c>
      <c r="G250" s="2">
        <v>1040.5</v>
      </c>
      <c r="H250" s="2">
        <v>831.6</v>
      </c>
      <c r="I250" s="2">
        <v>0</v>
      </c>
      <c r="J250" s="2">
        <v>0</v>
      </c>
      <c r="K250" s="2">
        <v>796.8</v>
      </c>
      <c r="L250" s="2">
        <v>0</v>
      </c>
      <c r="M250" s="2">
        <v>1191.8</v>
      </c>
      <c r="N250" s="2">
        <v>781.8</v>
      </c>
      <c r="O250" s="4">
        <f t="shared" si="14"/>
        <v>5244.6</v>
      </c>
    </row>
    <row r="251" spans="1:15" x14ac:dyDescent="0.5">
      <c r="A251">
        <v>188</v>
      </c>
      <c r="B251">
        <v>188</v>
      </c>
      <c r="C251" t="s">
        <v>29</v>
      </c>
      <c r="D251" s="2">
        <v>213.9</v>
      </c>
      <c r="E251" s="2">
        <v>147.30000000000001</v>
      </c>
      <c r="F251" s="2">
        <v>532</v>
      </c>
      <c r="G251" s="2">
        <v>469.7</v>
      </c>
      <c r="H251" s="2">
        <v>564.6</v>
      </c>
      <c r="I251" s="2">
        <v>1024.9000000000001</v>
      </c>
      <c r="J251" s="2">
        <v>1761.4</v>
      </c>
      <c r="K251" s="2">
        <v>2064.3000000000002</v>
      </c>
      <c r="L251" s="2">
        <v>2119</v>
      </c>
      <c r="M251" s="2">
        <v>1075</v>
      </c>
      <c r="N251" s="2">
        <v>456.3</v>
      </c>
      <c r="O251" s="4">
        <f t="shared" si="14"/>
        <v>10428.4</v>
      </c>
    </row>
    <row r="252" spans="1:15" x14ac:dyDescent="0.5">
      <c r="A252">
        <v>189</v>
      </c>
      <c r="B252">
        <v>189</v>
      </c>
      <c r="C252" t="s">
        <v>30</v>
      </c>
      <c r="D252" s="2">
        <v>159.80000000000001</v>
      </c>
      <c r="E252" s="2">
        <v>163.1</v>
      </c>
      <c r="F252" s="2">
        <v>0</v>
      </c>
      <c r="G252" s="2">
        <v>433.1</v>
      </c>
      <c r="H252" s="2">
        <v>935.7</v>
      </c>
      <c r="I252" s="2">
        <v>774.4</v>
      </c>
      <c r="J252" s="2">
        <v>0</v>
      </c>
      <c r="K252" s="2">
        <v>1278.4000000000001</v>
      </c>
      <c r="L252" s="2">
        <v>0</v>
      </c>
      <c r="M252" s="2">
        <v>1419.4</v>
      </c>
      <c r="N252" s="2">
        <v>460.4</v>
      </c>
      <c r="O252" s="4">
        <f t="shared" si="14"/>
        <v>5624.2999999999993</v>
      </c>
    </row>
    <row r="253" spans="1:15" x14ac:dyDescent="0.5">
      <c r="A253">
        <v>203</v>
      </c>
      <c r="B253">
        <v>203</v>
      </c>
      <c r="C253" t="s">
        <v>31</v>
      </c>
      <c r="D253" s="2">
        <v>1356.2</v>
      </c>
      <c r="E253" s="2">
        <v>847.2</v>
      </c>
      <c r="F253" s="2">
        <v>538</v>
      </c>
      <c r="G253" s="2">
        <v>1745</v>
      </c>
      <c r="H253" s="2">
        <v>1410.8</v>
      </c>
      <c r="I253" s="2">
        <v>1123.9000000000001</v>
      </c>
      <c r="J253" s="2">
        <v>1904</v>
      </c>
      <c r="K253" s="2">
        <v>0</v>
      </c>
      <c r="L253" s="2">
        <v>0</v>
      </c>
      <c r="M253" s="2">
        <v>1974.8</v>
      </c>
      <c r="N253" s="2">
        <v>631</v>
      </c>
      <c r="O253" s="4">
        <f t="shared" si="14"/>
        <v>11530.9</v>
      </c>
    </row>
    <row r="254" spans="1:15" x14ac:dyDescent="0.5">
      <c r="A254">
        <v>204</v>
      </c>
      <c r="B254">
        <v>204</v>
      </c>
      <c r="C254" t="s">
        <v>32</v>
      </c>
      <c r="D254" s="2">
        <v>319.2</v>
      </c>
      <c r="E254" s="2">
        <v>0</v>
      </c>
      <c r="F254" s="2">
        <v>220.1</v>
      </c>
      <c r="G254" s="2">
        <v>690.8</v>
      </c>
      <c r="H254" s="2">
        <v>350.6</v>
      </c>
      <c r="I254" s="2">
        <v>788.4</v>
      </c>
      <c r="J254" s="2">
        <v>1665.8</v>
      </c>
      <c r="K254" s="2">
        <v>0</v>
      </c>
      <c r="L254" s="2">
        <v>1394</v>
      </c>
      <c r="M254" s="2">
        <v>764</v>
      </c>
      <c r="N254" s="2">
        <v>390</v>
      </c>
      <c r="O254" s="4">
        <f t="shared" si="14"/>
        <v>6582.9</v>
      </c>
    </row>
    <row r="255" spans="1:15" x14ac:dyDescent="0.5">
      <c r="D255" s="4">
        <f t="shared" ref="D255:N255" si="15">SUM(D229:D254)</f>
        <v>13537.3</v>
      </c>
      <c r="E255" s="4">
        <f t="shared" si="15"/>
        <v>9608.7000000000007</v>
      </c>
      <c r="F255" s="4">
        <f t="shared" si="15"/>
        <v>4213.8999999999996</v>
      </c>
      <c r="G255" s="4">
        <f t="shared" si="15"/>
        <v>23893.399999999998</v>
      </c>
      <c r="H255" s="4">
        <f t="shared" si="15"/>
        <v>20224.999999999993</v>
      </c>
      <c r="I255" s="4">
        <f t="shared" si="15"/>
        <v>13873.199999999999</v>
      </c>
      <c r="J255" s="4">
        <f t="shared" si="15"/>
        <v>32188.1</v>
      </c>
      <c r="K255" s="4">
        <f t="shared" si="15"/>
        <v>17227.8</v>
      </c>
      <c r="L255" s="4">
        <f t="shared" si="15"/>
        <v>9030.2999999999993</v>
      </c>
      <c r="M255" s="4">
        <f t="shared" si="15"/>
        <v>29027.100000000002</v>
      </c>
      <c r="N255" s="4">
        <f t="shared" si="15"/>
        <v>18967.2</v>
      </c>
      <c r="O255" s="4">
        <f>SUM(D255:N255)</f>
        <v>191791.99999999997</v>
      </c>
    </row>
    <row r="256" spans="1:15" x14ac:dyDescent="0.5">
      <c r="A256" t="s">
        <v>44</v>
      </c>
      <c r="D256" s="2"/>
      <c r="E256" s="2"/>
      <c r="F256" s="2"/>
      <c r="G256" s="2"/>
      <c r="H256" s="2"/>
      <c r="I256" s="2"/>
      <c r="J256" s="2"/>
      <c r="K256" s="2"/>
      <c r="L256" s="2"/>
      <c r="M256" s="2"/>
      <c r="N256" s="2"/>
      <c r="O256" s="4"/>
    </row>
    <row r="257" spans="1:15" x14ac:dyDescent="0.5">
      <c r="A257">
        <v>13</v>
      </c>
      <c r="B257">
        <v>13</v>
      </c>
      <c r="C257" t="s">
        <v>12</v>
      </c>
      <c r="D257" s="2">
        <v>0</v>
      </c>
      <c r="E257" s="2">
        <v>0</v>
      </c>
      <c r="F257" s="2">
        <v>0</v>
      </c>
      <c r="G257" s="2">
        <v>0</v>
      </c>
      <c r="H257" s="2">
        <v>2180646.5</v>
      </c>
      <c r="I257" s="2">
        <v>9745165</v>
      </c>
      <c r="J257" s="2">
        <v>0</v>
      </c>
      <c r="K257" s="2">
        <v>172549.2</v>
      </c>
      <c r="L257" s="2">
        <v>56780.3</v>
      </c>
      <c r="M257" s="2">
        <v>170858.9</v>
      </c>
      <c r="N257" s="2">
        <v>463305.6</v>
      </c>
      <c r="O257" s="4">
        <f>SUM(D257:N257)</f>
        <v>12789305.5</v>
      </c>
    </row>
    <row r="258" spans="1:15" x14ac:dyDescent="0.5">
      <c r="A258">
        <v>15</v>
      </c>
      <c r="B258">
        <v>15</v>
      </c>
      <c r="C258" t="s">
        <v>13</v>
      </c>
      <c r="D258" s="2">
        <v>3732076</v>
      </c>
      <c r="E258" s="2">
        <v>1647453.9</v>
      </c>
      <c r="F258" s="2">
        <v>0</v>
      </c>
      <c r="G258" s="2">
        <v>12222407</v>
      </c>
      <c r="H258" s="2">
        <v>13917421</v>
      </c>
      <c r="I258" s="2">
        <v>0</v>
      </c>
      <c r="J258" s="2">
        <v>0</v>
      </c>
      <c r="K258" s="2">
        <v>137932.20000000001</v>
      </c>
      <c r="L258" s="2">
        <v>0</v>
      </c>
      <c r="M258" s="2">
        <v>709607.7</v>
      </c>
      <c r="N258" s="2">
        <v>224195.3</v>
      </c>
      <c r="O258" s="4">
        <f t="shared" ref="O258:O282" si="16">SUM(D258:N258)</f>
        <v>32591093.099999998</v>
      </c>
    </row>
    <row r="259" spans="1:15" x14ac:dyDescent="0.5">
      <c r="A259">
        <v>16</v>
      </c>
      <c r="B259">
        <v>16</v>
      </c>
      <c r="C259" t="s">
        <v>52</v>
      </c>
      <c r="D259" s="2">
        <v>10164106</v>
      </c>
      <c r="E259" s="2">
        <v>882659.4</v>
      </c>
      <c r="F259" s="2">
        <v>0</v>
      </c>
      <c r="G259" s="2">
        <v>136663504</v>
      </c>
      <c r="H259" s="2">
        <v>454723.7</v>
      </c>
      <c r="I259" s="2">
        <v>0</v>
      </c>
      <c r="J259" s="2">
        <v>22499.5</v>
      </c>
      <c r="K259" s="2">
        <v>0</v>
      </c>
      <c r="L259" s="2">
        <v>0</v>
      </c>
      <c r="M259" s="2">
        <v>2562090.7999999998</v>
      </c>
      <c r="N259" s="2">
        <v>273671.40000000002</v>
      </c>
      <c r="O259" s="4">
        <f t="shared" si="16"/>
        <v>151023254.80000001</v>
      </c>
    </row>
    <row r="260" spans="1:15" x14ac:dyDescent="0.5">
      <c r="A260">
        <v>30</v>
      </c>
      <c r="B260">
        <v>30</v>
      </c>
      <c r="C260" t="s">
        <v>53</v>
      </c>
      <c r="D260" s="2">
        <v>10826016</v>
      </c>
      <c r="E260" s="2">
        <v>0</v>
      </c>
      <c r="F260" s="2">
        <v>0</v>
      </c>
      <c r="G260" s="2">
        <v>3500289.5</v>
      </c>
      <c r="H260" s="2">
        <v>0</v>
      </c>
      <c r="I260" s="2">
        <v>0</v>
      </c>
      <c r="J260" s="2">
        <v>0</v>
      </c>
      <c r="K260" s="2">
        <v>0</v>
      </c>
      <c r="L260" s="2">
        <v>0</v>
      </c>
      <c r="M260" s="2">
        <v>2025647.1</v>
      </c>
      <c r="N260" s="2">
        <v>138080.70000000001</v>
      </c>
      <c r="O260" s="4">
        <f t="shared" si="16"/>
        <v>16490033.299999999</v>
      </c>
    </row>
    <row r="261" spans="1:15" x14ac:dyDescent="0.5">
      <c r="A261">
        <v>37</v>
      </c>
      <c r="B261">
        <v>37</v>
      </c>
      <c r="C261" t="s">
        <v>14</v>
      </c>
      <c r="D261" s="2">
        <v>1735308.1</v>
      </c>
      <c r="E261" s="2">
        <v>2987506.8</v>
      </c>
      <c r="F261" s="2">
        <v>0</v>
      </c>
      <c r="G261" s="2">
        <v>4461473.5</v>
      </c>
      <c r="H261" s="2">
        <v>19972056</v>
      </c>
      <c r="I261" s="2">
        <v>0</v>
      </c>
      <c r="J261" s="2">
        <v>0</v>
      </c>
      <c r="K261" s="2">
        <v>409809.1</v>
      </c>
      <c r="L261" s="2">
        <v>0</v>
      </c>
      <c r="M261" s="2">
        <v>103535.7</v>
      </c>
      <c r="N261" s="2">
        <v>225020.9</v>
      </c>
      <c r="O261" s="4">
        <f t="shared" si="16"/>
        <v>29894710.099999998</v>
      </c>
    </row>
    <row r="262" spans="1:15" x14ac:dyDescent="0.5">
      <c r="A262">
        <v>38</v>
      </c>
      <c r="B262">
        <v>38</v>
      </c>
      <c r="C262" t="s">
        <v>54</v>
      </c>
      <c r="D262" s="2">
        <v>5038927.5</v>
      </c>
      <c r="E262" s="2">
        <v>67079640</v>
      </c>
      <c r="F262" s="2">
        <v>5539977</v>
      </c>
      <c r="G262" s="2">
        <v>51902728</v>
      </c>
      <c r="H262" s="2">
        <v>23061676</v>
      </c>
      <c r="I262" s="2">
        <v>22409188</v>
      </c>
      <c r="J262" s="2">
        <v>510469.4</v>
      </c>
      <c r="K262" s="2">
        <v>0</v>
      </c>
      <c r="L262" s="2">
        <v>0</v>
      </c>
      <c r="M262" s="2">
        <v>1851825</v>
      </c>
      <c r="N262" s="2">
        <v>8719749</v>
      </c>
      <c r="O262" s="4">
        <f t="shared" si="16"/>
        <v>186114179.90000001</v>
      </c>
    </row>
    <row r="263" spans="1:15" x14ac:dyDescent="0.5">
      <c r="A263">
        <v>60</v>
      </c>
      <c r="B263">
        <v>60</v>
      </c>
      <c r="C263" t="s">
        <v>15</v>
      </c>
      <c r="D263" s="2">
        <v>5460639</v>
      </c>
      <c r="E263" s="2">
        <v>3494658</v>
      </c>
      <c r="F263" s="2">
        <v>4964050</v>
      </c>
      <c r="G263" s="2">
        <v>53234784</v>
      </c>
      <c r="H263" s="2">
        <v>83358280</v>
      </c>
      <c r="I263" s="2">
        <v>803086592</v>
      </c>
      <c r="J263" s="2">
        <v>1209101.5</v>
      </c>
      <c r="K263" s="2">
        <v>309352.2</v>
      </c>
      <c r="L263" s="2">
        <v>18157596</v>
      </c>
      <c r="M263" s="2">
        <v>11404492</v>
      </c>
      <c r="N263" s="2">
        <v>39837472</v>
      </c>
      <c r="O263" s="4">
        <f t="shared" si="16"/>
        <v>1024517016.7</v>
      </c>
    </row>
    <row r="264" spans="1:15" x14ac:dyDescent="0.5">
      <c r="A264">
        <v>67</v>
      </c>
      <c r="B264">
        <v>67</v>
      </c>
      <c r="C264" t="s">
        <v>16</v>
      </c>
      <c r="D264" s="2">
        <v>1837501.9</v>
      </c>
      <c r="E264" s="2">
        <v>3002021.5</v>
      </c>
      <c r="F264" s="2">
        <v>0</v>
      </c>
      <c r="G264" s="2">
        <v>11815492</v>
      </c>
      <c r="H264" s="2">
        <v>29489090</v>
      </c>
      <c r="I264" s="2">
        <v>0</v>
      </c>
      <c r="J264" s="2">
        <v>57583.3</v>
      </c>
      <c r="K264" s="2">
        <v>0</v>
      </c>
      <c r="L264" s="2">
        <v>0</v>
      </c>
      <c r="M264" s="2">
        <v>1103080.6000000001</v>
      </c>
      <c r="N264" s="2">
        <v>1189255.8999999999</v>
      </c>
      <c r="O264" s="4">
        <f t="shared" si="16"/>
        <v>48494025.199999996</v>
      </c>
    </row>
    <row r="265" spans="1:15" x14ac:dyDescent="0.5">
      <c r="A265">
        <v>69</v>
      </c>
      <c r="B265">
        <v>69</v>
      </c>
      <c r="C265" t="s">
        <v>17</v>
      </c>
      <c r="D265" s="2">
        <v>4486475.5</v>
      </c>
      <c r="E265" s="2">
        <v>3662068.5</v>
      </c>
      <c r="F265" s="2">
        <v>0</v>
      </c>
      <c r="G265" s="2">
        <v>8129060</v>
      </c>
      <c r="H265" s="2">
        <v>87938968</v>
      </c>
      <c r="I265" s="2">
        <v>0</v>
      </c>
      <c r="J265" s="2">
        <v>78599.600000000006</v>
      </c>
      <c r="K265" s="2">
        <v>95405.3</v>
      </c>
      <c r="L265" s="2">
        <v>0</v>
      </c>
      <c r="M265" s="2">
        <v>899220.4</v>
      </c>
      <c r="N265" s="2">
        <v>6198745.5</v>
      </c>
      <c r="O265" s="4">
        <f t="shared" si="16"/>
        <v>111488542.8</v>
      </c>
    </row>
    <row r="266" spans="1:15" x14ac:dyDescent="0.5">
      <c r="A266">
        <v>71</v>
      </c>
      <c r="B266">
        <v>71</v>
      </c>
      <c r="C266" t="s">
        <v>18</v>
      </c>
      <c r="D266" s="2">
        <v>124427.5</v>
      </c>
      <c r="E266" s="2">
        <v>0</v>
      </c>
      <c r="F266" s="2">
        <v>0</v>
      </c>
      <c r="G266" s="2">
        <v>6900243.5</v>
      </c>
      <c r="H266" s="2">
        <v>0</v>
      </c>
      <c r="I266" s="2">
        <v>0</v>
      </c>
      <c r="J266" s="2">
        <v>0</v>
      </c>
      <c r="K266" s="2">
        <v>0</v>
      </c>
      <c r="L266" s="2">
        <v>0</v>
      </c>
      <c r="M266" s="2">
        <v>303445.90000000002</v>
      </c>
      <c r="N266" s="2">
        <v>502940.8</v>
      </c>
      <c r="O266" s="4">
        <f t="shared" si="16"/>
        <v>7831057.7000000002</v>
      </c>
    </row>
    <row r="267" spans="1:15" x14ac:dyDescent="0.5">
      <c r="A267">
        <v>72</v>
      </c>
      <c r="B267">
        <v>72</v>
      </c>
      <c r="C267" t="s">
        <v>19</v>
      </c>
      <c r="D267" s="2">
        <v>1515604</v>
      </c>
      <c r="E267" s="2">
        <v>0</v>
      </c>
      <c r="F267" s="2">
        <v>0</v>
      </c>
      <c r="G267" s="2">
        <v>5309104</v>
      </c>
      <c r="H267" s="2">
        <v>325534.7</v>
      </c>
      <c r="I267" s="2">
        <v>0</v>
      </c>
      <c r="J267" s="2">
        <v>193445.1</v>
      </c>
      <c r="K267" s="2">
        <v>0</v>
      </c>
      <c r="L267" s="2">
        <v>0</v>
      </c>
      <c r="M267" s="2">
        <v>99596.5</v>
      </c>
      <c r="N267" s="2">
        <v>1357088.5</v>
      </c>
      <c r="O267" s="4">
        <f t="shared" si="16"/>
        <v>8800372.8000000007</v>
      </c>
    </row>
    <row r="268" spans="1:15" x14ac:dyDescent="0.5">
      <c r="A268">
        <v>96</v>
      </c>
      <c r="B268">
        <v>96</v>
      </c>
      <c r="C268" t="s">
        <v>20</v>
      </c>
      <c r="D268" s="2">
        <v>4349977.5</v>
      </c>
      <c r="E268" s="2">
        <v>2131947</v>
      </c>
      <c r="F268" s="2">
        <v>20681038</v>
      </c>
      <c r="G268" s="2">
        <v>8707013</v>
      </c>
      <c r="H268" s="2">
        <v>43958168</v>
      </c>
      <c r="I268" s="2">
        <v>159983600</v>
      </c>
      <c r="J268" s="2">
        <v>1003996.2</v>
      </c>
      <c r="K268" s="2">
        <v>3994643.8</v>
      </c>
      <c r="L268" s="2">
        <v>2351657.2999999998</v>
      </c>
      <c r="M268" s="2">
        <v>9842577</v>
      </c>
      <c r="N268" s="2">
        <v>61371188</v>
      </c>
      <c r="O268" s="4">
        <f t="shared" si="16"/>
        <v>318375805.80000001</v>
      </c>
    </row>
    <row r="269" spans="1:15" x14ac:dyDescent="0.5">
      <c r="A269">
        <v>121</v>
      </c>
      <c r="B269">
        <v>121</v>
      </c>
      <c r="C269" t="s">
        <v>21</v>
      </c>
      <c r="D269" s="2">
        <v>19449026</v>
      </c>
      <c r="E269" s="2">
        <v>0</v>
      </c>
      <c r="F269" s="2">
        <v>0</v>
      </c>
      <c r="G269" s="2">
        <v>78503232</v>
      </c>
      <c r="H269" s="2">
        <v>0</v>
      </c>
      <c r="I269" s="2">
        <v>0</v>
      </c>
      <c r="J269" s="2">
        <v>735946.1</v>
      </c>
      <c r="K269" s="2">
        <v>0</v>
      </c>
      <c r="L269" s="2">
        <v>0</v>
      </c>
      <c r="M269" s="2">
        <v>494344.7</v>
      </c>
      <c r="N269" s="2">
        <v>671910.40000000002</v>
      </c>
      <c r="O269" s="4">
        <f t="shared" si="16"/>
        <v>99854459.200000003</v>
      </c>
    </row>
    <row r="270" spans="1:15" x14ac:dyDescent="0.5">
      <c r="A270">
        <v>126</v>
      </c>
      <c r="B270">
        <v>126</v>
      </c>
      <c r="C270" t="s">
        <v>22</v>
      </c>
      <c r="D270" s="2">
        <v>2870630</v>
      </c>
      <c r="E270" s="2">
        <v>633149.69999999995</v>
      </c>
      <c r="F270" s="2">
        <v>34710.199999999997</v>
      </c>
      <c r="G270" s="2">
        <v>2814820.3</v>
      </c>
      <c r="H270" s="2">
        <v>3258467.8</v>
      </c>
      <c r="I270" s="2">
        <v>0</v>
      </c>
      <c r="J270" s="2">
        <v>57715.199999999997</v>
      </c>
      <c r="K270" s="2">
        <v>109682.2</v>
      </c>
      <c r="L270" s="2">
        <v>0</v>
      </c>
      <c r="M270" s="2">
        <v>1613925.5</v>
      </c>
      <c r="N270" s="2">
        <v>11842368</v>
      </c>
      <c r="O270" s="4">
        <f t="shared" si="16"/>
        <v>23235468.899999999</v>
      </c>
    </row>
    <row r="271" spans="1:15" x14ac:dyDescent="0.5">
      <c r="A271">
        <v>127</v>
      </c>
      <c r="B271">
        <v>127</v>
      </c>
      <c r="C271" t="s">
        <v>55</v>
      </c>
      <c r="D271" s="2">
        <v>8023085.5</v>
      </c>
      <c r="E271" s="2">
        <v>0</v>
      </c>
      <c r="F271" s="2">
        <v>0</v>
      </c>
      <c r="G271" s="2">
        <v>11951274</v>
      </c>
      <c r="H271" s="2">
        <v>0</v>
      </c>
      <c r="I271" s="2">
        <v>0</v>
      </c>
      <c r="J271" s="2">
        <v>330405.09999999998</v>
      </c>
      <c r="K271" s="2">
        <v>0</v>
      </c>
      <c r="L271" s="2">
        <v>0</v>
      </c>
      <c r="M271" s="2">
        <v>15900.9</v>
      </c>
      <c r="N271" s="2">
        <v>4577.8</v>
      </c>
      <c r="O271" s="4">
        <f t="shared" si="16"/>
        <v>20325243.300000001</v>
      </c>
    </row>
    <row r="272" spans="1:15" x14ac:dyDescent="0.5">
      <c r="A272">
        <v>131</v>
      </c>
      <c r="B272">
        <v>131</v>
      </c>
      <c r="C272" t="s">
        <v>23</v>
      </c>
      <c r="D272" s="2">
        <v>418374.2</v>
      </c>
      <c r="E272" s="2">
        <v>1889651.6</v>
      </c>
      <c r="F272" s="2">
        <v>585571.1</v>
      </c>
      <c r="G272" s="2">
        <v>4400315</v>
      </c>
      <c r="H272" s="2">
        <v>5609846.5</v>
      </c>
      <c r="I272" s="2">
        <v>1773475.3</v>
      </c>
      <c r="J272" s="2">
        <v>4242.2</v>
      </c>
      <c r="K272" s="2">
        <v>57452.4</v>
      </c>
      <c r="L272" s="2">
        <v>0</v>
      </c>
      <c r="M272" s="2">
        <v>1425591.9</v>
      </c>
      <c r="N272" s="2">
        <v>7511378.5</v>
      </c>
      <c r="O272" s="4">
        <f t="shared" si="16"/>
        <v>23675898.700000003</v>
      </c>
    </row>
    <row r="273" spans="1:15" x14ac:dyDescent="0.5">
      <c r="A273">
        <v>134</v>
      </c>
      <c r="B273">
        <v>134</v>
      </c>
      <c r="C273" t="s">
        <v>24</v>
      </c>
      <c r="D273" s="2">
        <v>25463228</v>
      </c>
      <c r="E273" s="2">
        <v>0</v>
      </c>
      <c r="F273" s="2">
        <v>0</v>
      </c>
      <c r="G273" s="2">
        <v>44059944</v>
      </c>
      <c r="H273" s="2">
        <v>0</v>
      </c>
      <c r="I273" s="2">
        <v>0</v>
      </c>
      <c r="J273" s="2">
        <v>147408.1</v>
      </c>
      <c r="K273" s="2">
        <v>0</v>
      </c>
      <c r="L273" s="2">
        <v>0</v>
      </c>
      <c r="M273" s="2">
        <v>416873.1</v>
      </c>
      <c r="N273" s="2">
        <v>74860.5</v>
      </c>
      <c r="O273" s="4">
        <f t="shared" si="16"/>
        <v>70162313.699999988</v>
      </c>
    </row>
    <row r="274" spans="1:15" x14ac:dyDescent="0.5">
      <c r="A274">
        <v>135</v>
      </c>
      <c r="B274">
        <v>135</v>
      </c>
      <c r="C274" t="s">
        <v>25</v>
      </c>
      <c r="D274" s="2">
        <v>4938042.5</v>
      </c>
      <c r="E274" s="2">
        <v>7160257.5</v>
      </c>
      <c r="F274" s="2">
        <v>0</v>
      </c>
      <c r="G274" s="2">
        <v>263870336</v>
      </c>
      <c r="H274" s="2">
        <v>219282576</v>
      </c>
      <c r="I274" s="2">
        <v>13594408</v>
      </c>
      <c r="J274" s="2">
        <v>4608183</v>
      </c>
      <c r="K274" s="2">
        <v>877706.9</v>
      </c>
      <c r="L274" s="2">
        <v>0</v>
      </c>
      <c r="M274" s="2">
        <v>6378579</v>
      </c>
      <c r="N274" s="2">
        <v>2129940</v>
      </c>
      <c r="O274" s="4">
        <f t="shared" si="16"/>
        <v>522840028.89999998</v>
      </c>
    </row>
    <row r="275" spans="1:15" x14ac:dyDescent="0.5">
      <c r="A275">
        <v>156</v>
      </c>
      <c r="B275">
        <v>156</v>
      </c>
      <c r="C275" t="s">
        <v>26</v>
      </c>
      <c r="D275" s="2">
        <v>0</v>
      </c>
      <c r="E275" s="2">
        <v>0</v>
      </c>
      <c r="F275" s="2">
        <v>0</v>
      </c>
      <c r="G275" s="2">
        <v>0</v>
      </c>
      <c r="H275" s="2">
        <v>9468351</v>
      </c>
      <c r="I275" s="2">
        <v>18599764</v>
      </c>
      <c r="J275" s="2">
        <v>0</v>
      </c>
      <c r="K275" s="2">
        <v>235594.9</v>
      </c>
      <c r="L275" s="2">
        <v>120191.8</v>
      </c>
      <c r="M275" s="2">
        <v>428053.7</v>
      </c>
      <c r="N275" s="2">
        <v>745965.3</v>
      </c>
      <c r="O275" s="4">
        <f t="shared" si="16"/>
        <v>29597920.699999999</v>
      </c>
    </row>
    <row r="276" spans="1:15" x14ac:dyDescent="0.5">
      <c r="A276">
        <v>159</v>
      </c>
      <c r="B276">
        <v>159</v>
      </c>
      <c r="C276" t="s">
        <v>27</v>
      </c>
      <c r="D276" s="2">
        <v>5300340</v>
      </c>
      <c r="E276" s="2">
        <v>0</v>
      </c>
      <c r="F276" s="2">
        <v>0</v>
      </c>
      <c r="G276" s="2">
        <v>54143148</v>
      </c>
      <c r="H276" s="2">
        <v>0</v>
      </c>
      <c r="I276" s="2">
        <v>0</v>
      </c>
      <c r="J276" s="2">
        <v>429618.2</v>
      </c>
      <c r="K276" s="2">
        <v>0</v>
      </c>
      <c r="L276" s="2">
        <v>0</v>
      </c>
      <c r="M276" s="2">
        <v>682784.7</v>
      </c>
      <c r="N276" s="2">
        <v>699203.7</v>
      </c>
      <c r="O276" s="4">
        <f t="shared" si="16"/>
        <v>61255094.600000009</v>
      </c>
    </row>
    <row r="277" spans="1:15" x14ac:dyDescent="0.5">
      <c r="A277">
        <v>178</v>
      </c>
      <c r="B277">
        <v>178</v>
      </c>
      <c r="C277" t="s">
        <v>56</v>
      </c>
      <c r="D277" s="2">
        <v>68463776</v>
      </c>
      <c r="E277" s="2">
        <v>49784.3</v>
      </c>
      <c r="F277" s="2">
        <v>0</v>
      </c>
      <c r="G277" s="2">
        <v>90998232</v>
      </c>
      <c r="H277" s="2">
        <v>0</v>
      </c>
      <c r="I277" s="2">
        <v>0</v>
      </c>
      <c r="J277" s="2">
        <v>140194.1</v>
      </c>
      <c r="K277" s="2">
        <v>0</v>
      </c>
      <c r="L277" s="2">
        <v>0</v>
      </c>
      <c r="M277" s="2">
        <v>389777.3</v>
      </c>
      <c r="N277" s="2">
        <v>981836.3</v>
      </c>
      <c r="O277" s="4">
        <f t="shared" si="16"/>
        <v>161023600.00000003</v>
      </c>
    </row>
    <row r="278" spans="1:15" x14ac:dyDescent="0.5">
      <c r="A278">
        <v>179</v>
      </c>
      <c r="B278">
        <v>179</v>
      </c>
      <c r="C278" t="s">
        <v>28</v>
      </c>
      <c r="D278" s="2">
        <v>0</v>
      </c>
      <c r="E278" s="2">
        <v>2391750.7999999998</v>
      </c>
      <c r="F278" s="2">
        <v>0</v>
      </c>
      <c r="G278" s="2">
        <v>3775132.8</v>
      </c>
      <c r="H278" s="2">
        <v>8263686.5</v>
      </c>
      <c r="I278" s="2">
        <v>0</v>
      </c>
      <c r="J278" s="2">
        <v>0</v>
      </c>
      <c r="K278" s="2">
        <v>51366</v>
      </c>
      <c r="L278" s="2">
        <v>0</v>
      </c>
      <c r="M278" s="2">
        <v>178898.2</v>
      </c>
      <c r="N278" s="2">
        <v>41976.3</v>
      </c>
      <c r="O278" s="4">
        <f t="shared" si="16"/>
        <v>14702810.6</v>
      </c>
    </row>
    <row r="279" spans="1:15" x14ac:dyDescent="0.5">
      <c r="A279">
        <v>188</v>
      </c>
      <c r="B279">
        <v>188</v>
      </c>
      <c r="C279" t="s">
        <v>29</v>
      </c>
      <c r="D279" s="2">
        <v>3762767.8</v>
      </c>
      <c r="E279" s="2">
        <v>11707509</v>
      </c>
      <c r="F279" s="2">
        <v>7767365</v>
      </c>
      <c r="G279" s="2">
        <v>33155904</v>
      </c>
      <c r="H279" s="2">
        <v>120093664</v>
      </c>
      <c r="I279" s="2">
        <v>22263232</v>
      </c>
      <c r="J279" s="2">
        <v>281975.59999999998</v>
      </c>
      <c r="K279" s="2">
        <v>67943.3</v>
      </c>
      <c r="L279" s="2">
        <v>18748.5</v>
      </c>
      <c r="M279" s="2">
        <v>1750620.9</v>
      </c>
      <c r="N279" s="2">
        <v>43406980</v>
      </c>
      <c r="O279" s="4">
        <f t="shared" si="16"/>
        <v>244276710.10000002</v>
      </c>
    </row>
    <row r="280" spans="1:15" x14ac:dyDescent="0.5">
      <c r="A280">
        <v>189</v>
      </c>
      <c r="B280">
        <v>189</v>
      </c>
      <c r="C280" t="s">
        <v>30</v>
      </c>
      <c r="D280" s="2">
        <v>481385</v>
      </c>
      <c r="E280" s="2">
        <v>8508036</v>
      </c>
      <c r="F280" s="2">
        <v>136327.1</v>
      </c>
      <c r="G280" s="2">
        <v>786835.2</v>
      </c>
      <c r="H280" s="2">
        <v>117840992</v>
      </c>
      <c r="I280" s="2">
        <v>41286912</v>
      </c>
      <c r="J280" s="2">
        <v>0</v>
      </c>
      <c r="K280" s="2">
        <v>108218.6</v>
      </c>
      <c r="L280" s="2">
        <v>0</v>
      </c>
      <c r="M280" s="2">
        <v>524253.9</v>
      </c>
      <c r="N280" s="2">
        <v>14134095</v>
      </c>
      <c r="O280" s="4">
        <f t="shared" si="16"/>
        <v>183807054.80000001</v>
      </c>
    </row>
    <row r="281" spans="1:15" x14ac:dyDescent="0.5">
      <c r="A281">
        <v>203</v>
      </c>
      <c r="B281">
        <v>203</v>
      </c>
      <c r="C281" t="s">
        <v>31</v>
      </c>
      <c r="D281" s="2">
        <v>14514997</v>
      </c>
      <c r="E281" s="2">
        <v>223812.3</v>
      </c>
      <c r="F281" s="2">
        <v>877910.1</v>
      </c>
      <c r="G281" s="2">
        <v>4354334</v>
      </c>
      <c r="H281" s="2">
        <v>147210.70000000001</v>
      </c>
      <c r="I281" s="2">
        <v>0</v>
      </c>
      <c r="J281" s="2">
        <v>42420.3</v>
      </c>
      <c r="K281" s="2">
        <v>0</v>
      </c>
      <c r="L281" s="2">
        <v>0</v>
      </c>
      <c r="M281" s="2">
        <v>2233704.7999999998</v>
      </c>
      <c r="N281" s="2">
        <v>17079824</v>
      </c>
      <c r="O281" s="4">
        <f t="shared" si="16"/>
        <v>39474213.200000003</v>
      </c>
    </row>
    <row r="282" spans="1:15" x14ac:dyDescent="0.5">
      <c r="A282">
        <v>204</v>
      </c>
      <c r="B282">
        <v>204</v>
      </c>
      <c r="C282" t="s">
        <v>32</v>
      </c>
      <c r="D282" s="2">
        <v>13587147</v>
      </c>
      <c r="E282" s="2">
        <v>0</v>
      </c>
      <c r="F282" s="2">
        <v>2411123</v>
      </c>
      <c r="G282" s="2">
        <v>37993192</v>
      </c>
      <c r="H282" s="2">
        <v>733443.6</v>
      </c>
      <c r="I282" s="2">
        <v>31092940</v>
      </c>
      <c r="J282" s="2">
        <v>213579.3</v>
      </c>
      <c r="K282" s="2">
        <v>0</v>
      </c>
      <c r="L282" s="2">
        <v>778799.2</v>
      </c>
      <c r="M282" s="2">
        <v>11765844</v>
      </c>
      <c r="N282" s="2">
        <v>18060006</v>
      </c>
      <c r="O282" s="4">
        <f t="shared" si="16"/>
        <v>116636074.09999999</v>
      </c>
    </row>
    <row r="283" spans="1:15" x14ac:dyDescent="0.5">
      <c r="D283" s="4">
        <f t="shared" ref="D283:N283" si="17">SUM(D257:D282)</f>
        <v>216543858</v>
      </c>
      <c r="E283" s="4">
        <f t="shared" si="17"/>
        <v>117451906.29999998</v>
      </c>
      <c r="F283" s="4">
        <f t="shared" si="17"/>
        <v>42998071.5</v>
      </c>
      <c r="G283" s="4">
        <f t="shared" si="17"/>
        <v>933652797.79999995</v>
      </c>
      <c r="H283" s="4">
        <f t="shared" si="17"/>
        <v>789354802.00000012</v>
      </c>
      <c r="I283" s="4">
        <f t="shared" si="17"/>
        <v>1123835276.3</v>
      </c>
      <c r="J283" s="4">
        <f t="shared" si="17"/>
        <v>10067381.800000001</v>
      </c>
      <c r="K283" s="4">
        <f t="shared" si="17"/>
        <v>6627656.1000000006</v>
      </c>
      <c r="L283" s="4">
        <f t="shared" si="17"/>
        <v>21483773.100000001</v>
      </c>
      <c r="M283" s="4">
        <f t="shared" si="17"/>
        <v>59375130.199999996</v>
      </c>
      <c r="N283" s="4">
        <f t="shared" si="17"/>
        <v>237885635.40000004</v>
      </c>
      <c r="O283" s="4">
        <f>SUM(D283:N283)</f>
        <v>3559276288.4999995</v>
      </c>
    </row>
    <row r="284" spans="1:15" x14ac:dyDescent="0.5">
      <c r="A284" t="s">
        <v>45</v>
      </c>
      <c r="D284" s="2"/>
      <c r="E284" s="2"/>
      <c r="F284" s="2"/>
      <c r="G284" s="2"/>
      <c r="H284" s="2"/>
      <c r="I284" s="2"/>
      <c r="J284" s="2"/>
      <c r="K284" s="2"/>
      <c r="L284" s="2"/>
      <c r="M284" s="2"/>
      <c r="N284" s="2"/>
      <c r="O284" s="4"/>
    </row>
    <row r="285" spans="1:15" x14ac:dyDescent="0.5">
      <c r="A285">
        <v>13</v>
      </c>
      <c r="B285">
        <v>13</v>
      </c>
      <c r="C285" t="s">
        <v>12</v>
      </c>
      <c r="D285" s="2">
        <v>0</v>
      </c>
      <c r="E285" s="2">
        <v>0</v>
      </c>
      <c r="F285" s="2">
        <v>0</v>
      </c>
      <c r="G285" s="2">
        <v>0</v>
      </c>
      <c r="H285" s="2">
        <v>1947578.8</v>
      </c>
      <c r="I285" s="2">
        <v>7879789.5</v>
      </c>
      <c r="J285" s="2">
        <v>0</v>
      </c>
      <c r="K285" s="2">
        <v>131706.5</v>
      </c>
      <c r="L285" s="2">
        <v>45381.1</v>
      </c>
      <c r="M285" s="2">
        <v>229740.6</v>
      </c>
      <c r="N285" s="2">
        <v>605652.9</v>
      </c>
      <c r="O285" s="4">
        <f>SUM(D285:N285)</f>
        <v>10839849.4</v>
      </c>
    </row>
    <row r="286" spans="1:15" x14ac:dyDescent="0.5">
      <c r="A286">
        <v>15</v>
      </c>
      <c r="B286">
        <v>15</v>
      </c>
      <c r="C286" t="s">
        <v>13</v>
      </c>
      <c r="D286" s="2">
        <v>3223960.3</v>
      </c>
      <c r="E286" s="2">
        <v>3284899.8</v>
      </c>
      <c r="F286" s="2">
        <v>0</v>
      </c>
      <c r="G286" s="2">
        <v>3215825.8</v>
      </c>
      <c r="H286" s="2">
        <v>5289059.5</v>
      </c>
      <c r="I286" s="2">
        <v>0</v>
      </c>
      <c r="J286" s="2">
        <v>0</v>
      </c>
      <c r="K286" s="2">
        <v>50999.3</v>
      </c>
      <c r="L286" s="2">
        <v>0</v>
      </c>
      <c r="M286" s="2">
        <v>264483.5</v>
      </c>
      <c r="N286" s="2">
        <v>81951.7</v>
      </c>
      <c r="O286" s="4">
        <f t="shared" ref="O286:O310" si="18">SUM(D286:N286)</f>
        <v>15411179.899999999</v>
      </c>
    </row>
    <row r="287" spans="1:15" x14ac:dyDescent="0.5">
      <c r="A287">
        <v>16</v>
      </c>
      <c r="B287">
        <v>16</v>
      </c>
      <c r="C287" t="s">
        <v>52</v>
      </c>
      <c r="D287" s="2">
        <v>5110782.5</v>
      </c>
      <c r="E287" s="2">
        <v>798577.5</v>
      </c>
      <c r="F287" s="2">
        <v>0</v>
      </c>
      <c r="G287" s="2">
        <v>32636868</v>
      </c>
      <c r="H287" s="2">
        <v>188556.3</v>
      </c>
      <c r="I287" s="2">
        <v>0</v>
      </c>
      <c r="J287" s="2">
        <v>5263.1</v>
      </c>
      <c r="K287" s="2">
        <v>0</v>
      </c>
      <c r="L287" s="2">
        <v>0</v>
      </c>
      <c r="M287" s="2">
        <v>1129028.8</v>
      </c>
      <c r="N287" s="2">
        <v>123415.4</v>
      </c>
      <c r="O287" s="4">
        <f t="shared" si="18"/>
        <v>39992491.599999994</v>
      </c>
    </row>
    <row r="288" spans="1:15" x14ac:dyDescent="0.5">
      <c r="A288">
        <v>30</v>
      </c>
      <c r="B288">
        <v>30</v>
      </c>
      <c r="C288" t="s">
        <v>53</v>
      </c>
      <c r="D288" s="2">
        <v>18765430</v>
      </c>
      <c r="E288" s="2">
        <v>0</v>
      </c>
      <c r="F288" s="2">
        <v>0</v>
      </c>
      <c r="G288" s="2">
        <v>5216455</v>
      </c>
      <c r="H288" s="2">
        <v>0</v>
      </c>
      <c r="I288" s="2">
        <v>0</v>
      </c>
      <c r="J288" s="2">
        <v>0</v>
      </c>
      <c r="K288" s="2">
        <v>0</v>
      </c>
      <c r="L288" s="2">
        <v>0</v>
      </c>
      <c r="M288" s="2">
        <v>747326.2</v>
      </c>
      <c r="N288" s="2">
        <v>135330.1</v>
      </c>
      <c r="O288" s="4">
        <f t="shared" si="18"/>
        <v>24864541.300000001</v>
      </c>
    </row>
    <row r="289" spans="1:15" x14ac:dyDescent="0.5">
      <c r="A289">
        <v>37</v>
      </c>
      <c r="B289">
        <v>37</v>
      </c>
      <c r="C289" t="s">
        <v>14</v>
      </c>
      <c r="D289" s="2">
        <v>987030.4</v>
      </c>
      <c r="E289" s="2">
        <v>11131193</v>
      </c>
      <c r="F289" s="2">
        <v>0</v>
      </c>
      <c r="G289" s="2">
        <v>1463665</v>
      </c>
      <c r="H289" s="2">
        <v>7593998.5</v>
      </c>
      <c r="I289" s="2">
        <v>0</v>
      </c>
      <c r="J289" s="2">
        <v>0</v>
      </c>
      <c r="K289" s="2">
        <v>151523.6</v>
      </c>
      <c r="L289" s="2">
        <v>0</v>
      </c>
      <c r="M289" s="2">
        <v>51932.2</v>
      </c>
      <c r="N289" s="2">
        <v>104022.5</v>
      </c>
      <c r="O289" s="4">
        <f t="shared" si="18"/>
        <v>21483365.199999999</v>
      </c>
    </row>
    <row r="290" spans="1:15" x14ac:dyDescent="0.5">
      <c r="A290">
        <v>38</v>
      </c>
      <c r="B290">
        <v>38</v>
      </c>
      <c r="C290" t="s">
        <v>54</v>
      </c>
      <c r="D290" s="2">
        <v>1060983.8</v>
      </c>
      <c r="E290" s="2">
        <v>21493158</v>
      </c>
      <c r="F290" s="2">
        <v>1289335.8</v>
      </c>
      <c r="G290" s="2">
        <v>8194658</v>
      </c>
      <c r="H290" s="2">
        <v>4934698.5</v>
      </c>
      <c r="I290" s="2">
        <v>5045009.5</v>
      </c>
      <c r="J290" s="2">
        <v>83238.899999999994</v>
      </c>
      <c r="K290" s="2">
        <v>0</v>
      </c>
      <c r="L290" s="2">
        <v>0</v>
      </c>
      <c r="M290" s="2">
        <v>533854.80000000005</v>
      </c>
      <c r="N290" s="2">
        <v>3014066</v>
      </c>
      <c r="O290" s="4">
        <f t="shared" si="18"/>
        <v>45649003.299999997</v>
      </c>
    </row>
    <row r="291" spans="1:15" x14ac:dyDescent="0.5">
      <c r="A291">
        <v>60</v>
      </c>
      <c r="B291">
        <v>60</v>
      </c>
      <c r="C291" t="s">
        <v>15</v>
      </c>
      <c r="D291" s="2">
        <v>48820168</v>
      </c>
      <c r="E291" s="2">
        <v>4461318</v>
      </c>
      <c r="F291" s="2">
        <v>5787307</v>
      </c>
      <c r="G291" s="2">
        <v>127712072</v>
      </c>
      <c r="H291" s="2">
        <v>74292920</v>
      </c>
      <c r="I291" s="2">
        <v>663982528</v>
      </c>
      <c r="J291" s="2">
        <v>2538021.5</v>
      </c>
      <c r="K291" s="2">
        <v>247246.3</v>
      </c>
      <c r="L291" s="2">
        <v>14719547</v>
      </c>
      <c r="M291" s="2">
        <v>14419822</v>
      </c>
      <c r="N291" s="2">
        <v>55626224</v>
      </c>
      <c r="O291" s="4">
        <f t="shared" si="18"/>
        <v>1012607173.8</v>
      </c>
    </row>
    <row r="292" spans="1:15" x14ac:dyDescent="0.5">
      <c r="A292">
        <v>67</v>
      </c>
      <c r="B292">
        <v>67</v>
      </c>
      <c r="C292" t="s">
        <v>16</v>
      </c>
      <c r="D292" s="2">
        <v>1335301.3</v>
      </c>
      <c r="E292" s="2">
        <v>4642521.5</v>
      </c>
      <c r="F292" s="2">
        <v>0</v>
      </c>
      <c r="G292" s="2">
        <v>3192169.3</v>
      </c>
      <c r="H292" s="2">
        <v>10950277</v>
      </c>
      <c r="I292" s="2">
        <v>0</v>
      </c>
      <c r="J292" s="2">
        <v>13470</v>
      </c>
      <c r="K292" s="2">
        <v>0</v>
      </c>
      <c r="L292" s="2">
        <v>0</v>
      </c>
      <c r="M292" s="2">
        <v>506101</v>
      </c>
      <c r="N292" s="2">
        <v>481664.8</v>
      </c>
      <c r="O292" s="4">
        <f t="shared" si="18"/>
        <v>21121504.900000002</v>
      </c>
    </row>
    <row r="293" spans="1:15" x14ac:dyDescent="0.5">
      <c r="A293">
        <v>69</v>
      </c>
      <c r="B293">
        <v>69</v>
      </c>
      <c r="C293" t="s">
        <v>17</v>
      </c>
      <c r="D293" s="2">
        <v>3980811.3</v>
      </c>
      <c r="E293" s="2">
        <v>4929508</v>
      </c>
      <c r="F293" s="2">
        <v>0</v>
      </c>
      <c r="G293" s="2">
        <v>2292961</v>
      </c>
      <c r="H293" s="2">
        <v>33191342</v>
      </c>
      <c r="I293" s="2">
        <v>0</v>
      </c>
      <c r="J293" s="2">
        <v>29991.7</v>
      </c>
      <c r="K293" s="2">
        <v>41761.9</v>
      </c>
      <c r="L293" s="2">
        <v>0</v>
      </c>
      <c r="M293" s="2">
        <v>410008.1</v>
      </c>
      <c r="N293" s="2">
        <v>2440185.7999999998</v>
      </c>
      <c r="O293" s="4">
        <f t="shared" si="18"/>
        <v>47316569.799999997</v>
      </c>
    </row>
    <row r="294" spans="1:15" x14ac:dyDescent="0.5">
      <c r="A294">
        <v>71</v>
      </c>
      <c r="B294">
        <v>71</v>
      </c>
      <c r="C294" t="s">
        <v>18</v>
      </c>
      <c r="D294" s="2">
        <v>42715.7</v>
      </c>
      <c r="E294" s="2">
        <v>0</v>
      </c>
      <c r="F294" s="2">
        <v>0</v>
      </c>
      <c r="G294" s="2">
        <v>1712795</v>
      </c>
      <c r="H294" s="2">
        <v>0</v>
      </c>
      <c r="I294" s="2">
        <v>0</v>
      </c>
      <c r="J294" s="2">
        <v>0</v>
      </c>
      <c r="K294" s="2">
        <v>0</v>
      </c>
      <c r="L294" s="2">
        <v>0</v>
      </c>
      <c r="M294" s="2">
        <v>149265.9</v>
      </c>
      <c r="N294" s="2">
        <v>245658.3</v>
      </c>
      <c r="O294" s="4">
        <f t="shared" si="18"/>
        <v>2150434.9</v>
      </c>
    </row>
    <row r="295" spans="1:15" x14ac:dyDescent="0.5">
      <c r="A295">
        <v>72</v>
      </c>
      <c r="B295">
        <v>72</v>
      </c>
      <c r="C295" t="s">
        <v>19</v>
      </c>
      <c r="D295" s="2">
        <v>1115227</v>
      </c>
      <c r="E295" s="2">
        <v>0</v>
      </c>
      <c r="F295" s="2">
        <v>0</v>
      </c>
      <c r="G295" s="2">
        <v>1433653.3</v>
      </c>
      <c r="H295" s="2">
        <v>111749.5</v>
      </c>
      <c r="I295" s="2">
        <v>0</v>
      </c>
      <c r="J295" s="2">
        <v>45251</v>
      </c>
      <c r="K295" s="2">
        <v>0</v>
      </c>
      <c r="L295" s="2">
        <v>0</v>
      </c>
      <c r="M295" s="2">
        <v>55446.8</v>
      </c>
      <c r="N295" s="2">
        <v>673433.2</v>
      </c>
      <c r="O295" s="4">
        <f t="shared" si="18"/>
        <v>3434760.8</v>
      </c>
    </row>
    <row r="296" spans="1:15" x14ac:dyDescent="0.5">
      <c r="A296">
        <v>96</v>
      </c>
      <c r="B296">
        <v>96</v>
      </c>
      <c r="C296" t="s">
        <v>20</v>
      </c>
      <c r="D296" s="2">
        <v>34502840</v>
      </c>
      <c r="E296" s="2">
        <v>3024708</v>
      </c>
      <c r="F296" s="2">
        <v>21558626</v>
      </c>
      <c r="G296" s="2">
        <v>26502042</v>
      </c>
      <c r="H296" s="2">
        <v>39270456</v>
      </c>
      <c r="I296" s="2">
        <v>139180464</v>
      </c>
      <c r="J296" s="2">
        <v>1398026.9</v>
      </c>
      <c r="K296" s="2">
        <v>3430378.5</v>
      </c>
      <c r="L296" s="2">
        <v>1879536.1</v>
      </c>
      <c r="M296" s="2">
        <v>12608992</v>
      </c>
      <c r="N296" s="2">
        <v>85002344</v>
      </c>
      <c r="O296" s="4">
        <f t="shared" si="18"/>
        <v>368358413.5</v>
      </c>
    </row>
    <row r="297" spans="1:15" x14ac:dyDescent="0.5">
      <c r="A297">
        <v>121</v>
      </c>
      <c r="B297">
        <v>121</v>
      </c>
      <c r="C297" t="s">
        <v>21</v>
      </c>
      <c r="D297" s="2">
        <v>14140910</v>
      </c>
      <c r="E297" s="2">
        <v>0</v>
      </c>
      <c r="F297" s="2">
        <v>0</v>
      </c>
      <c r="G297" s="2">
        <v>19258380</v>
      </c>
      <c r="H297" s="2">
        <v>0</v>
      </c>
      <c r="I297" s="2">
        <v>0</v>
      </c>
      <c r="J297" s="2">
        <v>186636.3</v>
      </c>
      <c r="K297" s="2">
        <v>0</v>
      </c>
      <c r="L297" s="2">
        <v>0</v>
      </c>
      <c r="M297" s="2">
        <v>221951.3</v>
      </c>
      <c r="N297" s="2">
        <v>228435.1</v>
      </c>
      <c r="O297" s="4">
        <f t="shared" si="18"/>
        <v>34036312.699999996</v>
      </c>
    </row>
    <row r="298" spans="1:15" x14ac:dyDescent="0.5">
      <c r="A298">
        <v>126</v>
      </c>
      <c r="B298">
        <v>126</v>
      </c>
      <c r="C298" t="s">
        <v>22</v>
      </c>
      <c r="D298" s="2">
        <v>2697283.5</v>
      </c>
      <c r="E298" s="2">
        <v>401509.1</v>
      </c>
      <c r="F298" s="2">
        <v>19416.900000000001</v>
      </c>
      <c r="G298" s="2">
        <v>2713133.5</v>
      </c>
      <c r="H298" s="2">
        <v>2054716.8</v>
      </c>
      <c r="I298" s="2">
        <v>0</v>
      </c>
      <c r="J298" s="2">
        <v>91129.8</v>
      </c>
      <c r="K298" s="2">
        <v>68604</v>
      </c>
      <c r="L298" s="2">
        <v>0</v>
      </c>
      <c r="M298" s="2">
        <v>597324.9</v>
      </c>
      <c r="N298" s="2">
        <v>7372625.5</v>
      </c>
      <c r="O298" s="4">
        <f t="shared" si="18"/>
        <v>16015744</v>
      </c>
    </row>
    <row r="299" spans="1:15" x14ac:dyDescent="0.5">
      <c r="A299">
        <v>127</v>
      </c>
      <c r="B299">
        <v>127</v>
      </c>
      <c r="C299" t="s">
        <v>55</v>
      </c>
      <c r="D299" s="2">
        <v>5387021.5</v>
      </c>
      <c r="E299" s="2">
        <v>0</v>
      </c>
      <c r="F299" s="2">
        <v>0</v>
      </c>
      <c r="G299" s="2">
        <v>3145271</v>
      </c>
      <c r="H299" s="2">
        <v>0</v>
      </c>
      <c r="I299" s="2">
        <v>0</v>
      </c>
      <c r="J299" s="2">
        <v>82999</v>
      </c>
      <c r="K299" s="2">
        <v>0</v>
      </c>
      <c r="L299" s="2">
        <v>0</v>
      </c>
      <c r="M299" s="2">
        <v>9328.6</v>
      </c>
      <c r="N299" s="2">
        <v>2548.5</v>
      </c>
      <c r="O299" s="4">
        <f t="shared" si="18"/>
        <v>8627168.5999999996</v>
      </c>
    </row>
    <row r="300" spans="1:15" x14ac:dyDescent="0.5">
      <c r="A300">
        <v>131</v>
      </c>
      <c r="B300">
        <v>131</v>
      </c>
      <c r="C300" t="s">
        <v>23</v>
      </c>
      <c r="D300" s="2">
        <v>486893.2</v>
      </c>
      <c r="E300" s="2">
        <v>1148112.8999999999</v>
      </c>
      <c r="F300" s="2">
        <v>327145.5</v>
      </c>
      <c r="G300" s="2">
        <v>5308830.5</v>
      </c>
      <c r="H300" s="2">
        <v>3553434.5</v>
      </c>
      <c r="I300" s="2">
        <v>1025214.8</v>
      </c>
      <c r="J300" s="2">
        <v>6698.2</v>
      </c>
      <c r="K300" s="2">
        <v>35935.300000000003</v>
      </c>
      <c r="L300" s="2">
        <v>0</v>
      </c>
      <c r="M300" s="2">
        <v>537149.9</v>
      </c>
      <c r="N300" s="2">
        <v>4515609</v>
      </c>
      <c r="O300" s="4">
        <f t="shared" si="18"/>
        <v>16945023.800000001</v>
      </c>
    </row>
    <row r="301" spans="1:15" x14ac:dyDescent="0.5">
      <c r="A301">
        <v>134</v>
      </c>
      <c r="B301">
        <v>134</v>
      </c>
      <c r="C301" t="s">
        <v>24</v>
      </c>
      <c r="D301" s="2">
        <v>19625020</v>
      </c>
      <c r="E301" s="2">
        <v>0</v>
      </c>
      <c r="F301" s="2">
        <v>0</v>
      </c>
      <c r="G301" s="2">
        <v>10592993</v>
      </c>
      <c r="H301" s="2">
        <v>0</v>
      </c>
      <c r="I301" s="2">
        <v>0</v>
      </c>
      <c r="J301" s="2">
        <v>34481.9</v>
      </c>
      <c r="K301" s="2">
        <v>0</v>
      </c>
      <c r="L301" s="2">
        <v>0</v>
      </c>
      <c r="M301" s="2">
        <v>198599.7</v>
      </c>
      <c r="N301" s="2">
        <v>30790</v>
      </c>
      <c r="O301" s="4">
        <f t="shared" si="18"/>
        <v>30481884.599999998</v>
      </c>
    </row>
    <row r="302" spans="1:15" x14ac:dyDescent="0.5">
      <c r="A302">
        <v>135</v>
      </c>
      <c r="B302">
        <v>135</v>
      </c>
      <c r="C302" t="s">
        <v>25</v>
      </c>
      <c r="D302" s="2">
        <v>2816149.3</v>
      </c>
      <c r="E302" s="2">
        <v>6028349.5</v>
      </c>
      <c r="F302" s="2">
        <v>0</v>
      </c>
      <c r="G302" s="2">
        <v>62872684</v>
      </c>
      <c r="H302" s="2">
        <v>80290592</v>
      </c>
      <c r="I302" s="2">
        <v>6406507</v>
      </c>
      <c r="J302" s="2">
        <v>1101692.3</v>
      </c>
      <c r="K302" s="2">
        <v>332166.2</v>
      </c>
      <c r="L302" s="2">
        <v>0</v>
      </c>
      <c r="M302" s="2">
        <v>2922541.5</v>
      </c>
      <c r="N302" s="2">
        <v>1010017.4</v>
      </c>
      <c r="O302" s="4">
        <f t="shared" si="18"/>
        <v>163780699.20000002</v>
      </c>
    </row>
    <row r="303" spans="1:15" x14ac:dyDescent="0.5">
      <c r="A303">
        <v>156</v>
      </c>
      <c r="B303">
        <v>156</v>
      </c>
      <c r="C303" t="s">
        <v>26</v>
      </c>
      <c r="D303" s="2">
        <v>0</v>
      </c>
      <c r="E303" s="2">
        <v>0</v>
      </c>
      <c r="F303" s="2">
        <v>0</v>
      </c>
      <c r="G303" s="2">
        <v>0</v>
      </c>
      <c r="H303" s="2">
        <v>7389565</v>
      </c>
      <c r="I303" s="2">
        <v>15225635</v>
      </c>
      <c r="J303" s="2">
        <v>0</v>
      </c>
      <c r="K303" s="2">
        <v>188296.6</v>
      </c>
      <c r="L303" s="2">
        <v>96062</v>
      </c>
      <c r="M303" s="2">
        <v>502940.6</v>
      </c>
      <c r="N303" s="2">
        <v>852572.9</v>
      </c>
      <c r="O303" s="4">
        <f t="shared" si="18"/>
        <v>24255072.100000001</v>
      </c>
    </row>
    <row r="304" spans="1:15" x14ac:dyDescent="0.5">
      <c r="A304">
        <v>159</v>
      </c>
      <c r="B304">
        <v>159</v>
      </c>
      <c r="C304" t="s">
        <v>27</v>
      </c>
      <c r="D304" s="2">
        <v>3431449.8</v>
      </c>
      <c r="E304" s="2">
        <v>0</v>
      </c>
      <c r="F304" s="2">
        <v>0</v>
      </c>
      <c r="G304" s="2">
        <v>13267878</v>
      </c>
      <c r="H304" s="2">
        <v>0</v>
      </c>
      <c r="I304" s="2">
        <v>0</v>
      </c>
      <c r="J304" s="2">
        <v>107881.60000000001</v>
      </c>
      <c r="K304" s="2">
        <v>0</v>
      </c>
      <c r="L304" s="2">
        <v>0</v>
      </c>
      <c r="M304" s="2">
        <v>352217.5</v>
      </c>
      <c r="N304" s="2">
        <v>291647.3</v>
      </c>
      <c r="O304" s="4">
        <f t="shared" si="18"/>
        <v>17451074.200000003</v>
      </c>
    </row>
    <row r="305" spans="1:15" x14ac:dyDescent="0.5">
      <c r="A305">
        <v>178</v>
      </c>
      <c r="B305">
        <v>178</v>
      </c>
      <c r="C305" t="s">
        <v>56</v>
      </c>
      <c r="D305" s="2">
        <v>15348461</v>
      </c>
      <c r="E305" s="2">
        <v>13351.3</v>
      </c>
      <c r="F305" s="2">
        <v>0</v>
      </c>
      <c r="G305" s="2">
        <v>14512985</v>
      </c>
      <c r="H305" s="2">
        <v>0</v>
      </c>
      <c r="I305" s="2">
        <v>0</v>
      </c>
      <c r="J305" s="2">
        <v>25733.7</v>
      </c>
      <c r="K305" s="2">
        <v>0</v>
      </c>
      <c r="L305" s="2">
        <v>0</v>
      </c>
      <c r="M305" s="2">
        <v>86045.4</v>
      </c>
      <c r="N305" s="2">
        <v>206854.5</v>
      </c>
      <c r="O305" s="4">
        <f t="shared" si="18"/>
        <v>30193430.899999999</v>
      </c>
    </row>
    <row r="306" spans="1:15" x14ac:dyDescent="0.5">
      <c r="A306">
        <v>179</v>
      </c>
      <c r="B306">
        <v>179</v>
      </c>
      <c r="C306" t="s">
        <v>28</v>
      </c>
      <c r="D306" s="2">
        <v>0</v>
      </c>
      <c r="E306" s="2">
        <v>980620.80000000005</v>
      </c>
      <c r="F306" s="2">
        <v>0</v>
      </c>
      <c r="G306" s="2">
        <v>944338.3</v>
      </c>
      <c r="H306" s="2">
        <v>3042948.3</v>
      </c>
      <c r="I306" s="2">
        <v>0</v>
      </c>
      <c r="J306" s="2">
        <v>0</v>
      </c>
      <c r="K306" s="2">
        <v>18992.2</v>
      </c>
      <c r="L306" s="2">
        <v>0</v>
      </c>
      <c r="M306" s="2">
        <v>87842.5</v>
      </c>
      <c r="N306" s="2">
        <v>18442.400000000001</v>
      </c>
      <c r="O306" s="4">
        <f t="shared" si="18"/>
        <v>5093184.5000000009</v>
      </c>
    </row>
    <row r="307" spans="1:15" x14ac:dyDescent="0.5">
      <c r="A307">
        <v>188</v>
      </c>
      <c r="B307">
        <v>188</v>
      </c>
      <c r="C307" t="s">
        <v>29</v>
      </c>
      <c r="D307" s="2">
        <v>29252742</v>
      </c>
      <c r="E307" s="2">
        <v>13613120</v>
      </c>
      <c r="F307" s="2">
        <v>8270563</v>
      </c>
      <c r="G307" s="2">
        <v>128843952</v>
      </c>
      <c r="H307" s="2">
        <v>99394528</v>
      </c>
      <c r="I307" s="2">
        <v>21055494</v>
      </c>
      <c r="J307" s="2">
        <v>491392.1</v>
      </c>
      <c r="K307" s="2">
        <v>51861</v>
      </c>
      <c r="L307" s="2">
        <v>14984.5</v>
      </c>
      <c r="M307" s="2">
        <v>2646133.5</v>
      </c>
      <c r="N307" s="2">
        <v>60808684</v>
      </c>
      <c r="O307" s="4">
        <f t="shared" si="18"/>
        <v>364443454.10000002</v>
      </c>
    </row>
    <row r="308" spans="1:15" x14ac:dyDescent="0.5">
      <c r="A308">
        <v>189</v>
      </c>
      <c r="B308">
        <v>189</v>
      </c>
      <c r="C308" t="s">
        <v>30</v>
      </c>
      <c r="D308" s="2">
        <v>804462.4</v>
      </c>
      <c r="E308" s="2">
        <v>9713097</v>
      </c>
      <c r="F308" s="2">
        <v>187784.7</v>
      </c>
      <c r="G308" s="2">
        <v>2434965</v>
      </c>
      <c r="H308" s="2">
        <v>103264952</v>
      </c>
      <c r="I308" s="2">
        <v>34650820</v>
      </c>
      <c r="J308" s="2">
        <v>0</v>
      </c>
      <c r="K308" s="2">
        <v>82603.100000000006</v>
      </c>
      <c r="L308" s="2">
        <v>0</v>
      </c>
      <c r="M308" s="2">
        <v>754550.2</v>
      </c>
      <c r="N308" s="2">
        <v>19045146</v>
      </c>
      <c r="O308" s="4">
        <f t="shared" si="18"/>
        <v>170938380.39999998</v>
      </c>
    </row>
    <row r="309" spans="1:15" x14ac:dyDescent="0.5">
      <c r="A309">
        <v>203</v>
      </c>
      <c r="B309">
        <v>203</v>
      </c>
      <c r="C309" t="s">
        <v>31</v>
      </c>
      <c r="D309" s="2">
        <v>18524674</v>
      </c>
      <c r="E309" s="2">
        <v>158359.79999999999</v>
      </c>
      <c r="F309" s="2">
        <v>482547.4</v>
      </c>
      <c r="G309" s="2">
        <v>6441432</v>
      </c>
      <c r="H309" s="2">
        <v>88387.3</v>
      </c>
      <c r="I309" s="2">
        <v>0</v>
      </c>
      <c r="J309" s="2">
        <v>68189.899999999994</v>
      </c>
      <c r="K309" s="2">
        <v>0</v>
      </c>
      <c r="L309" s="2">
        <v>0</v>
      </c>
      <c r="M309" s="2">
        <v>803685.8</v>
      </c>
      <c r="N309" s="2">
        <v>10954016</v>
      </c>
      <c r="O309" s="4">
        <f t="shared" si="18"/>
        <v>37521292.200000003</v>
      </c>
    </row>
    <row r="310" spans="1:15" x14ac:dyDescent="0.5">
      <c r="A310">
        <v>204</v>
      </c>
      <c r="B310">
        <v>204</v>
      </c>
      <c r="C310" t="s">
        <v>32</v>
      </c>
      <c r="D310" s="2">
        <v>17935554</v>
      </c>
      <c r="E310" s="2">
        <v>0</v>
      </c>
      <c r="F310" s="2">
        <v>1275146</v>
      </c>
      <c r="G310" s="2">
        <v>46318492</v>
      </c>
      <c r="H310" s="2">
        <v>418353.7</v>
      </c>
      <c r="I310" s="2">
        <v>16813624</v>
      </c>
      <c r="J310" s="2">
        <v>297958.8</v>
      </c>
      <c r="K310" s="2">
        <v>0</v>
      </c>
      <c r="L310" s="2">
        <v>419239.5</v>
      </c>
      <c r="M310" s="2">
        <v>4288161.5</v>
      </c>
      <c r="N310" s="2">
        <v>11727315</v>
      </c>
      <c r="O310" s="4">
        <f t="shared" si="18"/>
        <v>99493844.5</v>
      </c>
    </row>
    <row r="311" spans="1:15" x14ac:dyDescent="0.5">
      <c r="D311" s="4">
        <f t="shared" ref="D311:N311" si="19">SUM(D285:D310)</f>
        <v>249395871.00000003</v>
      </c>
      <c r="E311" s="4">
        <f t="shared" si="19"/>
        <v>85822404.199999988</v>
      </c>
      <c r="F311" s="4">
        <f t="shared" si="19"/>
        <v>39197872.300000004</v>
      </c>
      <c r="G311" s="4">
        <f t="shared" si="19"/>
        <v>530228498.70000005</v>
      </c>
      <c r="H311" s="4">
        <f t="shared" si="19"/>
        <v>477268113.69999999</v>
      </c>
      <c r="I311" s="4">
        <f t="shared" si="19"/>
        <v>911265085.79999995</v>
      </c>
      <c r="J311" s="4">
        <f t="shared" si="19"/>
        <v>6608056.7000000002</v>
      </c>
      <c r="K311" s="4">
        <f t="shared" si="19"/>
        <v>4832074.4999999991</v>
      </c>
      <c r="L311" s="4">
        <f t="shared" si="19"/>
        <v>17174750.199999999</v>
      </c>
      <c r="M311" s="4">
        <f t="shared" si="19"/>
        <v>45114474.799999997</v>
      </c>
      <c r="N311" s="4">
        <f t="shared" si="19"/>
        <v>265598652.30000001</v>
      </c>
      <c r="O311" s="4">
        <f>SUM(D311:N311)</f>
        <v>2632505854.1999998</v>
      </c>
    </row>
    <row r="312" spans="1:15" x14ac:dyDescent="0.5">
      <c r="A312" t="s">
        <v>46</v>
      </c>
      <c r="D312" s="2"/>
      <c r="E312" s="2"/>
      <c r="F312" s="2"/>
      <c r="G312" s="2"/>
      <c r="H312" s="2"/>
      <c r="I312" s="2"/>
      <c r="J312" s="2"/>
      <c r="K312" s="2"/>
      <c r="L312" s="2"/>
      <c r="M312" s="2"/>
      <c r="N312" s="2"/>
      <c r="O312" s="4"/>
    </row>
    <row r="313" spans="1:15" x14ac:dyDescent="0.5">
      <c r="A313">
        <v>13</v>
      </c>
      <c r="B313">
        <v>13</v>
      </c>
      <c r="C313" t="s">
        <v>12</v>
      </c>
      <c r="D313" s="2">
        <v>0</v>
      </c>
      <c r="E313" s="2">
        <v>0</v>
      </c>
      <c r="F313" s="2">
        <v>0</v>
      </c>
      <c r="G313" s="2">
        <v>0</v>
      </c>
      <c r="H313" s="2">
        <v>1137531</v>
      </c>
      <c r="I313" s="2">
        <v>5083550.5</v>
      </c>
      <c r="J313" s="2">
        <v>0</v>
      </c>
      <c r="K313" s="2">
        <v>90010</v>
      </c>
      <c r="L313" s="2">
        <v>29619.4</v>
      </c>
      <c r="M313" s="2">
        <v>89128.3</v>
      </c>
      <c r="N313" s="2">
        <v>241682.6</v>
      </c>
      <c r="O313" s="4">
        <f>SUM(D313:N313)</f>
        <v>6671521.7999999998</v>
      </c>
    </row>
    <row r="314" spans="1:15" x14ac:dyDescent="0.5">
      <c r="A314">
        <v>15</v>
      </c>
      <c r="B314">
        <v>15</v>
      </c>
      <c r="C314" t="s">
        <v>13</v>
      </c>
      <c r="D314" s="2">
        <v>1946827.9</v>
      </c>
      <c r="E314" s="2">
        <v>859391.6</v>
      </c>
      <c r="F314" s="2">
        <v>0</v>
      </c>
      <c r="G314" s="2">
        <v>6375799.5</v>
      </c>
      <c r="H314" s="2">
        <v>7260010.5</v>
      </c>
      <c r="I314" s="2">
        <v>0</v>
      </c>
      <c r="J314" s="2">
        <v>0</v>
      </c>
      <c r="K314" s="2">
        <v>71952.100000000006</v>
      </c>
      <c r="L314" s="2">
        <v>0</v>
      </c>
      <c r="M314" s="2">
        <v>370165.7</v>
      </c>
      <c r="N314" s="2">
        <v>116951.1</v>
      </c>
      <c r="O314" s="4">
        <f t="shared" ref="O314:O338" si="20">SUM(D314:N314)</f>
        <v>17001098.400000002</v>
      </c>
    </row>
    <row r="315" spans="1:15" x14ac:dyDescent="0.5">
      <c r="A315">
        <v>16</v>
      </c>
      <c r="B315">
        <v>16</v>
      </c>
      <c r="C315" t="s">
        <v>52</v>
      </c>
      <c r="D315" s="2">
        <v>5302082.5</v>
      </c>
      <c r="E315" s="2">
        <v>460437.8</v>
      </c>
      <c r="F315" s="2">
        <v>0</v>
      </c>
      <c r="G315" s="2">
        <v>71290152</v>
      </c>
      <c r="H315" s="2">
        <v>237205.8</v>
      </c>
      <c r="I315" s="2">
        <v>0</v>
      </c>
      <c r="J315" s="2">
        <v>11736.8</v>
      </c>
      <c r="K315" s="2">
        <v>0</v>
      </c>
      <c r="L315" s="2">
        <v>0</v>
      </c>
      <c r="M315" s="2">
        <v>1336510.5</v>
      </c>
      <c r="N315" s="2">
        <v>142760.29999999999</v>
      </c>
      <c r="O315" s="4">
        <f t="shared" si="20"/>
        <v>78780885.699999988</v>
      </c>
    </row>
    <row r="316" spans="1:15" x14ac:dyDescent="0.5">
      <c r="A316">
        <v>30</v>
      </c>
      <c r="B316">
        <v>30</v>
      </c>
      <c r="C316" t="s">
        <v>53</v>
      </c>
      <c r="D316" s="2">
        <v>5647378.5</v>
      </c>
      <c r="E316" s="2">
        <v>0</v>
      </c>
      <c r="F316" s="2">
        <v>0</v>
      </c>
      <c r="G316" s="2">
        <v>1825923.3</v>
      </c>
      <c r="H316" s="2">
        <v>0</v>
      </c>
      <c r="I316" s="2">
        <v>0</v>
      </c>
      <c r="J316" s="2">
        <v>0</v>
      </c>
      <c r="K316" s="2">
        <v>0</v>
      </c>
      <c r="L316" s="2">
        <v>0</v>
      </c>
      <c r="M316" s="2">
        <v>1056675.6000000001</v>
      </c>
      <c r="N316" s="2">
        <v>72029.600000000006</v>
      </c>
      <c r="O316" s="4">
        <f t="shared" si="20"/>
        <v>8602007</v>
      </c>
    </row>
    <row r="317" spans="1:15" x14ac:dyDescent="0.5">
      <c r="A317">
        <v>37</v>
      </c>
      <c r="B317">
        <v>37</v>
      </c>
      <c r="C317" t="s">
        <v>14</v>
      </c>
      <c r="D317" s="2">
        <v>905220.7</v>
      </c>
      <c r="E317" s="2">
        <v>1558428.3</v>
      </c>
      <c r="F317" s="2">
        <v>0</v>
      </c>
      <c r="G317" s="2">
        <v>2327320.5</v>
      </c>
      <c r="H317" s="2">
        <v>10418394</v>
      </c>
      <c r="I317" s="2">
        <v>0</v>
      </c>
      <c r="J317" s="2">
        <v>0</v>
      </c>
      <c r="K317" s="2">
        <v>213776.2</v>
      </c>
      <c r="L317" s="2">
        <v>0</v>
      </c>
      <c r="M317" s="2">
        <v>54009.2</v>
      </c>
      <c r="N317" s="2">
        <v>117381.8</v>
      </c>
      <c r="O317" s="4">
        <f t="shared" si="20"/>
        <v>15594530.699999999</v>
      </c>
    </row>
    <row r="318" spans="1:15" x14ac:dyDescent="0.5">
      <c r="A318">
        <v>38</v>
      </c>
      <c r="B318">
        <v>38</v>
      </c>
      <c r="C318" t="s">
        <v>54</v>
      </c>
      <c r="D318" s="2">
        <v>2628548.2999999998</v>
      </c>
      <c r="E318" s="2">
        <v>34992028</v>
      </c>
      <c r="F318" s="2">
        <v>2889920.3</v>
      </c>
      <c r="G318" s="2">
        <v>27074976</v>
      </c>
      <c r="H318" s="2">
        <v>12030093</v>
      </c>
      <c r="I318" s="2">
        <v>11689718</v>
      </c>
      <c r="J318" s="2">
        <v>266285.5</v>
      </c>
      <c r="K318" s="2">
        <v>0</v>
      </c>
      <c r="L318" s="2">
        <v>0</v>
      </c>
      <c r="M318" s="2">
        <v>966001.6</v>
      </c>
      <c r="N318" s="2">
        <v>4548646.5</v>
      </c>
      <c r="O318" s="4">
        <f t="shared" si="20"/>
        <v>97086217.199999988</v>
      </c>
    </row>
    <row r="319" spans="1:15" x14ac:dyDescent="0.5">
      <c r="A319">
        <v>60</v>
      </c>
      <c r="B319">
        <v>60</v>
      </c>
      <c r="C319" t="s">
        <v>15</v>
      </c>
      <c r="D319" s="2">
        <v>2848530.3</v>
      </c>
      <c r="E319" s="2">
        <v>1822982.9</v>
      </c>
      <c r="F319" s="2">
        <v>2589490.2999999998</v>
      </c>
      <c r="G319" s="2">
        <v>27769840</v>
      </c>
      <c r="H319" s="2">
        <v>43483692</v>
      </c>
      <c r="I319" s="2">
        <v>418928032</v>
      </c>
      <c r="J319" s="2">
        <v>630726</v>
      </c>
      <c r="K319" s="2">
        <v>161373.1</v>
      </c>
      <c r="L319" s="2">
        <v>9471881</v>
      </c>
      <c r="M319" s="2">
        <v>5949136</v>
      </c>
      <c r="N319" s="2">
        <v>20781170</v>
      </c>
      <c r="O319" s="4">
        <f t="shared" si="20"/>
        <v>534436853.60000002</v>
      </c>
    </row>
    <row r="320" spans="1:15" x14ac:dyDescent="0.5">
      <c r="A320">
        <v>67</v>
      </c>
      <c r="B320">
        <v>67</v>
      </c>
      <c r="C320" t="s">
        <v>16</v>
      </c>
      <c r="D320" s="2">
        <v>958530.4</v>
      </c>
      <c r="E320" s="2">
        <v>1565998.9</v>
      </c>
      <c r="F320" s="2">
        <v>0</v>
      </c>
      <c r="G320" s="2">
        <v>6163541</v>
      </c>
      <c r="H320" s="2">
        <v>15382954</v>
      </c>
      <c r="I320" s="2">
        <v>0</v>
      </c>
      <c r="J320" s="2">
        <v>30038.2</v>
      </c>
      <c r="K320" s="2">
        <v>0</v>
      </c>
      <c r="L320" s="2">
        <v>0</v>
      </c>
      <c r="M320" s="2">
        <v>575420.19999999995</v>
      </c>
      <c r="N320" s="2">
        <v>620373.4</v>
      </c>
      <c r="O320" s="4">
        <f t="shared" si="20"/>
        <v>25296856.099999998</v>
      </c>
    </row>
    <row r="321" spans="1:15" x14ac:dyDescent="0.5">
      <c r="A321">
        <v>69</v>
      </c>
      <c r="B321">
        <v>69</v>
      </c>
      <c r="C321" t="s">
        <v>17</v>
      </c>
      <c r="D321" s="2">
        <v>2340362.7999999998</v>
      </c>
      <c r="E321" s="2">
        <v>1910309.6</v>
      </c>
      <c r="F321" s="2">
        <v>0</v>
      </c>
      <c r="G321" s="2">
        <v>4240512.5</v>
      </c>
      <c r="H321" s="2">
        <v>45873272</v>
      </c>
      <c r="I321" s="2">
        <v>0</v>
      </c>
      <c r="J321" s="2">
        <v>41001.4</v>
      </c>
      <c r="K321" s="2">
        <v>49768</v>
      </c>
      <c r="L321" s="2">
        <v>0</v>
      </c>
      <c r="M321" s="2">
        <v>469076.8</v>
      </c>
      <c r="N321" s="2">
        <v>3233565.3</v>
      </c>
      <c r="O321" s="4">
        <f t="shared" si="20"/>
        <v>58157868.399999991</v>
      </c>
    </row>
    <row r="322" spans="1:15" x14ac:dyDescent="0.5">
      <c r="A322">
        <v>71</v>
      </c>
      <c r="B322">
        <v>71</v>
      </c>
      <c r="C322" t="s">
        <v>18</v>
      </c>
      <c r="D322" s="2">
        <v>64907.4</v>
      </c>
      <c r="E322" s="2">
        <v>0</v>
      </c>
      <c r="F322" s="2">
        <v>0</v>
      </c>
      <c r="G322" s="2">
        <v>3599499</v>
      </c>
      <c r="H322" s="2">
        <v>0</v>
      </c>
      <c r="I322" s="2">
        <v>0</v>
      </c>
      <c r="J322" s="2">
        <v>0</v>
      </c>
      <c r="K322" s="2">
        <v>0</v>
      </c>
      <c r="L322" s="2">
        <v>0</v>
      </c>
      <c r="M322" s="2">
        <v>158292.1</v>
      </c>
      <c r="N322" s="2">
        <v>262358.3</v>
      </c>
      <c r="O322" s="4">
        <f t="shared" si="20"/>
        <v>4085056.8</v>
      </c>
    </row>
    <row r="323" spans="1:15" x14ac:dyDescent="0.5">
      <c r="A323">
        <v>72</v>
      </c>
      <c r="B323">
        <v>72</v>
      </c>
      <c r="C323" t="s">
        <v>19</v>
      </c>
      <c r="D323" s="2">
        <v>790612.1</v>
      </c>
      <c r="E323" s="2">
        <v>0</v>
      </c>
      <c r="F323" s="2">
        <v>0</v>
      </c>
      <c r="G323" s="2">
        <v>2769483.8</v>
      </c>
      <c r="H323" s="2">
        <v>169814.7</v>
      </c>
      <c r="I323" s="2">
        <v>0</v>
      </c>
      <c r="J323" s="2">
        <v>100910.3</v>
      </c>
      <c r="K323" s="2">
        <v>0</v>
      </c>
      <c r="L323" s="2">
        <v>0</v>
      </c>
      <c r="M323" s="2">
        <v>51954.3</v>
      </c>
      <c r="N323" s="2">
        <v>707922.9</v>
      </c>
      <c r="O323" s="4">
        <f t="shared" si="20"/>
        <v>4590698.0999999996</v>
      </c>
    </row>
    <row r="324" spans="1:15" x14ac:dyDescent="0.5">
      <c r="A324">
        <v>96</v>
      </c>
      <c r="B324">
        <v>96</v>
      </c>
      <c r="C324" t="s">
        <v>20</v>
      </c>
      <c r="D324" s="2">
        <v>2269162</v>
      </c>
      <c r="E324" s="2">
        <v>1112126.1000000001</v>
      </c>
      <c r="F324" s="2">
        <v>10788229</v>
      </c>
      <c r="G324" s="2">
        <v>4541997.5</v>
      </c>
      <c r="H324" s="2">
        <v>22930698</v>
      </c>
      <c r="I324" s="2">
        <v>83455152</v>
      </c>
      <c r="J324" s="2">
        <v>523733</v>
      </c>
      <c r="K324" s="2">
        <v>2083799.9</v>
      </c>
      <c r="L324" s="2">
        <v>1226737.8999999999</v>
      </c>
      <c r="M324" s="2">
        <v>5134364</v>
      </c>
      <c r="N324" s="2">
        <v>32014208</v>
      </c>
      <c r="O324" s="4">
        <f t="shared" si="20"/>
        <v>166080207.40000001</v>
      </c>
    </row>
    <row r="325" spans="1:15" x14ac:dyDescent="0.5">
      <c r="A325">
        <v>121</v>
      </c>
      <c r="B325">
        <v>121</v>
      </c>
      <c r="C325" t="s">
        <v>21</v>
      </c>
      <c r="D325" s="2">
        <v>10145509</v>
      </c>
      <c r="E325" s="2">
        <v>0</v>
      </c>
      <c r="F325" s="2">
        <v>0</v>
      </c>
      <c r="G325" s="2">
        <v>40951184</v>
      </c>
      <c r="H325" s="2">
        <v>0</v>
      </c>
      <c r="I325" s="2">
        <v>0</v>
      </c>
      <c r="J325" s="2">
        <v>383905.2</v>
      </c>
      <c r="K325" s="2">
        <v>0</v>
      </c>
      <c r="L325" s="2">
        <v>0</v>
      </c>
      <c r="M325" s="2">
        <v>257874.1</v>
      </c>
      <c r="N325" s="2">
        <v>350500.9</v>
      </c>
      <c r="O325" s="4">
        <f t="shared" si="20"/>
        <v>52088973.200000003</v>
      </c>
    </row>
    <row r="326" spans="1:15" x14ac:dyDescent="0.5">
      <c r="A326">
        <v>126</v>
      </c>
      <c r="B326">
        <v>126</v>
      </c>
      <c r="C326" t="s">
        <v>22</v>
      </c>
      <c r="D326" s="2">
        <v>1497457.8</v>
      </c>
      <c r="E326" s="2">
        <v>330281.59999999998</v>
      </c>
      <c r="F326" s="2">
        <v>18106.5</v>
      </c>
      <c r="G326" s="2">
        <v>1468346.8</v>
      </c>
      <c r="H326" s="2">
        <v>1699774</v>
      </c>
      <c r="I326" s="2">
        <v>0</v>
      </c>
      <c r="J326" s="2">
        <v>30107.1</v>
      </c>
      <c r="K326" s="2">
        <v>57215.5</v>
      </c>
      <c r="L326" s="2">
        <v>0</v>
      </c>
      <c r="M326" s="2">
        <v>841901.4</v>
      </c>
      <c r="N326" s="2">
        <v>6177557</v>
      </c>
      <c r="O326" s="4">
        <f t="shared" si="20"/>
        <v>12120747.699999999</v>
      </c>
    </row>
    <row r="327" spans="1:15" x14ac:dyDescent="0.5">
      <c r="A327">
        <v>127</v>
      </c>
      <c r="B327">
        <v>127</v>
      </c>
      <c r="C327" t="s">
        <v>55</v>
      </c>
      <c r="D327" s="2">
        <v>4185231.3</v>
      </c>
      <c r="E327" s="2">
        <v>0</v>
      </c>
      <c r="F327" s="2">
        <v>0</v>
      </c>
      <c r="G327" s="2">
        <v>6234364</v>
      </c>
      <c r="H327" s="2">
        <v>0</v>
      </c>
      <c r="I327" s="2">
        <v>0</v>
      </c>
      <c r="J327" s="2">
        <v>172355.3</v>
      </c>
      <c r="K327" s="2">
        <v>0</v>
      </c>
      <c r="L327" s="2">
        <v>0</v>
      </c>
      <c r="M327" s="2">
        <v>8294.7000000000007</v>
      </c>
      <c r="N327" s="2">
        <v>2388</v>
      </c>
      <c r="O327" s="4">
        <f t="shared" si="20"/>
        <v>10602633.300000001</v>
      </c>
    </row>
    <row r="328" spans="1:15" x14ac:dyDescent="0.5">
      <c r="A328">
        <v>131</v>
      </c>
      <c r="B328">
        <v>131</v>
      </c>
      <c r="C328" t="s">
        <v>23</v>
      </c>
      <c r="D328" s="2">
        <v>218244.3</v>
      </c>
      <c r="E328" s="2">
        <v>985733.8</v>
      </c>
      <c r="F328" s="2">
        <v>305462.3</v>
      </c>
      <c r="G328" s="2">
        <v>2295415.5</v>
      </c>
      <c r="H328" s="2">
        <v>2926368</v>
      </c>
      <c r="I328" s="2">
        <v>925130.8</v>
      </c>
      <c r="J328" s="2">
        <v>2212.9</v>
      </c>
      <c r="K328" s="2">
        <v>29970</v>
      </c>
      <c r="L328" s="2">
        <v>0</v>
      </c>
      <c r="M328" s="2">
        <v>743657.8</v>
      </c>
      <c r="N328" s="2">
        <v>3918299.3</v>
      </c>
      <c r="O328" s="4">
        <f t="shared" si="20"/>
        <v>12350494.699999999</v>
      </c>
    </row>
    <row r="329" spans="1:15" x14ac:dyDescent="0.5">
      <c r="A329">
        <v>134</v>
      </c>
      <c r="B329">
        <v>134</v>
      </c>
      <c r="C329" t="s">
        <v>24</v>
      </c>
      <c r="D329" s="2">
        <v>13282887</v>
      </c>
      <c r="E329" s="2">
        <v>0</v>
      </c>
      <c r="F329" s="2">
        <v>0</v>
      </c>
      <c r="G329" s="2">
        <v>22983854</v>
      </c>
      <c r="H329" s="2">
        <v>0</v>
      </c>
      <c r="I329" s="2">
        <v>0</v>
      </c>
      <c r="J329" s="2">
        <v>76895.199999999997</v>
      </c>
      <c r="K329" s="2">
        <v>0</v>
      </c>
      <c r="L329" s="2">
        <v>0</v>
      </c>
      <c r="M329" s="2">
        <v>217461.2</v>
      </c>
      <c r="N329" s="2">
        <v>39050.9</v>
      </c>
      <c r="O329" s="4">
        <f t="shared" si="20"/>
        <v>36600148.300000004</v>
      </c>
    </row>
    <row r="330" spans="1:15" x14ac:dyDescent="0.5">
      <c r="A330">
        <v>135</v>
      </c>
      <c r="B330">
        <v>135</v>
      </c>
      <c r="C330" t="s">
        <v>25</v>
      </c>
      <c r="D330" s="2">
        <v>2575921.5</v>
      </c>
      <c r="E330" s="2">
        <v>3735138</v>
      </c>
      <c r="F330" s="2">
        <v>0</v>
      </c>
      <c r="G330" s="2">
        <v>137647600</v>
      </c>
      <c r="H330" s="2">
        <v>114388248</v>
      </c>
      <c r="I330" s="2">
        <v>7091503.5</v>
      </c>
      <c r="J330" s="2">
        <v>2403850.7999999998</v>
      </c>
      <c r="K330" s="2">
        <v>457854.4</v>
      </c>
      <c r="L330" s="2">
        <v>0</v>
      </c>
      <c r="M330" s="2">
        <v>3327375.3</v>
      </c>
      <c r="N330" s="2">
        <v>1111079.8</v>
      </c>
      <c r="O330" s="4">
        <f t="shared" si="20"/>
        <v>272738571.30000001</v>
      </c>
    </row>
    <row r="331" spans="1:15" x14ac:dyDescent="0.5">
      <c r="A331">
        <v>156</v>
      </c>
      <c r="B331">
        <v>156</v>
      </c>
      <c r="C331" t="s">
        <v>26</v>
      </c>
      <c r="D331" s="2">
        <v>0</v>
      </c>
      <c r="E331" s="2">
        <v>0</v>
      </c>
      <c r="F331" s="2">
        <v>0</v>
      </c>
      <c r="G331" s="2">
        <v>0</v>
      </c>
      <c r="H331" s="2">
        <v>4939154.5</v>
      </c>
      <c r="I331" s="2">
        <v>9702538</v>
      </c>
      <c r="J331" s="2">
        <v>0</v>
      </c>
      <c r="K331" s="2">
        <v>122897.7</v>
      </c>
      <c r="L331" s="2">
        <v>62697.8</v>
      </c>
      <c r="M331" s="2">
        <v>223293.5</v>
      </c>
      <c r="N331" s="2">
        <v>389131.5</v>
      </c>
      <c r="O331" s="4">
        <f t="shared" si="20"/>
        <v>15439713</v>
      </c>
    </row>
    <row r="332" spans="1:15" x14ac:dyDescent="0.5">
      <c r="A332">
        <v>159</v>
      </c>
      <c r="B332">
        <v>159</v>
      </c>
      <c r="C332" t="s">
        <v>27</v>
      </c>
      <c r="D332" s="2">
        <v>2764910.3</v>
      </c>
      <c r="E332" s="2">
        <v>0</v>
      </c>
      <c r="F332" s="2">
        <v>0</v>
      </c>
      <c r="G332" s="2">
        <v>28243744</v>
      </c>
      <c r="H332" s="2">
        <v>0</v>
      </c>
      <c r="I332" s="2">
        <v>0</v>
      </c>
      <c r="J332" s="2">
        <v>224109.7</v>
      </c>
      <c r="K332" s="2">
        <v>0</v>
      </c>
      <c r="L332" s="2">
        <v>0</v>
      </c>
      <c r="M332" s="2">
        <v>356173.6</v>
      </c>
      <c r="N332" s="2">
        <v>364738.5</v>
      </c>
      <c r="O332" s="4">
        <f t="shared" si="20"/>
        <v>31953676.100000001</v>
      </c>
    </row>
    <row r="333" spans="1:15" x14ac:dyDescent="0.5">
      <c r="A333">
        <v>178</v>
      </c>
      <c r="B333">
        <v>178</v>
      </c>
      <c r="C333" t="s">
        <v>56</v>
      </c>
      <c r="D333" s="2">
        <v>35713964</v>
      </c>
      <c r="E333" s="2">
        <v>25969.9</v>
      </c>
      <c r="F333" s="2">
        <v>0</v>
      </c>
      <c r="G333" s="2">
        <v>47468984</v>
      </c>
      <c r="H333" s="2">
        <v>0</v>
      </c>
      <c r="I333" s="2">
        <v>0</v>
      </c>
      <c r="J333" s="2">
        <v>73132</v>
      </c>
      <c r="K333" s="2">
        <v>0</v>
      </c>
      <c r="L333" s="2">
        <v>0</v>
      </c>
      <c r="M333" s="2">
        <v>203326.7</v>
      </c>
      <c r="N333" s="2">
        <v>512173.5</v>
      </c>
      <c r="O333" s="4">
        <f t="shared" si="20"/>
        <v>83997550.100000009</v>
      </c>
    </row>
    <row r="334" spans="1:15" x14ac:dyDescent="0.5">
      <c r="A334">
        <v>179</v>
      </c>
      <c r="B334">
        <v>179</v>
      </c>
      <c r="C334" t="s">
        <v>28</v>
      </c>
      <c r="D334" s="2">
        <v>0</v>
      </c>
      <c r="E334" s="2">
        <v>1247652.3</v>
      </c>
      <c r="F334" s="2">
        <v>0</v>
      </c>
      <c r="G334" s="2">
        <v>1969292.4</v>
      </c>
      <c r="H334" s="2">
        <v>4310737.5</v>
      </c>
      <c r="I334" s="2">
        <v>0</v>
      </c>
      <c r="J334" s="2">
        <v>0</v>
      </c>
      <c r="K334" s="2">
        <v>26795</v>
      </c>
      <c r="L334" s="2">
        <v>0</v>
      </c>
      <c r="M334" s="2">
        <v>93322</v>
      </c>
      <c r="N334" s="2">
        <v>21896.9</v>
      </c>
      <c r="O334" s="4">
        <f t="shared" si="20"/>
        <v>7669696.1000000006</v>
      </c>
    </row>
    <row r="335" spans="1:15" x14ac:dyDescent="0.5">
      <c r="A335">
        <v>188</v>
      </c>
      <c r="B335">
        <v>188</v>
      </c>
      <c r="C335" t="s">
        <v>29</v>
      </c>
      <c r="D335" s="2">
        <v>1962844.6</v>
      </c>
      <c r="E335" s="2">
        <v>6107206</v>
      </c>
      <c r="F335" s="2">
        <v>4051835.8</v>
      </c>
      <c r="G335" s="2">
        <v>17295700</v>
      </c>
      <c r="H335" s="2">
        <v>62646688</v>
      </c>
      <c r="I335" s="2">
        <v>11613586</v>
      </c>
      <c r="J335" s="2">
        <v>147092.1</v>
      </c>
      <c r="K335" s="2">
        <v>35442.5</v>
      </c>
      <c r="L335" s="2">
        <v>9780.1</v>
      </c>
      <c r="M335" s="2">
        <v>913208.5</v>
      </c>
      <c r="N335" s="2">
        <v>22643146</v>
      </c>
      <c r="O335" s="4">
        <f t="shared" si="20"/>
        <v>127426529.59999999</v>
      </c>
    </row>
    <row r="336" spans="1:15" x14ac:dyDescent="0.5">
      <c r="A336">
        <v>189</v>
      </c>
      <c r="B336">
        <v>189</v>
      </c>
      <c r="C336" t="s">
        <v>30</v>
      </c>
      <c r="D336" s="2">
        <v>251113.8</v>
      </c>
      <c r="E336" s="2">
        <v>4438202.5</v>
      </c>
      <c r="F336" s="2">
        <v>71114.8</v>
      </c>
      <c r="G336" s="2">
        <v>410451.3</v>
      </c>
      <c r="H336" s="2">
        <v>61471484</v>
      </c>
      <c r="I336" s="2">
        <v>21537258</v>
      </c>
      <c r="J336" s="2">
        <v>0</v>
      </c>
      <c r="K336" s="2">
        <v>56452</v>
      </c>
      <c r="L336" s="2">
        <v>0</v>
      </c>
      <c r="M336" s="2">
        <v>273476.2</v>
      </c>
      <c r="N336" s="2">
        <v>7373027</v>
      </c>
      <c r="O336" s="4">
        <f t="shared" si="20"/>
        <v>95882579.600000009</v>
      </c>
    </row>
    <row r="337" spans="1:15" x14ac:dyDescent="0.5">
      <c r="A337">
        <v>203</v>
      </c>
      <c r="B337">
        <v>203</v>
      </c>
      <c r="C337" t="s">
        <v>31</v>
      </c>
      <c r="D337" s="2">
        <v>7571746</v>
      </c>
      <c r="E337" s="2">
        <v>116751.3</v>
      </c>
      <c r="F337" s="2">
        <v>457960.5</v>
      </c>
      <c r="G337" s="2">
        <v>2271434.5</v>
      </c>
      <c r="H337" s="2">
        <v>76792.3</v>
      </c>
      <c r="I337" s="2">
        <v>0</v>
      </c>
      <c r="J337" s="2">
        <v>22128.5</v>
      </c>
      <c r="K337" s="2">
        <v>0</v>
      </c>
      <c r="L337" s="2">
        <v>0</v>
      </c>
      <c r="M337" s="2">
        <v>1165208.8</v>
      </c>
      <c r="N337" s="2">
        <v>8909667</v>
      </c>
      <c r="O337" s="4">
        <f t="shared" si="20"/>
        <v>20591688.900000002</v>
      </c>
    </row>
    <row r="338" spans="1:15" x14ac:dyDescent="0.5">
      <c r="A338">
        <v>204</v>
      </c>
      <c r="B338">
        <v>204</v>
      </c>
      <c r="C338" t="s">
        <v>32</v>
      </c>
      <c r="D338" s="2">
        <v>7087713.5</v>
      </c>
      <c r="E338" s="2">
        <v>0</v>
      </c>
      <c r="F338" s="2">
        <v>1257758.5</v>
      </c>
      <c r="G338" s="2">
        <v>19819142</v>
      </c>
      <c r="H338" s="2">
        <v>382599.7</v>
      </c>
      <c r="I338" s="2">
        <v>16219570</v>
      </c>
      <c r="J338" s="2">
        <v>111413.3</v>
      </c>
      <c r="K338" s="2">
        <v>0</v>
      </c>
      <c r="L338" s="2">
        <v>406259.4</v>
      </c>
      <c r="M338" s="2">
        <v>6137633.5</v>
      </c>
      <c r="N338" s="2">
        <v>9420966</v>
      </c>
      <c r="O338" s="4">
        <f t="shared" si="20"/>
        <v>60843055.899999999</v>
      </c>
    </row>
    <row r="339" spans="1:15" x14ac:dyDescent="0.5">
      <c r="D339" s="4">
        <f t="shared" ref="D339:N339" si="21">SUM(D313:D338)</f>
        <v>112959705.99999999</v>
      </c>
      <c r="E339" s="4">
        <f t="shared" si="21"/>
        <v>61268638.599999994</v>
      </c>
      <c r="F339" s="4">
        <f t="shared" si="21"/>
        <v>22429878</v>
      </c>
      <c r="G339" s="4">
        <f t="shared" si="21"/>
        <v>487038557.60000002</v>
      </c>
      <c r="H339" s="4">
        <f t="shared" si="21"/>
        <v>411765511</v>
      </c>
      <c r="I339" s="4">
        <f t="shared" si="21"/>
        <v>586246038.79999995</v>
      </c>
      <c r="J339" s="4">
        <f t="shared" si="21"/>
        <v>5251633.2999999989</v>
      </c>
      <c r="K339" s="4">
        <f t="shared" si="21"/>
        <v>3457306.4</v>
      </c>
      <c r="L339" s="4">
        <f t="shared" si="21"/>
        <v>11206975.600000001</v>
      </c>
      <c r="M339" s="4">
        <f t="shared" si="21"/>
        <v>30972941.600000001</v>
      </c>
      <c r="N339" s="4">
        <f t="shared" si="21"/>
        <v>124092672.09999999</v>
      </c>
      <c r="O339" s="4">
        <f>SUM(D339:N339)</f>
        <v>1856689858.9999998</v>
      </c>
    </row>
    <row r="340" spans="1:15" x14ac:dyDescent="0.5">
      <c r="A340" t="s">
        <v>47</v>
      </c>
      <c r="D340" s="2"/>
      <c r="E340" s="2"/>
      <c r="F340" s="2"/>
      <c r="G340" s="2"/>
      <c r="H340" s="2"/>
      <c r="I340" s="2"/>
      <c r="J340" s="2"/>
      <c r="K340" s="2"/>
      <c r="L340" s="2"/>
      <c r="M340" s="2"/>
      <c r="N340" s="2"/>
      <c r="O340" s="4"/>
    </row>
    <row r="341" spans="1:15" x14ac:dyDescent="0.5">
      <c r="A341">
        <v>13</v>
      </c>
      <c r="B341">
        <v>13</v>
      </c>
      <c r="C341" t="s">
        <v>12</v>
      </c>
      <c r="D341" s="2">
        <v>0</v>
      </c>
      <c r="E341" s="2">
        <v>0</v>
      </c>
      <c r="F341" s="2">
        <v>0</v>
      </c>
      <c r="G341" s="2">
        <v>0</v>
      </c>
      <c r="H341" s="2">
        <v>6448937</v>
      </c>
      <c r="I341" s="2">
        <v>26092006</v>
      </c>
      <c r="J341" s="2">
        <v>0</v>
      </c>
      <c r="K341" s="2">
        <v>436114.4</v>
      </c>
      <c r="L341" s="2">
        <v>150268.4</v>
      </c>
      <c r="M341" s="2">
        <v>760730.6</v>
      </c>
      <c r="N341" s="2">
        <v>2005473</v>
      </c>
      <c r="O341" s="4">
        <f>SUM(D341:N341)</f>
        <v>35893529.399999999</v>
      </c>
    </row>
    <row r="342" spans="1:15" x14ac:dyDescent="0.5">
      <c r="A342">
        <v>15</v>
      </c>
      <c r="B342">
        <v>15</v>
      </c>
      <c r="C342" t="s">
        <v>13</v>
      </c>
      <c r="D342" s="2">
        <v>10675366</v>
      </c>
      <c r="E342" s="2">
        <v>10877147</v>
      </c>
      <c r="F342" s="2">
        <v>0</v>
      </c>
      <c r="G342" s="2">
        <v>10648432</v>
      </c>
      <c r="H342" s="2">
        <v>17513444</v>
      </c>
      <c r="I342" s="2">
        <v>0</v>
      </c>
      <c r="J342" s="2">
        <v>0</v>
      </c>
      <c r="K342" s="2">
        <v>168872</v>
      </c>
      <c r="L342" s="2">
        <v>0</v>
      </c>
      <c r="M342" s="2">
        <v>875773.1</v>
      </c>
      <c r="N342" s="2">
        <v>271363.20000000001</v>
      </c>
      <c r="O342" s="4">
        <f t="shared" ref="O342:O366" si="22">SUM(D342:N342)</f>
        <v>51030397.300000004</v>
      </c>
    </row>
    <row r="343" spans="1:15" x14ac:dyDescent="0.5">
      <c r="A343">
        <v>16</v>
      </c>
      <c r="B343">
        <v>16</v>
      </c>
      <c r="C343" t="s">
        <v>52</v>
      </c>
      <c r="D343" s="2">
        <v>16923118</v>
      </c>
      <c r="E343" s="2">
        <v>2644297</v>
      </c>
      <c r="F343" s="2">
        <v>0</v>
      </c>
      <c r="G343" s="2">
        <v>108069408</v>
      </c>
      <c r="H343" s="2">
        <v>624358.5</v>
      </c>
      <c r="I343" s="2">
        <v>0</v>
      </c>
      <c r="J343" s="2">
        <v>17427.5</v>
      </c>
      <c r="K343" s="2">
        <v>0</v>
      </c>
      <c r="L343" s="2">
        <v>0</v>
      </c>
      <c r="M343" s="2">
        <v>3738505.5</v>
      </c>
      <c r="N343" s="2">
        <v>408660.4</v>
      </c>
      <c r="O343" s="4">
        <f t="shared" si="22"/>
        <v>132425774.90000001</v>
      </c>
    </row>
    <row r="344" spans="1:15" x14ac:dyDescent="0.5">
      <c r="A344">
        <v>30</v>
      </c>
      <c r="B344">
        <v>30</v>
      </c>
      <c r="C344" t="s">
        <v>53</v>
      </c>
      <c r="D344" s="2">
        <v>62137076</v>
      </c>
      <c r="E344" s="2">
        <v>0</v>
      </c>
      <c r="F344" s="2">
        <v>0</v>
      </c>
      <c r="G344" s="2">
        <v>17273012</v>
      </c>
      <c r="H344" s="2">
        <v>0</v>
      </c>
      <c r="I344" s="2">
        <v>0</v>
      </c>
      <c r="J344" s="2">
        <v>0</v>
      </c>
      <c r="K344" s="2">
        <v>0</v>
      </c>
      <c r="L344" s="2">
        <v>0</v>
      </c>
      <c r="M344" s="2">
        <v>2474590.2999999998</v>
      </c>
      <c r="N344" s="2">
        <v>448112.9</v>
      </c>
      <c r="O344" s="4">
        <f t="shared" si="22"/>
        <v>82332791.200000003</v>
      </c>
    </row>
    <row r="345" spans="1:15" x14ac:dyDescent="0.5">
      <c r="A345">
        <v>37</v>
      </c>
      <c r="B345">
        <v>37</v>
      </c>
      <c r="C345" t="s">
        <v>14</v>
      </c>
      <c r="D345" s="2">
        <v>3268313.3</v>
      </c>
      <c r="E345" s="2">
        <v>36858296</v>
      </c>
      <c r="F345" s="2">
        <v>0</v>
      </c>
      <c r="G345" s="2">
        <v>4846572.5</v>
      </c>
      <c r="H345" s="2">
        <v>25145698</v>
      </c>
      <c r="I345" s="2">
        <v>0</v>
      </c>
      <c r="J345" s="2">
        <v>0</v>
      </c>
      <c r="K345" s="2">
        <v>501733.9</v>
      </c>
      <c r="L345" s="2">
        <v>0</v>
      </c>
      <c r="M345" s="2">
        <v>171960.9</v>
      </c>
      <c r="N345" s="2">
        <v>344445.5</v>
      </c>
      <c r="O345" s="4">
        <f t="shared" si="22"/>
        <v>71137020.100000009</v>
      </c>
    </row>
    <row r="346" spans="1:15" x14ac:dyDescent="0.5">
      <c r="A346">
        <v>38</v>
      </c>
      <c r="B346">
        <v>38</v>
      </c>
      <c r="C346" t="s">
        <v>54</v>
      </c>
      <c r="D346" s="2">
        <v>3513192.5</v>
      </c>
      <c r="E346" s="2">
        <v>71169344</v>
      </c>
      <c r="F346" s="2">
        <v>4269324</v>
      </c>
      <c r="G346" s="2">
        <v>27134622</v>
      </c>
      <c r="H346" s="2">
        <v>16340054</v>
      </c>
      <c r="I346" s="2">
        <v>16705329</v>
      </c>
      <c r="J346" s="2">
        <v>275625.40000000002</v>
      </c>
      <c r="K346" s="2">
        <v>0</v>
      </c>
      <c r="L346" s="2">
        <v>0</v>
      </c>
      <c r="M346" s="2">
        <v>1767730.8</v>
      </c>
      <c r="N346" s="2">
        <v>9980352</v>
      </c>
      <c r="O346" s="4">
        <f t="shared" si="22"/>
        <v>151155573.70000002</v>
      </c>
    </row>
    <row r="347" spans="1:15" x14ac:dyDescent="0.5">
      <c r="A347">
        <v>60</v>
      </c>
      <c r="B347">
        <v>60</v>
      </c>
      <c r="C347" t="s">
        <v>15</v>
      </c>
      <c r="D347" s="2">
        <v>161656000</v>
      </c>
      <c r="E347" s="2">
        <v>14772577</v>
      </c>
      <c r="F347" s="2">
        <v>19163260</v>
      </c>
      <c r="G347" s="2">
        <v>422888160</v>
      </c>
      <c r="H347" s="2">
        <v>246002928</v>
      </c>
      <c r="I347" s="2">
        <v>2198617600</v>
      </c>
      <c r="J347" s="2">
        <v>8404043</v>
      </c>
      <c r="K347" s="2">
        <v>818696.6</v>
      </c>
      <c r="L347" s="2">
        <v>48740220</v>
      </c>
      <c r="M347" s="2">
        <v>47747768</v>
      </c>
      <c r="N347" s="2">
        <v>184192896</v>
      </c>
      <c r="O347" s="4">
        <f t="shared" si="22"/>
        <v>3353004148.5999999</v>
      </c>
    </row>
    <row r="348" spans="1:15" x14ac:dyDescent="0.5">
      <c r="A348">
        <v>67</v>
      </c>
      <c r="B348">
        <v>67</v>
      </c>
      <c r="C348" t="s">
        <v>16</v>
      </c>
      <c r="D348" s="2">
        <v>4421525.5</v>
      </c>
      <c r="E348" s="2">
        <v>15372559</v>
      </c>
      <c r="F348" s="2">
        <v>0</v>
      </c>
      <c r="G348" s="2">
        <v>10570085</v>
      </c>
      <c r="H348" s="2">
        <v>36259168</v>
      </c>
      <c r="I348" s="2">
        <v>0</v>
      </c>
      <c r="J348" s="2">
        <v>44602.5</v>
      </c>
      <c r="K348" s="2">
        <v>0</v>
      </c>
      <c r="L348" s="2">
        <v>0</v>
      </c>
      <c r="M348" s="2">
        <v>1675831.4</v>
      </c>
      <c r="N348" s="2">
        <v>1594916.9</v>
      </c>
      <c r="O348" s="4">
        <f t="shared" si="22"/>
        <v>69938688.300000012</v>
      </c>
    </row>
    <row r="349" spans="1:15" x14ac:dyDescent="0.5">
      <c r="A349">
        <v>69</v>
      </c>
      <c r="B349">
        <v>69</v>
      </c>
      <c r="C349" t="s">
        <v>17</v>
      </c>
      <c r="D349" s="2">
        <v>13181470</v>
      </c>
      <c r="E349" s="2">
        <v>16322896</v>
      </c>
      <c r="F349" s="2">
        <v>0</v>
      </c>
      <c r="G349" s="2">
        <v>7592588.5</v>
      </c>
      <c r="H349" s="2">
        <v>109905224</v>
      </c>
      <c r="I349" s="2">
        <v>0</v>
      </c>
      <c r="J349" s="2">
        <v>99310.3</v>
      </c>
      <c r="K349" s="2">
        <v>138284.4</v>
      </c>
      <c r="L349" s="2">
        <v>0</v>
      </c>
      <c r="M349" s="2">
        <v>1357642.4</v>
      </c>
      <c r="N349" s="2">
        <v>8080084</v>
      </c>
      <c r="O349" s="4">
        <f t="shared" si="22"/>
        <v>156677499.60000002</v>
      </c>
    </row>
    <row r="350" spans="1:15" x14ac:dyDescent="0.5">
      <c r="A350">
        <v>71</v>
      </c>
      <c r="B350">
        <v>71</v>
      </c>
      <c r="C350" t="s">
        <v>18</v>
      </c>
      <c r="D350" s="2">
        <v>141442.70000000001</v>
      </c>
      <c r="E350" s="2">
        <v>0</v>
      </c>
      <c r="F350" s="2">
        <v>0</v>
      </c>
      <c r="G350" s="2">
        <v>5671506</v>
      </c>
      <c r="H350" s="2">
        <v>0</v>
      </c>
      <c r="I350" s="2">
        <v>0</v>
      </c>
      <c r="J350" s="2">
        <v>0</v>
      </c>
      <c r="K350" s="2">
        <v>0</v>
      </c>
      <c r="L350" s="2">
        <v>0</v>
      </c>
      <c r="M350" s="2">
        <v>494257.9</v>
      </c>
      <c r="N350" s="2">
        <v>813438</v>
      </c>
      <c r="O350" s="4">
        <f t="shared" si="22"/>
        <v>7120644.6000000006</v>
      </c>
    </row>
    <row r="351" spans="1:15" x14ac:dyDescent="0.5">
      <c r="A351">
        <v>72</v>
      </c>
      <c r="B351">
        <v>72</v>
      </c>
      <c r="C351" t="s">
        <v>19</v>
      </c>
      <c r="D351" s="2">
        <v>3692807.8</v>
      </c>
      <c r="E351" s="2">
        <v>0</v>
      </c>
      <c r="F351" s="2">
        <v>0</v>
      </c>
      <c r="G351" s="2">
        <v>4747198.5</v>
      </c>
      <c r="H351" s="2">
        <v>370031.3</v>
      </c>
      <c r="I351" s="2">
        <v>0</v>
      </c>
      <c r="J351" s="2">
        <v>149837.6</v>
      </c>
      <c r="K351" s="2">
        <v>0</v>
      </c>
      <c r="L351" s="2">
        <v>0</v>
      </c>
      <c r="M351" s="2">
        <v>183598.6</v>
      </c>
      <c r="N351" s="2">
        <v>2229911.5</v>
      </c>
      <c r="O351" s="4">
        <f t="shared" si="22"/>
        <v>11373385.300000001</v>
      </c>
    </row>
    <row r="352" spans="1:15" x14ac:dyDescent="0.5">
      <c r="A352">
        <v>96</v>
      </c>
      <c r="B352">
        <v>96</v>
      </c>
      <c r="C352" t="s">
        <v>20</v>
      </c>
      <c r="D352" s="2">
        <v>114248488</v>
      </c>
      <c r="E352" s="2">
        <v>10015592</v>
      </c>
      <c r="F352" s="2">
        <v>71386176</v>
      </c>
      <c r="G352" s="2">
        <v>87754952</v>
      </c>
      <c r="H352" s="2">
        <v>130034624</v>
      </c>
      <c r="I352" s="2">
        <v>460862208</v>
      </c>
      <c r="J352" s="2">
        <v>4629228</v>
      </c>
      <c r="K352" s="2">
        <v>11358869</v>
      </c>
      <c r="L352" s="2">
        <v>6223630</v>
      </c>
      <c r="M352" s="2">
        <v>41751628</v>
      </c>
      <c r="N352" s="2">
        <v>281464640</v>
      </c>
      <c r="O352" s="4">
        <f t="shared" si="22"/>
        <v>1219730035</v>
      </c>
    </row>
    <row r="353" spans="1:15" x14ac:dyDescent="0.5">
      <c r="A353">
        <v>121</v>
      </c>
      <c r="B353">
        <v>121</v>
      </c>
      <c r="C353" t="s">
        <v>21</v>
      </c>
      <c r="D353" s="2">
        <v>46824328</v>
      </c>
      <c r="E353" s="2">
        <v>0</v>
      </c>
      <c r="F353" s="2">
        <v>0</v>
      </c>
      <c r="G353" s="2">
        <v>63769660</v>
      </c>
      <c r="H353" s="2">
        <v>0</v>
      </c>
      <c r="I353" s="2">
        <v>0</v>
      </c>
      <c r="J353" s="2">
        <v>618000.9</v>
      </c>
      <c r="K353" s="2">
        <v>0</v>
      </c>
      <c r="L353" s="2">
        <v>0</v>
      </c>
      <c r="M353" s="2">
        <v>734937.8</v>
      </c>
      <c r="N353" s="2">
        <v>756407.5</v>
      </c>
      <c r="O353" s="4">
        <f t="shared" si="22"/>
        <v>112703334.2</v>
      </c>
    </row>
    <row r="354" spans="1:15" x14ac:dyDescent="0.5">
      <c r="A354">
        <v>126</v>
      </c>
      <c r="B354">
        <v>126</v>
      </c>
      <c r="C354" t="s">
        <v>22</v>
      </c>
      <c r="D354" s="2">
        <v>8931398</v>
      </c>
      <c r="E354" s="2">
        <v>1329500</v>
      </c>
      <c r="F354" s="2">
        <v>64294.3</v>
      </c>
      <c r="G354" s="2">
        <v>8983886</v>
      </c>
      <c r="H354" s="2">
        <v>6803699</v>
      </c>
      <c r="I354" s="2">
        <v>0</v>
      </c>
      <c r="J354" s="2">
        <v>301754.3</v>
      </c>
      <c r="K354" s="2">
        <v>227165.4</v>
      </c>
      <c r="L354" s="2">
        <v>0</v>
      </c>
      <c r="M354" s="2">
        <v>1977897.1</v>
      </c>
      <c r="N354" s="2">
        <v>24412666</v>
      </c>
      <c r="O354" s="4">
        <f t="shared" si="22"/>
        <v>53032260.100000001</v>
      </c>
    </row>
    <row r="355" spans="1:15" x14ac:dyDescent="0.5">
      <c r="A355">
        <v>127</v>
      </c>
      <c r="B355">
        <v>127</v>
      </c>
      <c r="C355" t="s">
        <v>55</v>
      </c>
      <c r="D355" s="2">
        <v>17837826</v>
      </c>
      <c r="E355" s="2">
        <v>0</v>
      </c>
      <c r="F355" s="2">
        <v>0</v>
      </c>
      <c r="G355" s="2">
        <v>10414803</v>
      </c>
      <c r="H355" s="2">
        <v>0</v>
      </c>
      <c r="I355" s="2">
        <v>0</v>
      </c>
      <c r="J355" s="2">
        <v>274831</v>
      </c>
      <c r="K355" s="2">
        <v>0</v>
      </c>
      <c r="L355" s="2">
        <v>0</v>
      </c>
      <c r="M355" s="2">
        <v>30889.4</v>
      </c>
      <c r="N355" s="2">
        <v>8438.7999999999993</v>
      </c>
      <c r="O355" s="4">
        <f t="shared" si="22"/>
        <v>28566788.199999999</v>
      </c>
    </row>
    <row r="356" spans="1:15" x14ac:dyDescent="0.5">
      <c r="A356">
        <v>131</v>
      </c>
      <c r="B356">
        <v>131</v>
      </c>
      <c r="C356" t="s">
        <v>23</v>
      </c>
      <c r="D356" s="2">
        <v>1612229.5</v>
      </c>
      <c r="E356" s="2">
        <v>3801698.3</v>
      </c>
      <c r="F356" s="2">
        <v>1083263.3</v>
      </c>
      <c r="G356" s="2">
        <v>17578910</v>
      </c>
      <c r="H356" s="2">
        <v>11766335</v>
      </c>
      <c r="I356" s="2">
        <v>3394750.8</v>
      </c>
      <c r="J356" s="2">
        <v>22179.4</v>
      </c>
      <c r="K356" s="2">
        <v>118991.2</v>
      </c>
      <c r="L356" s="2">
        <v>0</v>
      </c>
      <c r="M356" s="2">
        <v>1778641.8</v>
      </c>
      <c r="N356" s="2">
        <v>14952357</v>
      </c>
      <c r="O356" s="4">
        <f t="shared" si="22"/>
        <v>56109356.299999997</v>
      </c>
    </row>
    <row r="357" spans="1:15" x14ac:dyDescent="0.5">
      <c r="A357">
        <v>134</v>
      </c>
      <c r="B357">
        <v>134</v>
      </c>
      <c r="C357" t="s">
        <v>24</v>
      </c>
      <c r="D357" s="2">
        <v>64983312</v>
      </c>
      <c r="E357" s="2">
        <v>0</v>
      </c>
      <c r="F357" s="2">
        <v>0</v>
      </c>
      <c r="G357" s="2">
        <v>35076228</v>
      </c>
      <c r="H357" s="2">
        <v>0</v>
      </c>
      <c r="I357" s="2">
        <v>0</v>
      </c>
      <c r="J357" s="2">
        <v>114178.6</v>
      </c>
      <c r="K357" s="2">
        <v>0</v>
      </c>
      <c r="L357" s="2">
        <v>0</v>
      </c>
      <c r="M357" s="2">
        <v>657614.80000000005</v>
      </c>
      <c r="N357" s="2">
        <v>101953.60000000001</v>
      </c>
      <c r="O357" s="4">
        <f t="shared" si="22"/>
        <v>100933286.99999999</v>
      </c>
    </row>
    <row r="358" spans="1:15" x14ac:dyDescent="0.5">
      <c r="A358">
        <v>135</v>
      </c>
      <c r="B358">
        <v>135</v>
      </c>
      <c r="C358" t="s">
        <v>25</v>
      </c>
      <c r="D358" s="2">
        <v>9324991</v>
      </c>
      <c r="E358" s="2">
        <v>19961430</v>
      </c>
      <c r="F358" s="2">
        <v>0</v>
      </c>
      <c r="G358" s="2">
        <v>208187088</v>
      </c>
      <c r="H358" s="2">
        <v>265862992</v>
      </c>
      <c r="I358" s="2">
        <v>21213604</v>
      </c>
      <c r="J358" s="2">
        <v>3647987.3</v>
      </c>
      <c r="K358" s="2">
        <v>1099888.1000000001</v>
      </c>
      <c r="L358" s="2">
        <v>0</v>
      </c>
      <c r="M358" s="2">
        <v>9677290</v>
      </c>
      <c r="N358" s="2">
        <v>3344427.3</v>
      </c>
      <c r="O358" s="4">
        <f t="shared" si="22"/>
        <v>542319697.70000005</v>
      </c>
    </row>
    <row r="359" spans="1:15" x14ac:dyDescent="0.5">
      <c r="A359">
        <v>156</v>
      </c>
      <c r="B359">
        <v>156</v>
      </c>
      <c r="C359" t="s">
        <v>26</v>
      </c>
      <c r="D359" s="2">
        <v>0</v>
      </c>
      <c r="E359" s="2">
        <v>0</v>
      </c>
      <c r="F359" s="2">
        <v>0</v>
      </c>
      <c r="G359" s="2">
        <v>0</v>
      </c>
      <c r="H359" s="2">
        <v>24468758</v>
      </c>
      <c r="I359" s="2">
        <v>50415976</v>
      </c>
      <c r="J359" s="2">
        <v>0</v>
      </c>
      <c r="K359" s="2">
        <v>623498.69999999995</v>
      </c>
      <c r="L359" s="2">
        <v>318085.8</v>
      </c>
      <c r="M359" s="2">
        <v>1665366.3</v>
      </c>
      <c r="N359" s="2">
        <v>2823088.8</v>
      </c>
      <c r="O359" s="4">
        <f t="shared" si="22"/>
        <v>80314773.599999994</v>
      </c>
    </row>
    <row r="360" spans="1:15" x14ac:dyDescent="0.5">
      <c r="A360">
        <v>159</v>
      </c>
      <c r="B360">
        <v>159</v>
      </c>
      <c r="C360" t="s">
        <v>27</v>
      </c>
      <c r="D360" s="2">
        <v>11362408</v>
      </c>
      <c r="E360" s="2">
        <v>0</v>
      </c>
      <c r="F360" s="2">
        <v>0</v>
      </c>
      <c r="G360" s="2">
        <v>43933384</v>
      </c>
      <c r="H360" s="2">
        <v>0</v>
      </c>
      <c r="I360" s="2">
        <v>0</v>
      </c>
      <c r="J360" s="2">
        <v>357223.8</v>
      </c>
      <c r="K360" s="2">
        <v>0</v>
      </c>
      <c r="L360" s="2">
        <v>0</v>
      </c>
      <c r="M360" s="2">
        <v>1166283</v>
      </c>
      <c r="N360" s="2">
        <v>965719.4</v>
      </c>
      <c r="O360" s="4">
        <f t="shared" si="22"/>
        <v>57785018.199999996</v>
      </c>
    </row>
    <row r="361" spans="1:15" x14ac:dyDescent="0.5">
      <c r="A361">
        <v>178</v>
      </c>
      <c r="B361">
        <v>178</v>
      </c>
      <c r="C361" t="s">
        <v>56</v>
      </c>
      <c r="D361" s="2">
        <v>50822612</v>
      </c>
      <c r="E361" s="2">
        <v>44209.599999999999</v>
      </c>
      <c r="F361" s="2">
        <v>0</v>
      </c>
      <c r="G361" s="2">
        <v>48056224</v>
      </c>
      <c r="H361" s="2">
        <v>0</v>
      </c>
      <c r="I361" s="2">
        <v>0</v>
      </c>
      <c r="J361" s="2">
        <v>85210.9</v>
      </c>
      <c r="K361" s="2">
        <v>0</v>
      </c>
      <c r="L361" s="2">
        <v>0</v>
      </c>
      <c r="M361" s="2">
        <v>284918.5</v>
      </c>
      <c r="N361" s="2">
        <v>684948.6</v>
      </c>
      <c r="O361" s="4">
        <f t="shared" si="22"/>
        <v>99978123.599999994</v>
      </c>
    </row>
    <row r="362" spans="1:15" x14ac:dyDescent="0.5">
      <c r="A362">
        <v>179</v>
      </c>
      <c r="B362">
        <v>179</v>
      </c>
      <c r="C362" t="s">
        <v>28</v>
      </c>
      <c r="D362" s="2">
        <v>0</v>
      </c>
      <c r="E362" s="2">
        <v>3247090</v>
      </c>
      <c r="F362" s="2">
        <v>0</v>
      </c>
      <c r="G362" s="2">
        <v>3126948</v>
      </c>
      <c r="H362" s="2">
        <v>10075985</v>
      </c>
      <c r="I362" s="2">
        <v>0</v>
      </c>
      <c r="J362" s="2">
        <v>0</v>
      </c>
      <c r="K362" s="2">
        <v>62887.9</v>
      </c>
      <c r="L362" s="2">
        <v>0</v>
      </c>
      <c r="M362" s="2">
        <v>290869.3</v>
      </c>
      <c r="N362" s="2">
        <v>61067.7</v>
      </c>
      <c r="O362" s="4">
        <f t="shared" si="22"/>
        <v>16864847.899999999</v>
      </c>
    </row>
    <row r="363" spans="1:15" x14ac:dyDescent="0.5">
      <c r="A363">
        <v>188</v>
      </c>
      <c r="B363">
        <v>188</v>
      </c>
      <c r="C363" t="s">
        <v>29</v>
      </c>
      <c r="D363" s="2">
        <v>96863472</v>
      </c>
      <c r="E363" s="2">
        <v>45076556</v>
      </c>
      <c r="F363" s="2">
        <v>27385990</v>
      </c>
      <c r="G363" s="2">
        <v>426635104</v>
      </c>
      <c r="H363" s="2">
        <v>329120864</v>
      </c>
      <c r="I363" s="2">
        <v>69720064</v>
      </c>
      <c r="J363" s="2">
        <v>1627125.8</v>
      </c>
      <c r="K363" s="2">
        <v>171725.1</v>
      </c>
      <c r="L363" s="2">
        <v>49617.599999999999</v>
      </c>
      <c r="M363" s="2">
        <v>8762032</v>
      </c>
      <c r="N363" s="2">
        <v>201353424</v>
      </c>
      <c r="O363" s="4">
        <f t="shared" si="22"/>
        <v>1206765974.5</v>
      </c>
    </row>
    <row r="364" spans="1:15" x14ac:dyDescent="0.5">
      <c r="A364">
        <v>189</v>
      </c>
      <c r="B364">
        <v>189</v>
      </c>
      <c r="C364" t="s">
        <v>30</v>
      </c>
      <c r="D364" s="2">
        <v>2663783</v>
      </c>
      <c r="E364" s="2">
        <v>32162570</v>
      </c>
      <c r="F364" s="2">
        <v>621803.6</v>
      </c>
      <c r="G364" s="2">
        <v>8062798.5</v>
      </c>
      <c r="H364" s="2">
        <v>341936448</v>
      </c>
      <c r="I364" s="2">
        <v>114737800</v>
      </c>
      <c r="J364" s="2">
        <v>0</v>
      </c>
      <c r="K364" s="2">
        <v>273520.09999999998</v>
      </c>
      <c r="L364" s="2">
        <v>0</v>
      </c>
      <c r="M364" s="2">
        <v>2498510.2999999998</v>
      </c>
      <c r="N364" s="2">
        <v>63063384</v>
      </c>
      <c r="O364" s="4">
        <f t="shared" si="22"/>
        <v>566020617.5</v>
      </c>
    </row>
    <row r="365" spans="1:15" x14ac:dyDescent="0.5">
      <c r="A365">
        <v>203</v>
      </c>
      <c r="B365">
        <v>203</v>
      </c>
      <c r="C365" t="s">
        <v>31</v>
      </c>
      <c r="D365" s="2">
        <v>61339760</v>
      </c>
      <c r="E365" s="2">
        <v>524370.30000000005</v>
      </c>
      <c r="F365" s="2">
        <v>1597839.8</v>
      </c>
      <c r="G365" s="2">
        <v>21329246</v>
      </c>
      <c r="H365" s="2">
        <v>292673.09999999998</v>
      </c>
      <c r="I365" s="2">
        <v>0</v>
      </c>
      <c r="J365" s="2">
        <v>225794.3</v>
      </c>
      <c r="K365" s="2">
        <v>0</v>
      </c>
      <c r="L365" s="2">
        <v>0</v>
      </c>
      <c r="M365" s="2">
        <v>2661211.2999999998</v>
      </c>
      <c r="N365" s="2">
        <v>36271608</v>
      </c>
      <c r="O365" s="4">
        <f t="shared" si="22"/>
        <v>124242502.79999998</v>
      </c>
    </row>
    <row r="366" spans="1:15" x14ac:dyDescent="0.5">
      <c r="A366">
        <v>204</v>
      </c>
      <c r="B366">
        <v>204</v>
      </c>
      <c r="C366" t="s">
        <v>32</v>
      </c>
      <c r="D366" s="2">
        <v>59389260</v>
      </c>
      <c r="E366" s="2">
        <v>0</v>
      </c>
      <c r="F366" s="2">
        <v>4222337.5</v>
      </c>
      <c r="G366" s="2">
        <v>153372160</v>
      </c>
      <c r="H366" s="2">
        <v>1385277.1</v>
      </c>
      <c r="I366" s="2">
        <v>55674188</v>
      </c>
      <c r="J366" s="2">
        <v>986618.5</v>
      </c>
      <c r="K366" s="2">
        <v>0</v>
      </c>
      <c r="L366" s="2">
        <v>1388210</v>
      </c>
      <c r="M366" s="2">
        <v>14199210</v>
      </c>
      <c r="N366" s="2">
        <v>38832156</v>
      </c>
      <c r="O366" s="4">
        <f t="shared" si="22"/>
        <v>329449417.10000002</v>
      </c>
    </row>
    <row r="367" spans="1:15" x14ac:dyDescent="0.5">
      <c r="D367" s="4">
        <f t="shared" ref="D367:N367" si="23">SUM(D341:D366)</f>
        <v>825814179.29999995</v>
      </c>
      <c r="E367" s="4">
        <f t="shared" si="23"/>
        <v>284180132.19999999</v>
      </c>
      <c r="F367" s="4">
        <f t="shared" si="23"/>
        <v>129794288.49999999</v>
      </c>
      <c r="G367" s="4">
        <f t="shared" si="23"/>
        <v>1755722976</v>
      </c>
      <c r="H367" s="4">
        <f t="shared" si="23"/>
        <v>1580357497.9999998</v>
      </c>
      <c r="I367" s="4">
        <f t="shared" si="23"/>
        <v>3017433525.8000002</v>
      </c>
      <c r="J367" s="4">
        <f t="shared" si="23"/>
        <v>21880979.100000001</v>
      </c>
      <c r="K367" s="4">
        <f t="shared" si="23"/>
        <v>16000246.799999999</v>
      </c>
      <c r="L367" s="4">
        <f t="shared" si="23"/>
        <v>56870031.799999997</v>
      </c>
      <c r="M367" s="4">
        <f t="shared" si="23"/>
        <v>149385689.09999999</v>
      </c>
      <c r="N367" s="4">
        <f t="shared" si="23"/>
        <v>879465940.10000002</v>
      </c>
      <c r="O367" s="4">
        <f>SUM(D367:N367)</f>
        <v>8716905486.7000008</v>
      </c>
    </row>
    <row r="368" spans="1:15" x14ac:dyDescent="0.5">
      <c r="A368" t="s">
        <v>59</v>
      </c>
      <c r="D368" s="2"/>
      <c r="E368" s="2"/>
      <c r="F368" s="2"/>
      <c r="G368" s="2"/>
      <c r="H368" s="2"/>
      <c r="I368" s="2"/>
      <c r="J368" s="2"/>
      <c r="K368" s="2"/>
      <c r="L368" s="2"/>
      <c r="M368" s="2"/>
      <c r="N368" s="2"/>
    </row>
    <row r="369" spans="1:15" x14ac:dyDescent="0.5">
      <c r="A369">
        <v>13</v>
      </c>
      <c r="B369">
        <v>13</v>
      </c>
      <c r="C369" t="s">
        <v>12</v>
      </c>
      <c r="D369" s="2">
        <v>0</v>
      </c>
      <c r="E369" s="2">
        <v>0</v>
      </c>
      <c r="F369" s="2">
        <v>0</v>
      </c>
      <c r="G369" s="2">
        <v>0</v>
      </c>
      <c r="H369" s="2">
        <v>37238.9</v>
      </c>
      <c r="I369" s="2">
        <v>310674.59999999998</v>
      </c>
      <c r="J369" s="2">
        <v>0</v>
      </c>
      <c r="K369" s="2">
        <v>9866</v>
      </c>
      <c r="L369" s="2">
        <v>1048.2</v>
      </c>
      <c r="M369" s="2">
        <v>5157.8</v>
      </c>
      <c r="N369" s="2">
        <v>10189.299999999999</v>
      </c>
      <c r="O369" s="4">
        <f>SUM(D369:N369)</f>
        <v>374174.8</v>
      </c>
    </row>
    <row r="370" spans="1:15" x14ac:dyDescent="0.5">
      <c r="A370">
        <v>15</v>
      </c>
      <c r="B370">
        <v>15</v>
      </c>
      <c r="C370" t="s">
        <v>13</v>
      </c>
      <c r="D370" s="2">
        <v>616809.5</v>
      </c>
      <c r="E370" s="2">
        <v>139452.9</v>
      </c>
      <c r="F370" s="2">
        <v>0</v>
      </c>
      <c r="G370" s="2">
        <v>923526.3</v>
      </c>
      <c r="H370" s="2">
        <v>246278</v>
      </c>
      <c r="I370" s="2">
        <v>0</v>
      </c>
      <c r="J370" s="2">
        <v>0</v>
      </c>
      <c r="K370" s="2">
        <v>3049.7</v>
      </c>
      <c r="L370" s="2">
        <v>0</v>
      </c>
      <c r="M370" s="2">
        <v>39829.800000000003</v>
      </c>
      <c r="N370" s="2">
        <v>17086.900000000001</v>
      </c>
      <c r="O370" s="4">
        <f t="shared" ref="O370:O394" si="24">SUM(D370:N370)</f>
        <v>1986033.1</v>
      </c>
    </row>
    <row r="371" spans="1:15" x14ac:dyDescent="0.5">
      <c r="A371">
        <v>16</v>
      </c>
      <c r="B371">
        <v>16</v>
      </c>
      <c r="C371" t="s">
        <v>52</v>
      </c>
      <c r="D371" s="2">
        <v>1857714.8</v>
      </c>
      <c r="E371" s="2">
        <v>86996.2</v>
      </c>
      <c r="F371" s="2">
        <v>0</v>
      </c>
      <c r="G371" s="2">
        <v>6299163.5</v>
      </c>
      <c r="H371" s="2">
        <v>8944.7000000000007</v>
      </c>
      <c r="I371" s="2">
        <v>0</v>
      </c>
      <c r="J371" s="2">
        <v>4952</v>
      </c>
      <c r="K371" s="2">
        <v>0</v>
      </c>
      <c r="L371" s="2">
        <v>0</v>
      </c>
      <c r="M371" s="2">
        <v>166993.20000000001</v>
      </c>
      <c r="N371" s="2">
        <v>12479.2</v>
      </c>
      <c r="O371" s="4">
        <f t="shared" si="24"/>
        <v>8437243.5999999996</v>
      </c>
    </row>
    <row r="372" spans="1:15" x14ac:dyDescent="0.5">
      <c r="A372">
        <v>30</v>
      </c>
      <c r="B372">
        <v>30</v>
      </c>
      <c r="C372" t="s">
        <v>53</v>
      </c>
      <c r="D372" s="2">
        <v>1980412.4</v>
      </c>
      <c r="E372" s="2">
        <v>0</v>
      </c>
      <c r="F372" s="2">
        <v>0</v>
      </c>
      <c r="G372" s="2">
        <v>625505.80000000005</v>
      </c>
      <c r="H372" s="2">
        <v>0</v>
      </c>
      <c r="I372" s="2">
        <v>0</v>
      </c>
      <c r="J372" s="2">
        <v>0</v>
      </c>
      <c r="K372" s="2">
        <v>0</v>
      </c>
      <c r="L372" s="2">
        <v>0</v>
      </c>
      <c r="M372" s="2">
        <v>28906.3</v>
      </c>
      <c r="N372" s="2">
        <v>9673.2000000000007</v>
      </c>
      <c r="O372" s="4">
        <f t="shared" si="24"/>
        <v>2644497.7000000002</v>
      </c>
    </row>
    <row r="373" spans="1:15" x14ac:dyDescent="0.5">
      <c r="A373">
        <v>37</v>
      </c>
      <c r="B373">
        <v>37</v>
      </c>
      <c r="C373" t="s">
        <v>14</v>
      </c>
      <c r="D373" s="2">
        <v>141701.79999999999</v>
      </c>
      <c r="E373" s="2">
        <v>710809.3</v>
      </c>
      <c r="F373" s="2">
        <v>0</v>
      </c>
      <c r="G373" s="2">
        <v>164058.5</v>
      </c>
      <c r="H373" s="2">
        <v>497091.8</v>
      </c>
      <c r="I373" s="2">
        <v>21.3</v>
      </c>
      <c r="J373" s="2">
        <v>0</v>
      </c>
      <c r="K373" s="2">
        <v>7747.9</v>
      </c>
      <c r="L373" s="2">
        <v>0</v>
      </c>
      <c r="M373" s="2">
        <v>6711.5</v>
      </c>
      <c r="N373" s="2">
        <v>41158.800000000003</v>
      </c>
      <c r="O373" s="4">
        <f t="shared" si="24"/>
        <v>1569300.9000000001</v>
      </c>
    </row>
    <row r="374" spans="1:15" x14ac:dyDescent="0.5">
      <c r="A374">
        <v>38</v>
      </c>
      <c r="B374">
        <v>38</v>
      </c>
      <c r="C374" t="s">
        <v>54</v>
      </c>
      <c r="D374" s="2">
        <v>13024.1</v>
      </c>
      <c r="E374" s="2">
        <v>87567.8</v>
      </c>
      <c r="F374" s="2">
        <v>6610.3</v>
      </c>
      <c r="G374" s="2">
        <v>431290.6</v>
      </c>
      <c r="H374" s="2">
        <v>46006.7</v>
      </c>
      <c r="I374" s="2">
        <v>22641.200000000001</v>
      </c>
      <c r="J374" s="2">
        <v>2021.8</v>
      </c>
      <c r="K374" s="2">
        <v>0</v>
      </c>
      <c r="L374" s="2">
        <v>0</v>
      </c>
      <c r="M374" s="2">
        <v>14483.9</v>
      </c>
      <c r="N374" s="2">
        <v>2966106.5</v>
      </c>
      <c r="O374" s="4">
        <f t="shared" si="24"/>
        <v>3589752.9</v>
      </c>
    </row>
    <row r="375" spans="1:15" x14ac:dyDescent="0.5">
      <c r="A375">
        <v>60</v>
      </c>
      <c r="B375">
        <v>60</v>
      </c>
      <c r="C375" t="s">
        <v>15</v>
      </c>
      <c r="D375" s="2">
        <v>3681959.5</v>
      </c>
      <c r="E375" s="2">
        <v>125989.4</v>
      </c>
      <c r="F375" s="2">
        <v>273776.3</v>
      </c>
      <c r="G375" s="2">
        <v>9363422</v>
      </c>
      <c r="H375" s="2">
        <v>2292006</v>
      </c>
      <c r="I375" s="2">
        <v>31348308</v>
      </c>
      <c r="J375" s="2">
        <v>227602.1</v>
      </c>
      <c r="K375" s="2">
        <v>4460.7</v>
      </c>
      <c r="L375" s="2">
        <v>839097.5</v>
      </c>
      <c r="M375" s="2">
        <v>524413.4</v>
      </c>
      <c r="N375" s="2">
        <v>1849877.3</v>
      </c>
      <c r="O375" s="4">
        <f t="shared" si="24"/>
        <v>50530912.200000003</v>
      </c>
    </row>
    <row r="376" spans="1:15" x14ac:dyDescent="0.5">
      <c r="A376">
        <v>67</v>
      </c>
      <c r="B376">
        <v>67</v>
      </c>
      <c r="C376" t="s">
        <v>16</v>
      </c>
      <c r="D376" s="2">
        <v>225965.4</v>
      </c>
      <c r="E376" s="2">
        <v>324205.8</v>
      </c>
      <c r="F376" s="2">
        <v>0</v>
      </c>
      <c r="G376" s="2">
        <v>520346.3</v>
      </c>
      <c r="H376" s="2">
        <v>202849</v>
      </c>
      <c r="I376" s="2">
        <v>0</v>
      </c>
      <c r="J376" s="2">
        <v>3882.1</v>
      </c>
      <c r="K376" s="2">
        <v>1318.9</v>
      </c>
      <c r="L376" s="2">
        <v>0</v>
      </c>
      <c r="M376" s="2">
        <v>33722.9</v>
      </c>
      <c r="N376" s="2">
        <v>64017</v>
      </c>
      <c r="O376" s="4">
        <f t="shared" si="24"/>
        <v>1376307.4</v>
      </c>
    </row>
    <row r="377" spans="1:15" x14ac:dyDescent="0.5">
      <c r="A377">
        <v>69</v>
      </c>
      <c r="B377">
        <v>69</v>
      </c>
      <c r="C377" t="s">
        <v>17</v>
      </c>
      <c r="D377" s="2">
        <v>1426196</v>
      </c>
      <c r="E377" s="2">
        <v>637310.4</v>
      </c>
      <c r="F377" s="2">
        <v>0</v>
      </c>
      <c r="G377" s="2">
        <v>1069442.6000000001</v>
      </c>
      <c r="H377" s="2">
        <v>1599051.6</v>
      </c>
      <c r="I377" s="2">
        <v>86.2</v>
      </c>
      <c r="J377" s="2">
        <v>8053.9</v>
      </c>
      <c r="K377" s="2">
        <v>4994.8</v>
      </c>
      <c r="L377" s="2">
        <v>0</v>
      </c>
      <c r="M377" s="2">
        <v>36915.9</v>
      </c>
      <c r="N377" s="2">
        <v>83385.2</v>
      </c>
      <c r="O377" s="4">
        <f t="shared" si="24"/>
        <v>4865436.6000000006</v>
      </c>
    </row>
    <row r="378" spans="1:15" x14ac:dyDescent="0.5">
      <c r="A378">
        <v>71</v>
      </c>
      <c r="B378">
        <v>71</v>
      </c>
      <c r="C378" t="s">
        <v>18</v>
      </c>
      <c r="D378" s="2">
        <v>6832.7</v>
      </c>
      <c r="E378" s="2">
        <v>0</v>
      </c>
      <c r="F378" s="2">
        <v>0</v>
      </c>
      <c r="G378" s="2">
        <v>338844.6</v>
      </c>
      <c r="H378" s="2">
        <v>0</v>
      </c>
      <c r="I378" s="2">
        <v>0</v>
      </c>
      <c r="J378" s="2">
        <v>0</v>
      </c>
      <c r="K378" s="2">
        <v>0</v>
      </c>
      <c r="L378" s="2">
        <v>0</v>
      </c>
      <c r="M378" s="2">
        <v>10327.200000000001</v>
      </c>
      <c r="N378" s="2">
        <v>28561.1</v>
      </c>
      <c r="O378" s="4">
        <f t="shared" si="24"/>
        <v>384565.6</v>
      </c>
    </row>
    <row r="379" spans="1:15" x14ac:dyDescent="0.5">
      <c r="A379">
        <v>72</v>
      </c>
      <c r="B379">
        <v>72</v>
      </c>
      <c r="C379" t="s">
        <v>19</v>
      </c>
      <c r="D379" s="2">
        <v>292921</v>
      </c>
      <c r="E379" s="2">
        <v>0</v>
      </c>
      <c r="F379" s="2">
        <v>0</v>
      </c>
      <c r="G379" s="2">
        <v>289547.40000000002</v>
      </c>
      <c r="H379" s="2">
        <v>1158.2</v>
      </c>
      <c r="I379" s="2">
        <v>0</v>
      </c>
      <c r="J379" s="2">
        <v>13531.2</v>
      </c>
      <c r="K379" s="2">
        <v>0</v>
      </c>
      <c r="L379" s="2">
        <v>0</v>
      </c>
      <c r="M379" s="2">
        <v>1897.3</v>
      </c>
      <c r="N379" s="2">
        <v>16703.7</v>
      </c>
      <c r="O379" s="4">
        <f t="shared" si="24"/>
        <v>615758.79999999993</v>
      </c>
    </row>
    <row r="380" spans="1:15" x14ac:dyDescent="0.5">
      <c r="A380">
        <v>96</v>
      </c>
      <c r="B380">
        <v>96</v>
      </c>
      <c r="C380" t="s">
        <v>20</v>
      </c>
      <c r="D380" s="2">
        <v>3972079</v>
      </c>
      <c r="E380" s="2">
        <v>159306.9</v>
      </c>
      <c r="F380" s="2">
        <v>651649.4</v>
      </c>
      <c r="G380" s="2">
        <v>2322683.7999999998</v>
      </c>
      <c r="H380" s="2">
        <v>1862007.4</v>
      </c>
      <c r="I380" s="2">
        <v>5825668</v>
      </c>
      <c r="J380" s="2">
        <v>58316.2</v>
      </c>
      <c r="K380" s="2">
        <v>51540.5</v>
      </c>
      <c r="L380" s="2">
        <v>81161.7</v>
      </c>
      <c r="M380" s="2">
        <v>413244.4</v>
      </c>
      <c r="N380" s="2">
        <v>2470995.5</v>
      </c>
      <c r="O380" s="4">
        <f t="shared" si="24"/>
        <v>17868652.799999997</v>
      </c>
    </row>
    <row r="381" spans="1:15" x14ac:dyDescent="0.5">
      <c r="A381">
        <v>121</v>
      </c>
      <c r="B381">
        <v>121</v>
      </c>
      <c r="C381" t="s">
        <v>21</v>
      </c>
      <c r="D381" s="2">
        <v>3600980</v>
      </c>
      <c r="E381" s="2">
        <v>0</v>
      </c>
      <c r="F381" s="2">
        <v>0</v>
      </c>
      <c r="G381" s="2">
        <v>5124148.5</v>
      </c>
      <c r="H381" s="2">
        <v>0</v>
      </c>
      <c r="I381" s="2">
        <v>0</v>
      </c>
      <c r="J381" s="2">
        <v>62810.6</v>
      </c>
      <c r="K381" s="2">
        <v>0</v>
      </c>
      <c r="L381" s="2">
        <v>0</v>
      </c>
      <c r="M381" s="2">
        <v>82093.3</v>
      </c>
      <c r="N381" s="2">
        <v>143409.60000000001</v>
      </c>
      <c r="O381" s="4">
        <f t="shared" si="24"/>
        <v>9013442</v>
      </c>
    </row>
    <row r="382" spans="1:15" x14ac:dyDescent="0.5">
      <c r="A382">
        <v>126</v>
      </c>
      <c r="B382">
        <v>126</v>
      </c>
      <c r="C382" t="s">
        <v>22</v>
      </c>
      <c r="D382" s="2">
        <v>331019.3</v>
      </c>
      <c r="E382" s="2">
        <v>15119.3</v>
      </c>
      <c r="F382" s="2">
        <v>677.7</v>
      </c>
      <c r="G382" s="2">
        <v>400946</v>
      </c>
      <c r="H382" s="2">
        <v>90647.9</v>
      </c>
      <c r="I382" s="2">
        <v>0</v>
      </c>
      <c r="J382" s="2">
        <v>20456.900000000001</v>
      </c>
      <c r="K382" s="2">
        <v>2386.1999999999998</v>
      </c>
      <c r="L382" s="2">
        <v>0</v>
      </c>
      <c r="M382" s="2">
        <v>22099.5</v>
      </c>
      <c r="N382" s="2">
        <v>307389.8</v>
      </c>
      <c r="O382" s="4">
        <f t="shared" si="24"/>
        <v>1190742.6000000001</v>
      </c>
    </row>
    <row r="383" spans="1:15" x14ac:dyDescent="0.5">
      <c r="A383">
        <v>127</v>
      </c>
      <c r="B383">
        <v>127</v>
      </c>
      <c r="C383" t="s">
        <v>55</v>
      </c>
      <c r="D383" s="2">
        <v>1558371.6</v>
      </c>
      <c r="E383" s="2">
        <v>0</v>
      </c>
      <c r="F383" s="2">
        <v>0</v>
      </c>
      <c r="G383" s="2">
        <v>156561.79999999999</v>
      </c>
      <c r="H383" s="2">
        <v>0</v>
      </c>
      <c r="I383" s="2">
        <v>0</v>
      </c>
      <c r="J383" s="2">
        <v>9405.2999999999993</v>
      </c>
      <c r="K383" s="2">
        <v>0</v>
      </c>
      <c r="L383" s="2">
        <v>0</v>
      </c>
      <c r="M383" s="2">
        <v>657.4</v>
      </c>
      <c r="N383" s="2">
        <v>1649.8</v>
      </c>
      <c r="O383" s="4">
        <f t="shared" si="24"/>
        <v>1726645.9000000001</v>
      </c>
    </row>
    <row r="384" spans="1:15" x14ac:dyDescent="0.5">
      <c r="A384">
        <v>131</v>
      </c>
      <c r="B384">
        <v>131</v>
      </c>
      <c r="C384" t="s">
        <v>23</v>
      </c>
      <c r="D384" s="2">
        <v>2942.9</v>
      </c>
      <c r="E384" s="2">
        <v>1820.3</v>
      </c>
      <c r="F384" s="2">
        <v>418.6</v>
      </c>
      <c r="G384" s="2">
        <v>105725.3</v>
      </c>
      <c r="H384" s="2">
        <v>22770.1</v>
      </c>
      <c r="I384" s="2">
        <v>3162.3</v>
      </c>
      <c r="J384" s="2">
        <v>53.9</v>
      </c>
      <c r="K384" s="2">
        <v>3.7</v>
      </c>
      <c r="L384" s="2">
        <v>0</v>
      </c>
      <c r="M384" s="2">
        <v>980.7</v>
      </c>
      <c r="N384" s="2">
        <v>736688.1</v>
      </c>
      <c r="O384" s="4">
        <f t="shared" si="24"/>
        <v>874565.9</v>
      </c>
    </row>
    <row r="385" spans="1:15" x14ac:dyDescent="0.5">
      <c r="A385">
        <v>134</v>
      </c>
      <c r="B385">
        <v>134</v>
      </c>
      <c r="C385" t="s">
        <v>24</v>
      </c>
      <c r="D385" s="2">
        <v>4200034</v>
      </c>
      <c r="E385" s="2">
        <v>0</v>
      </c>
      <c r="F385" s="2">
        <v>0</v>
      </c>
      <c r="G385" s="2">
        <v>5171628.5</v>
      </c>
      <c r="H385" s="2">
        <v>0</v>
      </c>
      <c r="I385" s="2">
        <v>0</v>
      </c>
      <c r="J385" s="2">
        <v>40622.800000000003</v>
      </c>
      <c r="K385" s="2">
        <v>0</v>
      </c>
      <c r="L385" s="2">
        <v>0</v>
      </c>
      <c r="M385" s="2">
        <v>107787</v>
      </c>
      <c r="N385" s="2">
        <v>226131.20000000001</v>
      </c>
      <c r="O385" s="4">
        <f t="shared" si="24"/>
        <v>9746203.5</v>
      </c>
    </row>
    <row r="386" spans="1:15" x14ac:dyDescent="0.5">
      <c r="A386">
        <v>135</v>
      </c>
      <c r="B386">
        <v>135</v>
      </c>
      <c r="C386" t="s">
        <v>25</v>
      </c>
      <c r="D386" s="2">
        <v>314851.40000000002</v>
      </c>
      <c r="E386" s="2">
        <v>214726.7</v>
      </c>
      <c r="F386" s="2">
        <v>0</v>
      </c>
      <c r="G386" s="2">
        <v>10997329</v>
      </c>
      <c r="H386" s="2">
        <v>1791235.8</v>
      </c>
      <c r="I386" s="2">
        <v>16915.2</v>
      </c>
      <c r="J386" s="2">
        <v>157686.39999999999</v>
      </c>
      <c r="K386" s="2">
        <v>3619.6</v>
      </c>
      <c r="L386" s="2">
        <v>0</v>
      </c>
      <c r="M386" s="2">
        <v>243129.4</v>
      </c>
      <c r="N386" s="2">
        <v>2041302</v>
      </c>
      <c r="O386" s="4">
        <f t="shared" si="24"/>
        <v>15780795.5</v>
      </c>
    </row>
    <row r="387" spans="1:15" x14ac:dyDescent="0.5">
      <c r="A387">
        <v>156</v>
      </c>
      <c r="B387">
        <v>156</v>
      </c>
      <c r="C387" t="s">
        <v>26</v>
      </c>
      <c r="D387" s="2">
        <v>0</v>
      </c>
      <c r="E387" s="2">
        <v>0</v>
      </c>
      <c r="F387" s="2">
        <v>0</v>
      </c>
      <c r="G387" s="2">
        <v>0</v>
      </c>
      <c r="H387" s="2">
        <v>239434.8</v>
      </c>
      <c r="I387" s="2">
        <v>805056.7</v>
      </c>
      <c r="J387" s="2">
        <v>0</v>
      </c>
      <c r="K387" s="2">
        <v>1846.7</v>
      </c>
      <c r="L387" s="2">
        <v>4007.1</v>
      </c>
      <c r="M387" s="2">
        <v>32930.6</v>
      </c>
      <c r="N387" s="2">
        <v>233152.5</v>
      </c>
      <c r="O387" s="4">
        <f t="shared" si="24"/>
        <v>1316428.4000000001</v>
      </c>
    </row>
    <row r="388" spans="1:15" x14ac:dyDescent="0.5">
      <c r="A388">
        <v>159</v>
      </c>
      <c r="B388">
        <v>159</v>
      </c>
      <c r="C388" t="s">
        <v>27</v>
      </c>
      <c r="D388" s="2">
        <v>614714.6</v>
      </c>
      <c r="E388" s="2">
        <v>0</v>
      </c>
      <c r="F388" s="2">
        <v>0</v>
      </c>
      <c r="G388" s="2">
        <v>2522300.7999999998</v>
      </c>
      <c r="H388" s="2">
        <v>0</v>
      </c>
      <c r="I388" s="2">
        <v>0</v>
      </c>
      <c r="J388" s="2">
        <v>28702.6</v>
      </c>
      <c r="K388" s="2">
        <v>0</v>
      </c>
      <c r="L388" s="2">
        <v>0</v>
      </c>
      <c r="M388" s="2">
        <v>48911.5</v>
      </c>
      <c r="N388" s="2">
        <v>67875.399999999994</v>
      </c>
      <c r="O388" s="4">
        <f t="shared" si="24"/>
        <v>3282504.9</v>
      </c>
    </row>
    <row r="389" spans="1:15" x14ac:dyDescent="0.5">
      <c r="A389">
        <v>178</v>
      </c>
      <c r="B389">
        <v>178</v>
      </c>
      <c r="C389" t="s">
        <v>56</v>
      </c>
      <c r="D389" s="2">
        <v>2993790.5</v>
      </c>
      <c r="E389" s="2">
        <v>4328.7</v>
      </c>
      <c r="F389" s="2">
        <v>0</v>
      </c>
      <c r="G389" s="2">
        <v>3353684</v>
      </c>
      <c r="H389" s="2">
        <v>0</v>
      </c>
      <c r="I389" s="2">
        <v>0</v>
      </c>
      <c r="J389" s="2">
        <v>11213.3</v>
      </c>
      <c r="K389" s="2">
        <v>0</v>
      </c>
      <c r="L389" s="2">
        <v>0</v>
      </c>
      <c r="M389" s="2">
        <v>12535.2</v>
      </c>
      <c r="N389" s="2">
        <v>920946.4</v>
      </c>
      <c r="O389" s="4">
        <f t="shared" si="24"/>
        <v>7296498.1000000006</v>
      </c>
    </row>
    <row r="390" spans="1:15" x14ac:dyDescent="0.5">
      <c r="A390">
        <v>179</v>
      </c>
      <c r="B390">
        <v>179</v>
      </c>
      <c r="C390" t="s">
        <v>28</v>
      </c>
      <c r="D390" s="2">
        <v>0</v>
      </c>
      <c r="E390" s="2">
        <v>39671.800000000003</v>
      </c>
      <c r="F390" s="2">
        <v>0</v>
      </c>
      <c r="G390" s="2">
        <v>154606.6</v>
      </c>
      <c r="H390" s="2">
        <v>110130.7</v>
      </c>
      <c r="I390" s="2">
        <v>0</v>
      </c>
      <c r="J390" s="2">
        <v>0</v>
      </c>
      <c r="K390" s="2">
        <v>482.7</v>
      </c>
      <c r="L390" s="2">
        <v>0</v>
      </c>
      <c r="M390" s="2">
        <v>9391.7000000000007</v>
      </c>
      <c r="N390" s="2">
        <v>943.4</v>
      </c>
      <c r="O390" s="4">
        <f t="shared" si="24"/>
        <v>315226.90000000008</v>
      </c>
    </row>
    <row r="391" spans="1:15" x14ac:dyDescent="0.5">
      <c r="A391">
        <v>188</v>
      </c>
      <c r="B391">
        <v>188</v>
      </c>
      <c r="C391" t="s">
        <v>29</v>
      </c>
      <c r="D391" s="2">
        <v>1252798.8</v>
      </c>
      <c r="E391" s="2">
        <v>561624.6</v>
      </c>
      <c r="F391" s="2">
        <v>51564.9</v>
      </c>
      <c r="G391" s="2">
        <v>5874043</v>
      </c>
      <c r="H391" s="2">
        <v>3710591.5</v>
      </c>
      <c r="I391" s="2">
        <v>1327819.6000000001</v>
      </c>
      <c r="J391" s="2">
        <v>38713.199999999997</v>
      </c>
      <c r="K391" s="2">
        <v>6124.2</v>
      </c>
      <c r="L391" s="2">
        <v>3881.7</v>
      </c>
      <c r="M391" s="2">
        <v>683446.3</v>
      </c>
      <c r="N391" s="2">
        <v>4139479.5</v>
      </c>
      <c r="O391" s="4">
        <f t="shared" si="24"/>
        <v>17650087.299999997</v>
      </c>
    </row>
    <row r="392" spans="1:15" x14ac:dyDescent="0.5">
      <c r="A392">
        <v>189</v>
      </c>
      <c r="B392">
        <v>189</v>
      </c>
      <c r="C392" t="s">
        <v>30</v>
      </c>
      <c r="D392" s="2">
        <v>53948.1</v>
      </c>
      <c r="E392" s="2">
        <v>400074</v>
      </c>
      <c r="F392" s="2">
        <v>4299.3999999999996</v>
      </c>
      <c r="G392" s="2">
        <v>303984.59999999998</v>
      </c>
      <c r="H392" s="2">
        <v>7501024</v>
      </c>
      <c r="I392" s="2">
        <v>1269755.1000000001</v>
      </c>
      <c r="J392" s="2">
        <v>0</v>
      </c>
      <c r="K392" s="2">
        <v>6858.6</v>
      </c>
      <c r="L392" s="2">
        <v>0</v>
      </c>
      <c r="M392" s="2">
        <v>71432.100000000006</v>
      </c>
      <c r="N392" s="2">
        <v>1989733.4</v>
      </c>
      <c r="O392" s="4">
        <f t="shared" si="24"/>
        <v>11601109.299999999</v>
      </c>
    </row>
    <row r="393" spans="1:15" x14ac:dyDescent="0.5">
      <c r="A393">
        <v>203</v>
      </c>
      <c r="B393">
        <v>203</v>
      </c>
      <c r="C393" t="s">
        <v>31</v>
      </c>
      <c r="D393" s="2">
        <v>1566334</v>
      </c>
      <c r="E393" s="2">
        <v>36706.5</v>
      </c>
      <c r="F393" s="2">
        <v>8779.2000000000007</v>
      </c>
      <c r="G393" s="2">
        <v>512546.1</v>
      </c>
      <c r="H393" s="2">
        <v>1436.7</v>
      </c>
      <c r="I393" s="2">
        <v>48.8</v>
      </c>
      <c r="J393" s="2">
        <v>3634.8</v>
      </c>
      <c r="K393" s="2">
        <v>0</v>
      </c>
      <c r="L393" s="2">
        <v>0</v>
      </c>
      <c r="M393" s="2">
        <v>29204.6</v>
      </c>
      <c r="N393" s="2">
        <v>728449.4</v>
      </c>
      <c r="O393" s="4">
        <f t="shared" si="24"/>
        <v>2887140.0999999996</v>
      </c>
    </row>
    <row r="394" spans="1:15" x14ac:dyDescent="0.5">
      <c r="A394">
        <v>204</v>
      </c>
      <c r="B394">
        <v>204</v>
      </c>
      <c r="C394" t="s">
        <v>32</v>
      </c>
      <c r="D394" s="2">
        <v>1175839.1000000001</v>
      </c>
      <c r="E394" s="2">
        <v>0</v>
      </c>
      <c r="F394" s="2">
        <v>20837.5</v>
      </c>
      <c r="G394" s="2">
        <v>3104067.8</v>
      </c>
      <c r="H394" s="2">
        <v>6698.3</v>
      </c>
      <c r="I394" s="2">
        <v>274485.90000000002</v>
      </c>
      <c r="J394" s="2">
        <v>20192.099999999999</v>
      </c>
      <c r="K394" s="2">
        <v>0</v>
      </c>
      <c r="L394" s="2">
        <v>6472.5</v>
      </c>
      <c r="M394" s="2">
        <v>69306.3</v>
      </c>
      <c r="N394" s="2">
        <v>339696.7</v>
      </c>
      <c r="O394" s="4">
        <f t="shared" si="24"/>
        <v>5017596.2</v>
      </c>
    </row>
    <row r="395" spans="1:15" x14ac:dyDescent="0.5">
      <c r="D395" s="4">
        <f t="shared" ref="D395:N395" si="25">SUM(D369:D394)</f>
        <v>31881240.5</v>
      </c>
      <c r="E395" s="4">
        <f t="shared" si="25"/>
        <v>3545710.6</v>
      </c>
      <c r="F395" s="4">
        <f t="shared" si="25"/>
        <v>1018613.2999999999</v>
      </c>
      <c r="G395" s="4">
        <f t="shared" si="25"/>
        <v>60129403.399999999</v>
      </c>
      <c r="H395" s="4">
        <f t="shared" si="25"/>
        <v>20266602.100000001</v>
      </c>
      <c r="I395" s="4">
        <f t="shared" si="25"/>
        <v>41204642.899999999</v>
      </c>
      <c r="J395" s="4">
        <f t="shared" si="25"/>
        <v>711851.2</v>
      </c>
      <c r="K395" s="4">
        <f t="shared" si="25"/>
        <v>104300.2</v>
      </c>
      <c r="L395" s="4">
        <f t="shared" si="25"/>
        <v>935668.69999999984</v>
      </c>
      <c r="M395" s="4">
        <f t="shared" si="25"/>
        <v>2696509.2</v>
      </c>
      <c r="N395" s="4">
        <f t="shared" si="25"/>
        <v>19447080.899999999</v>
      </c>
      <c r="O395" s="4">
        <f>SUM(D395:N395)</f>
        <v>181941622.99999997</v>
      </c>
    </row>
  </sheetData>
  <sortState xmlns:xlrd2="http://schemas.microsoft.com/office/spreadsheetml/2017/richdata2" ref="A3:G29">
    <sortCondition ref="A3:A29"/>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5B77-05B4-4E32-BD08-6DFC1D36FE5B}">
  <dimension ref="A1:AI367"/>
  <sheetViews>
    <sheetView zoomScale="90" zoomScaleNormal="90" workbookViewId="0">
      <pane xSplit="3" ySplit="1" topLeftCell="D167" activePane="bottomRight" state="frozen"/>
      <selection pane="topRight" activeCell="D1" sqref="D1"/>
      <selection pane="bottomLeft" activeCell="A2" sqref="A2"/>
      <selection pane="bottomRight" activeCell="Q197" sqref="Q197"/>
    </sheetView>
  </sheetViews>
  <sheetFormatPr defaultRowHeight="14.35" x14ac:dyDescent="0.5"/>
  <cols>
    <col min="1" max="1" width="18" customWidth="1"/>
    <col min="3" max="3" width="16.3515625" customWidth="1"/>
    <col min="4" max="4" width="18.3515625" customWidth="1"/>
    <col min="5" max="5" width="21.1171875" customWidth="1"/>
    <col min="6" max="6" width="19.41015625" customWidth="1"/>
    <col min="7" max="7" width="17.87890625" customWidth="1"/>
    <col min="8" max="8" width="18" customWidth="1"/>
    <col min="9" max="9" width="16.3515625" customWidth="1"/>
    <col min="10" max="10" width="18.64453125" style="8" customWidth="1"/>
    <col min="11" max="11" width="17.41015625" style="16" customWidth="1"/>
    <col min="12" max="12" width="12.41015625" style="13" customWidth="1"/>
    <col min="13" max="13" width="3.64453125" customWidth="1"/>
    <col min="14" max="15" width="4" customWidth="1"/>
    <col min="16" max="16" width="2.87890625" customWidth="1"/>
    <col min="17" max="17" width="16.3515625" style="2" customWidth="1"/>
    <col min="18" max="18" width="11.3515625" customWidth="1"/>
    <col min="19" max="19" width="16.52734375" customWidth="1"/>
    <col min="20" max="20" width="3.41015625" customWidth="1"/>
    <col min="21" max="21" width="16.3515625" customWidth="1"/>
    <col min="22" max="22" width="11" customWidth="1"/>
    <col min="23" max="23" width="14.87890625" customWidth="1"/>
    <col min="24" max="24" width="3.1171875" customWidth="1"/>
    <col min="25" max="25" width="14" customWidth="1"/>
    <col min="26" max="26" width="24.64453125" customWidth="1"/>
    <col min="29" max="29" width="15" customWidth="1"/>
    <col min="30" max="30" width="13.41015625" customWidth="1"/>
    <col min="31" max="31" width="14.52734375" customWidth="1"/>
    <col min="32" max="32" width="14.64453125" customWidth="1"/>
    <col min="33" max="33" width="14.87890625" customWidth="1"/>
    <col min="34" max="34" width="18.1171875" customWidth="1"/>
    <col min="35" max="35" width="15.64453125" customWidth="1"/>
  </cols>
  <sheetData>
    <row r="1" spans="1:23" ht="43" x14ac:dyDescent="0.5">
      <c r="A1" s="23"/>
      <c r="B1" s="23"/>
      <c r="C1" s="23"/>
      <c r="D1" s="23" t="s">
        <v>3</v>
      </c>
      <c r="E1" s="23" t="s">
        <v>4</v>
      </c>
      <c r="F1" s="23" t="s">
        <v>5</v>
      </c>
      <c r="G1" s="23" t="s">
        <v>6</v>
      </c>
      <c r="H1" s="23" t="s">
        <v>7</v>
      </c>
      <c r="I1" s="23" t="s">
        <v>8</v>
      </c>
      <c r="J1" s="20" t="s">
        <v>69</v>
      </c>
      <c r="K1" s="21" t="s">
        <v>70</v>
      </c>
      <c r="L1" s="22" t="s">
        <v>71</v>
      </c>
      <c r="M1" s="23" t="s">
        <v>36</v>
      </c>
      <c r="N1" s="23" t="s">
        <v>37</v>
      </c>
      <c r="O1" s="23" t="s">
        <v>38</v>
      </c>
      <c r="P1" s="23"/>
      <c r="Q1" s="25" t="s">
        <v>74</v>
      </c>
      <c r="R1" s="26" t="s">
        <v>72</v>
      </c>
      <c r="S1" s="26" t="s">
        <v>73</v>
      </c>
      <c r="T1" s="23"/>
      <c r="U1" s="25" t="s">
        <v>75</v>
      </c>
      <c r="V1" s="26" t="s">
        <v>72</v>
      </c>
      <c r="W1" s="26" t="s">
        <v>73</v>
      </c>
    </row>
    <row r="2" spans="1:23" x14ac:dyDescent="0.5">
      <c r="A2" t="s">
        <v>11</v>
      </c>
    </row>
    <row r="3" spans="1:23" x14ac:dyDescent="0.5">
      <c r="A3">
        <v>13</v>
      </c>
      <c r="B3" s="7" t="s">
        <v>36</v>
      </c>
      <c r="C3" t="s">
        <v>12</v>
      </c>
      <c r="D3" s="2">
        <v>0</v>
      </c>
      <c r="E3" s="2">
        <v>5154.6000000000004</v>
      </c>
      <c r="F3" s="2">
        <v>17266.900000000001</v>
      </c>
      <c r="G3" s="2">
        <v>0</v>
      </c>
      <c r="H3" s="2">
        <v>515.5</v>
      </c>
      <c r="I3" s="2">
        <v>85.9</v>
      </c>
      <c r="J3" s="4">
        <f t="shared" ref="J3:J29" si="0">SUM(D3:I3)</f>
        <v>23022.9</v>
      </c>
      <c r="K3" s="17">
        <f>systems!O33</f>
        <v>24913</v>
      </c>
      <c r="L3" s="13">
        <f>J3/K3</f>
        <v>0.92413197928792201</v>
      </c>
      <c r="M3">
        <v>1</v>
      </c>
    </row>
    <row r="4" spans="1:23" x14ac:dyDescent="0.5">
      <c r="A4">
        <v>15</v>
      </c>
      <c r="B4" s="7" t="s">
        <v>37</v>
      </c>
      <c r="C4" t="s">
        <v>13</v>
      </c>
      <c r="D4" s="2">
        <v>30927.9</v>
      </c>
      <c r="E4" s="2">
        <v>28315.7</v>
      </c>
      <c r="F4" s="2">
        <v>0</v>
      </c>
      <c r="G4" s="2">
        <v>0</v>
      </c>
      <c r="H4" s="2">
        <v>255.9</v>
      </c>
      <c r="I4" s="2">
        <v>0</v>
      </c>
      <c r="J4" s="4">
        <f t="shared" si="0"/>
        <v>59499.500000000007</v>
      </c>
      <c r="K4" s="17">
        <f>systems!O34</f>
        <v>115926.9</v>
      </c>
      <c r="L4" s="13">
        <f t="shared" ref="L4:L67" si="1">J4/K4</f>
        <v>0.51325016023028314</v>
      </c>
      <c r="N4">
        <v>1</v>
      </c>
    </row>
    <row r="5" spans="1:23" x14ac:dyDescent="0.5">
      <c r="A5">
        <v>16</v>
      </c>
      <c r="B5" s="7" t="s">
        <v>37</v>
      </c>
      <c r="C5" t="s">
        <v>52</v>
      </c>
      <c r="D5" s="2">
        <v>204168.4</v>
      </c>
      <c r="E5" s="2">
        <v>423.9</v>
      </c>
      <c r="F5" s="2">
        <v>0</v>
      </c>
      <c r="G5" s="2">
        <v>84.5</v>
      </c>
      <c r="H5" s="2">
        <v>0</v>
      </c>
      <c r="I5" s="2">
        <v>0</v>
      </c>
      <c r="J5" s="4">
        <f t="shared" si="0"/>
        <v>204676.8</v>
      </c>
      <c r="K5" s="17">
        <f>systems!O35</f>
        <v>276749.00000000006</v>
      </c>
      <c r="L5" s="13">
        <f t="shared" si="1"/>
        <v>0.73957557208878788</v>
      </c>
      <c r="N5">
        <v>1</v>
      </c>
    </row>
    <row r="6" spans="1:23" x14ac:dyDescent="0.5">
      <c r="A6">
        <v>30</v>
      </c>
      <c r="B6" s="7" t="s">
        <v>38</v>
      </c>
      <c r="C6" t="s">
        <v>53</v>
      </c>
      <c r="D6" s="2">
        <v>51012.4</v>
      </c>
      <c r="E6" s="2">
        <v>0</v>
      </c>
      <c r="F6" s="2">
        <v>0</v>
      </c>
      <c r="G6" s="2">
        <v>0</v>
      </c>
      <c r="H6" s="2">
        <v>0</v>
      </c>
      <c r="I6" s="2">
        <v>0</v>
      </c>
      <c r="J6" s="4">
        <f t="shared" si="0"/>
        <v>51012.4</v>
      </c>
      <c r="K6" s="17">
        <f>systems!O36</f>
        <v>581117.69999999995</v>
      </c>
      <c r="L6" s="13">
        <f t="shared" si="1"/>
        <v>8.7783249417458811E-2</v>
      </c>
      <c r="O6">
        <v>1</v>
      </c>
    </row>
    <row r="7" spans="1:23" x14ac:dyDescent="0.5">
      <c r="A7">
        <v>37</v>
      </c>
      <c r="B7" s="7" t="s">
        <v>37</v>
      </c>
      <c r="C7" t="s">
        <v>14</v>
      </c>
      <c r="D7" s="2">
        <v>4488.8999999999996</v>
      </c>
      <c r="E7" s="2">
        <v>181669.9</v>
      </c>
      <c r="F7" s="2">
        <v>85.3</v>
      </c>
      <c r="G7" s="2">
        <v>0</v>
      </c>
      <c r="H7" s="2">
        <v>1364.1</v>
      </c>
      <c r="I7" s="2">
        <v>0</v>
      </c>
      <c r="J7" s="4">
        <f t="shared" si="0"/>
        <v>187608.19999999998</v>
      </c>
      <c r="K7" s="17">
        <f>systems!O37</f>
        <v>320932.89999999991</v>
      </c>
      <c r="L7" s="13">
        <f t="shared" si="1"/>
        <v>0.58457141664192125</v>
      </c>
      <c r="N7">
        <v>1</v>
      </c>
    </row>
    <row r="8" spans="1:23" x14ac:dyDescent="0.5">
      <c r="A8">
        <v>38</v>
      </c>
      <c r="B8" s="7" t="s">
        <v>37</v>
      </c>
      <c r="C8" t="s">
        <v>54</v>
      </c>
      <c r="D8" s="2">
        <v>45781.3</v>
      </c>
      <c r="E8" s="2">
        <v>39273.800000000003</v>
      </c>
      <c r="F8" s="2">
        <v>7959.3</v>
      </c>
      <c r="G8" s="2">
        <v>423.1</v>
      </c>
      <c r="H8" s="2">
        <v>0</v>
      </c>
      <c r="I8" s="2">
        <v>0</v>
      </c>
      <c r="J8" s="4">
        <f t="shared" si="0"/>
        <v>93437.500000000015</v>
      </c>
      <c r="K8" s="17">
        <f>systems!O38</f>
        <v>464392.9</v>
      </c>
      <c r="L8" s="13">
        <f t="shared" si="1"/>
        <v>0.20120354983894029</v>
      </c>
      <c r="N8">
        <v>1</v>
      </c>
    </row>
    <row r="9" spans="1:23" x14ac:dyDescent="0.5">
      <c r="A9">
        <v>60</v>
      </c>
      <c r="B9" s="7" t="s">
        <v>36</v>
      </c>
      <c r="C9" t="s">
        <v>15</v>
      </c>
      <c r="D9" s="2">
        <v>200318.4</v>
      </c>
      <c r="E9" s="2">
        <v>54889.9</v>
      </c>
      <c r="F9" s="2">
        <v>283412.59999999998</v>
      </c>
      <c r="G9" s="2">
        <v>3303.7</v>
      </c>
      <c r="H9" s="2">
        <v>85.3</v>
      </c>
      <c r="I9" s="2">
        <v>5588.9</v>
      </c>
      <c r="J9" s="4">
        <f t="shared" si="0"/>
        <v>547598.79999999993</v>
      </c>
      <c r="K9" s="17">
        <f>systems!O39</f>
        <v>1131355.3000000003</v>
      </c>
      <c r="L9" s="13">
        <f t="shared" si="1"/>
        <v>0.48402018357981774</v>
      </c>
      <c r="M9">
        <v>1</v>
      </c>
    </row>
    <row r="10" spans="1:23" x14ac:dyDescent="0.5">
      <c r="A10">
        <v>67</v>
      </c>
      <c r="B10" s="7" t="s">
        <v>37</v>
      </c>
      <c r="C10" t="s">
        <v>16</v>
      </c>
      <c r="D10" s="2">
        <v>26405.8</v>
      </c>
      <c r="E10" s="2">
        <v>108881.60000000001</v>
      </c>
      <c r="F10" s="2">
        <v>0</v>
      </c>
      <c r="G10" s="2">
        <v>84.5</v>
      </c>
      <c r="H10" s="2">
        <v>85.6</v>
      </c>
      <c r="I10" s="2">
        <v>0</v>
      </c>
      <c r="J10" s="4">
        <f t="shared" si="0"/>
        <v>135457.5</v>
      </c>
      <c r="K10" s="17">
        <f>systems!O40</f>
        <v>233409.09999999998</v>
      </c>
      <c r="L10" s="13">
        <f t="shared" si="1"/>
        <v>0.58034369696811317</v>
      </c>
      <c r="N10">
        <v>1</v>
      </c>
    </row>
    <row r="11" spans="1:23" x14ac:dyDescent="0.5">
      <c r="A11">
        <v>69</v>
      </c>
      <c r="B11" s="7" t="s">
        <v>37</v>
      </c>
      <c r="C11" t="s">
        <v>17</v>
      </c>
      <c r="D11" s="2">
        <v>27152</v>
      </c>
      <c r="E11" s="2">
        <v>98931.3</v>
      </c>
      <c r="F11" s="2">
        <v>85.3</v>
      </c>
      <c r="G11" s="2">
        <v>506.6</v>
      </c>
      <c r="H11" s="2">
        <v>507.7</v>
      </c>
      <c r="I11" s="2">
        <v>0</v>
      </c>
      <c r="J11" s="4">
        <f t="shared" si="0"/>
        <v>127182.90000000001</v>
      </c>
      <c r="K11" s="17">
        <f>systems!O41</f>
        <v>245382.30000000002</v>
      </c>
      <c r="L11" s="13">
        <f t="shared" si="1"/>
        <v>0.51830511002627333</v>
      </c>
      <c r="N11">
        <v>1</v>
      </c>
    </row>
    <row r="12" spans="1:23" x14ac:dyDescent="0.5">
      <c r="A12">
        <v>71</v>
      </c>
      <c r="B12" s="7" t="s">
        <v>37</v>
      </c>
      <c r="C12" t="s">
        <v>18</v>
      </c>
      <c r="D12" s="2">
        <v>8453</v>
      </c>
      <c r="E12" s="2">
        <v>0</v>
      </c>
      <c r="F12" s="2">
        <v>0</v>
      </c>
      <c r="G12" s="2">
        <v>0</v>
      </c>
      <c r="H12" s="2">
        <v>0</v>
      </c>
      <c r="I12" s="2">
        <v>0</v>
      </c>
      <c r="J12" s="4">
        <f t="shared" si="0"/>
        <v>8453</v>
      </c>
      <c r="K12" s="17">
        <f>systems!O42</f>
        <v>10294.4</v>
      </c>
      <c r="L12" s="13">
        <f t="shared" si="1"/>
        <v>0.82112604911408149</v>
      </c>
      <c r="N12">
        <v>1</v>
      </c>
    </row>
    <row r="13" spans="1:23" x14ac:dyDescent="0.5">
      <c r="A13">
        <v>72</v>
      </c>
      <c r="B13" s="7" t="s">
        <v>37</v>
      </c>
      <c r="C13" t="s">
        <v>19</v>
      </c>
      <c r="D13" s="2">
        <v>13626.6</v>
      </c>
      <c r="E13" s="2">
        <v>1096.8</v>
      </c>
      <c r="F13" s="2">
        <v>0</v>
      </c>
      <c r="G13" s="2">
        <v>420.6</v>
      </c>
      <c r="H13" s="2">
        <v>0</v>
      </c>
      <c r="I13" s="2">
        <v>0</v>
      </c>
      <c r="J13" s="4">
        <f t="shared" si="0"/>
        <v>15144</v>
      </c>
      <c r="K13" s="17">
        <f>systems!O43</f>
        <v>32403.699999999997</v>
      </c>
      <c r="L13" s="13">
        <f t="shared" si="1"/>
        <v>0.4673540367303734</v>
      </c>
      <c r="N13">
        <v>1</v>
      </c>
    </row>
    <row r="14" spans="1:23" x14ac:dyDescent="0.5">
      <c r="A14">
        <v>96</v>
      </c>
      <c r="B14" s="7" t="s">
        <v>36</v>
      </c>
      <c r="C14" t="s">
        <v>20</v>
      </c>
      <c r="D14" s="2">
        <v>60971.3</v>
      </c>
      <c r="E14" s="2">
        <v>17374.7</v>
      </c>
      <c r="F14" s="2">
        <v>49819.7</v>
      </c>
      <c r="G14" s="2">
        <v>1032.5</v>
      </c>
      <c r="H14" s="2">
        <v>946.4</v>
      </c>
      <c r="I14" s="2">
        <v>344.2</v>
      </c>
      <c r="J14" s="4">
        <f t="shared" si="0"/>
        <v>130488.79999999999</v>
      </c>
      <c r="K14" s="17">
        <f>systems!O44</f>
        <v>572088.19999999995</v>
      </c>
      <c r="L14" s="13">
        <f t="shared" si="1"/>
        <v>0.22809210188219228</v>
      </c>
      <c r="M14">
        <v>1</v>
      </c>
    </row>
    <row r="15" spans="1:23" x14ac:dyDescent="0.5">
      <c r="A15">
        <v>121</v>
      </c>
      <c r="B15" s="7" t="s">
        <v>37</v>
      </c>
      <c r="C15" t="s">
        <v>21</v>
      </c>
      <c r="D15" s="2">
        <v>270953.3</v>
      </c>
      <c r="E15" s="2">
        <v>0</v>
      </c>
      <c r="F15" s="2">
        <v>0</v>
      </c>
      <c r="G15" s="2">
        <v>2171.1</v>
      </c>
      <c r="H15" s="2">
        <v>0</v>
      </c>
      <c r="I15" s="2">
        <v>0</v>
      </c>
      <c r="J15" s="4">
        <f t="shared" si="0"/>
        <v>273124.39999999997</v>
      </c>
      <c r="K15" s="17">
        <f>systems!O45</f>
        <v>1247942.4000000001</v>
      </c>
      <c r="L15" s="13">
        <f t="shared" si="1"/>
        <v>0.21885978070782749</v>
      </c>
      <c r="N15">
        <v>1</v>
      </c>
    </row>
    <row r="16" spans="1:23" x14ac:dyDescent="0.5">
      <c r="A16">
        <v>126</v>
      </c>
      <c r="B16" s="7" t="s">
        <v>38</v>
      </c>
      <c r="C16" t="s">
        <v>22</v>
      </c>
      <c r="D16" s="2">
        <v>151937.29999999999</v>
      </c>
      <c r="E16" s="2">
        <v>48521.5</v>
      </c>
      <c r="F16" s="2">
        <v>0</v>
      </c>
      <c r="G16" s="2">
        <v>1103.4000000000001</v>
      </c>
      <c r="H16" s="2">
        <v>156.1</v>
      </c>
      <c r="I16" s="2">
        <v>0</v>
      </c>
      <c r="J16" s="4">
        <f t="shared" si="0"/>
        <v>201718.3</v>
      </c>
      <c r="K16" s="17">
        <f>systems!O46</f>
        <v>772201.8</v>
      </c>
      <c r="L16" s="13">
        <f t="shared" si="1"/>
        <v>0.26122485080972352</v>
      </c>
      <c r="O16">
        <v>1</v>
      </c>
    </row>
    <row r="17" spans="1:15" x14ac:dyDescent="0.5">
      <c r="A17">
        <v>127</v>
      </c>
      <c r="B17" s="7" t="s">
        <v>37</v>
      </c>
      <c r="C17" t="s">
        <v>55</v>
      </c>
      <c r="D17" s="2">
        <v>26015.5</v>
      </c>
      <c r="E17" s="2">
        <v>0</v>
      </c>
      <c r="F17" s="2">
        <v>0</v>
      </c>
      <c r="G17" s="2">
        <v>826.8</v>
      </c>
      <c r="H17" s="2">
        <v>0</v>
      </c>
      <c r="I17" s="2">
        <v>0</v>
      </c>
      <c r="J17" s="4">
        <f t="shared" si="0"/>
        <v>26842.3</v>
      </c>
      <c r="K17" s="17">
        <f>systems!O47</f>
        <v>1043615.5000000001</v>
      </c>
      <c r="L17" s="13">
        <f t="shared" si="1"/>
        <v>2.5720488053310817E-2</v>
      </c>
      <c r="N17">
        <v>1</v>
      </c>
    </row>
    <row r="18" spans="1:15" x14ac:dyDescent="0.5">
      <c r="A18">
        <v>131</v>
      </c>
      <c r="B18" s="7" t="s">
        <v>38</v>
      </c>
      <c r="C18" t="s">
        <v>23</v>
      </c>
      <c r="D18" s="2">
        <v>50286.5</v>
      </c>
      <c r="E18" s="2">
        <v>9859.5</v>
      </c>
      <c r="F18" s="2">
        <v>2516.5</v>
      </c>
      <c r="G18" s="2">
        <v>82.5</v>
      </c>
      <c r="H18" s="2">
        <v>82.7</v>
      </c>
      <c r="I18" s="2">
        <v>0</v>
      </c>
      <c r="J18" s="4">
        <f t="shared" si="0"/>
        <v>62827.7</v>
      </c>
      <c r="K18" s="17">
        <f>systems!O48</f>
        <v>97370.2</v>
      </c>
      <c r="L18" s="13">
        <f t="shared" si="1"/>
        <v>0.64524567064666605</v>
      </c>
      <c r="O18">
        <v>1</v>
      </c>
    </row>
    <row r="19" spans="1:15" x14ac:dyDescent="0.5">
      <c r="A19">
        <v>134</v>
      </c>
      <c r="B19" s="7" t="s">
        <v>37</v>
      </c>
      <c r="C19" t="s">
        <v>24</v>
      </c>
      <c r="D19" s="2">
        <v>123535.8</v>
      </c>
      <c r="E19" s="2">
        <v>0</v>
      </c>
      <c r="F19" s="2">
        <v>0</v>
      </c>
      <c r="G19" s="2">
        <v>667.9</v>
      </c>
      <c r="H19" s="2">
        <v>0</v>
      </c>
      <c r="I19" s="2">
        <v>0</v>
      </c>
      <c r="J19" s="4">
        <f t="shared" si="0"/>
        <v>124203.7</v>
      </c>
      <c r="K19" s="17">
        <f>systems!O49</f>
        <v>1188851.6000000001</v>
      </c>
      <c r="L19" s="13">
        <f t="shared" si="1"/>
        <v>0.10447367863238775</v>
      </c>
      <c r="N19">
        <v>1</v>
      </c>
    </row>
    <row r="20" spans="1:15" x14ac:dyDescent="0.5">
      <c r="A20">
        <v>135</v>
      </c>
      <c r="B20" s="7" t="s">
        <v>37</v>
      </c>
      <c r="C20" t="s">
        <v>25</v>
      </c>
      <c r="D20" s="2">
        <v>432932.7</v>
      </c>
      <c r="E20" s="2">
        <v>317150.09999999998</v>
      </c>
      <c r="F20" s="2">
        <v>3416.6</v>
      </c>
      <c r="G20" s="2">
        <v>6315.1</v>
      </c>
      <c r="H20" s="2">
        <v>938</v>
      </c>
      <c r="I20" s="2">
        <v>0</v>
      </c>
      <c r="J20" s="4">
        <f t="shared" si="0"/>
        <v>760752.5</v>
      </c>
      <c r="K20" s="17">
        <f>systems!O50</f>
        <v>903437.70000000007</v>
      </c>
      <c r="L20" s="13">
        <f t="shared" si="1"/>
        <v>0.84206415118607503</v>
      </c>
      <c r="N20">
        <v>1</v>
      </c>
    </row>
    <row r="21" spans="1:15" x14ac:dyDescent="0.5">
      <c r="A21">
        <v>156</v>
      </c>
      <c r="B21" s="7" t="s">
        <v>36</v>
      </c>
      <c r="C21" t="s">
        <v>26</v>
      </c>
      <c r="D21" s="2">
        <v>0</v>
      </c>
      <c r="E21" s="2">
        <v>6966.6</v>
      </c>
      <c r="F21" s="2">
        <v>13588.3</v>
      </c>
      <c r="G21" s="2">
        <v>0</v>
      </c>
      <c r="H21" s="2">
        <v>171.9</v>
      </c>
      <c r="I21" s="2">
        <v>172</v>
      </c>
      <c r="J21" s="4">
        <f t="shared" si="0"/>
        <v>20898.800000000003</v>
      </c>
      <c r="K21" s="17">
        <f>systems!O51</f>
        <v>23650.300000000003</v>
      </c>
      <c r="L21" s="13">
        <f t="shared" si="1"/>
        <v>0.88365898107000762</v>
      </c>
      <c r="M21">
        <v>1</v>
      </c>
    </row>
    <row r="22" spans="1:15" x14ac:dyDescent="0.5">
      <c r="A22">
        <v>159</v>
      </c>
      <c r="B22" s="7" t="s">
        <v>37</v>
      </c>
      <c r="C22" t="s">
        <v>27</v>
      </c>
      <c r="D22" s="2">
        <v>135678.29999999999</v>
      </c>
      <c r="E22" s="2">
        <v>0</v>
      </c>
      <c r="F22" s="2">
        <v>0</v>
      </c>
      <c r="G22" s="2">
        <v>1167.2</v>
      </c>
      <c r="H22" s="2">
        <v>0</v>
      </c>
      <c r="I22" s="2">
        <v>0</v>
      </c>
      <c r="J22" s="4">
        <f t="shared" si="0"/>
        <v>136845.5</v>
      </c>
      <c r="K22" s="17">
        <f>systems!O52</f>
        <v>195130.59999999998</v>
      </c>
      <c r="L22" s="13">
        <f t="shared" si="1"/>
        <v>0.70130210228431633</v>
      </c>
      <c r="N22">
        <v>1</v>
      </c>
    </row>
    <row r="23" spans="1:15" x14ac:dyDescent="0.5">
      <c r="A23">
        <v>178</v>
      </c>
      <c r="B23" s="7" t="s">
        <v>37</v>
      </c>
      <c r="C23" t="s">
        <v>56</v>
      </c>
      <c r="D23" s="2">
        <v>274918.3</v>
      </c>
      <c r="E23" s="2">
        <v>0</v>
      </c>
      <c r="F23" s="2">
        <v>0</v>
      </c>
      <c r="G23" s="2">
        <v>672</v>
      </c>
      <c r="H23" s="2">
        <v>0</v>
      </c>
      <c r="I23" s="2">
        <v>0</v>
      </c>
      <c r="J23" s="4">
        <f t="shared" si="0"/>
        <v>275590.3</v>
      </c>
      <c r="K23" s="17">
        <f>systems!O53</f>
        <v>1273582.0999999999</v>
      </c>
      <c r="L23" s="13">
        <f t="shared" si="1"/>
        <v>0.21638989743967038</v>
      </c>
      <c r="N23">
        <v>1</v>
      </c>
    </row>
    <row r="24" spans="1:15" x14ac:dyDescent="0.5">
      <c r="A24">
        <v>179</v>
      </c>
      <c r="B24" s="7" t="s">
        <v>37</v>
      </c>
      <c r="C24" t="s">
        <v>28</v>
      </c>
      <c r="D24" s="2">
        <v>12018.7</v>
      </c>
      <c r="E24" s="2">
        <v>28375.5</v>
      </c>
      <c r="F24" s="2">
        <v>0</v>
      </c>
      <c r="G24" s="2">
        <v>0</v>
      </c>
      <c r="H24" s="2">
        <v>170.9</v>
      </c>
      <c r="I24" s="2">
        <v>0</v>
      </c>
      <c r="J24" s="4">
        <f t="shared" si="0"/>
        <v>40565.1</v>
      </c>
      <c r="K24" s="17">
        <f>systems!O54</f>
        <v>57854.899999999994</v>
      </c>
      <c r="L24" s="13">
        <f t="shared" si="1"/>
        <v>0.70115236565960715</v>
      </c>
      <c r="N24">
        <v>1</v>
      </c>
    </row>
    <row r="25" spans="1:15" x14ac:dyDescent="0.5">
      <c r="A25">
        <v>188</v>
      </c>
      <c r="B25" s="7" t="s">
        <v>36</v>
      </c>
      <c r="C25" t="s">
        <v>29</v>
      </c>
      <c r="D25" s="2">
        <v>277548.40000000002</v>
      </c>
      <c r="E25" s="2">
        <v>146586.1</v>
      </c>
      <c r="F25" s="2">
        <v>41235.800000000003</v>
      </c>
      <c r="G25" s="2">
        <v>1284.5999999999999</v>
      </c>
      <c r="H25" s="2">
        <v>257.2</v>
      </c>
      <c r="I25" s="2">
        <v>170.9</v>
      </c>
      <c r="J25" s="4">
        <f t="shared" si="0"/>
        <v>467083</v>
      </c>
      <c r="K25" s="17">
        <f>systems!O55</f>
        <v>883297</v>
      </c>
      <c r="L25" s="13">
        <f t="shared" si="1"/>
        <v>0.5287949579812905</v>
      </c>
      <c r="M25">
        <v>1</v>
      </c>
    </row>
    <row r="26" spans="1:15" x14ac:dyDescent="0.5">
      <c r="A26">
        <v>189</v>
      </c>
      <c r="B26" s="7" t="s">
        <v>36</v>
      </c>
      <c r="C26" t="s">
        <v>30</v>
      </c>
      <c r="D26" s="2">
        <v>9969.5</v>
      </c>
      <c r="E26" s="2">
        <v>129962.3</v>
      </c>
      <c r="F26" s="2">
        <v>16087.5</v>
      </c>
      <c r="G26" s="2">
        <v>0</v>
      </c>
      <c r="H26" s="2">
        <v>86</v>
      </c>
      <c r="I26" s="2">
        <v>0</v>
      </c>
      <c r="J26" s="4">
        <f t="shared" si="0"/>
        <v>156105.29999999999</v>
      </c>
      <c r="K26" s="17">
        <f>systems!O56</f>
        <v>204686.1</v>
      </c>
      <c r="L26" s="13">
        <f t="shared" si="1"/>
        <v>0.76265706366968733</v>
      </c>
      <c r="M26">
        <v>1</v>
      </c>
      <c r="O26">
        <v>1</v>
      </c>
    </row>
    <row r="27" spans="1:15" x14ac:dyDescent="0.5">
      <c r="A27">
        <v>203</v>
      </c>
      <c r="B27" s="7" t="s">
        <v>38</v>
      </c>
      <c r="C27" t="s">
        <v>31</v>
      </c>
      <c r="D27" s="2">
        <v>91641.600000000006</v>
      </c>
      <c r="E27" s="2">
        <v>3304.7</v>
      </c>
      <c r="F27" s="2">
        <v>425</v>
      </c>
      <c r="G27" s="2">
        <v>914.6</v>
      </c>
      <c r="H27" s="2">
        <v>0</v>
      </c>
      <c r="I27" s="2">
        <v>0</v>
      </c>
      <c r="J27" s="4">
        <f t="shared" si="0"/>
        <v>96285.900000000009</v>
      </c>
      <c r="K27" s="17">
        <f>systems!O57</f>
        <v>742165.2</v>
      </c>
      <c r="L27" s="13">
        <f t="shared" si="1"/>
        <v>0.12973647915585373</v>
      </c>
      <c r="O27">
        <v>1</v>
      </c>
    </row>
    <row r="28" spans="1:15" x14ac:dyDescent="0.5">
      <c r="A28">
        <v>204</v>
      </c>
      <c r="B28" s="7" t="s">
        <v>38</v>
      </c>
      <c r="C28" t="s">
        <v>32</v>
      </c>
      <c r="D28" s="2">
        <v>185265.4</v>
      </c>
      <c r="E28" s="2">
        <v>488.7</v>
      </c>
      <c r="F28" s="2">
        <v>13401.2</v>
      </c>
      <c r="G28" s="2">
        <v>1458.8</v>
      </c>
      <c r="H28" s="2">
        <v>0</v>
      </c>
      <c r="I28" s="2">
        <v>327.8</v>
      </c>
      <c r="J28" s="4">
        <f t="shared" si="0"/>
        <v>200941.9</v>
      </c>
      <c r="K28" s="17">
        <f>systems!O58</f>
        <v>387864.49999999994</v>
      </c>
      <c r="L28" s="13">
        <f t="shared" si="1"/>
        <v>0.51807241962076966</v>
      </c>
    </row>
    <row r="29" spans="1:15" x14ac:dyDescent="0.5">
      <c r="D29" s="4">
        <f t="shared" ref="D29:I29" si="2">SUM(D3:D28)</f>
        <v>2716007.3000000003</v>
      </c>
      <c r="E29" s="4">
        <f t="shared" si="2"/>
        <v>1227227.2</v>
      </c>
      <c r="F29" s="4">
        <f t="shared" si="2"/>
        <v>449299.99999999994</v>
      </c>
      <c r="G29" s="4">
        <f t="shared" si="2"/>
        <v>22519.499999999996</v>
      </c>
      <c r="H29" s="4">
        <f t="shared" si="2"/>
        <v>5623.2999999999984</v>
      </c>
      <c r="I29" s="4">
        <f t="shared" si="2"/>
        <v>6689.6999999999989</v>
      </c>
      <c r="J29" s="4">
        <f t="shared" si="0"/>
        <v>4427367</v>
      </c>
      <c r="K29" s="17">
        <f>systems!O59</f>
        <v>13030615.299999999</v>
      </c>
      <c r="L29" s="13">
        <f t="shared" si="1"/>
        <v>0.33976653427869985</v>
      </c>
    </row>
    <row r="30" spans="1:15" x14ac:dyDescent="0.5">
      <c r="A30" t="s">
        <v>33</v>
      </c>
      <c r="B30" t="s">
        <v>34</v>
      </c>
      <c r="C30" t="s">
        <v>34</v>
      </c>
      <c r="D30" s="2"/>
      <c r="E30" s="2"/>
      <c r="F30" s="2"/>
      <c r="G30" s="2"/>
      <c r="H30" s="2"/>
      <c r="I30" s="2"/>
      <c r="J30" s="4"/>
      <c r="K30" s="17"/>
    </row>
    <row r="31" spans="1:15" x14ac:dyDescent="0.5">
      <c r="A31">
        <v>13</v>
      </c>
      <c r="B31">
        <v>13</v>
      </c>
      <c r="C31" t="s">
        <v>12</v>
      </c>
      <c r="D31" s="2">
        <v>0</v>
      </c>
      <c r="E31" s="2">
        <v>2739468.8</v>
      </c>
      <c r="F31" s="2">
        <v>7665411.5</v>
      </c>
      <c r="G31" s="2">
        <v>0</v>
      </c>
      <c r="H31" s="2">
        <v>323973.40000000002</v>
      </c>
      <c r="I31" s="2">
        <v>96598.6</v>
      </c>
      <c r="J31" s="4">
        <f t="shared" ref="J31:J57" si="3">SUM(D31:I31)</f>
        <v>10825452.300000001</v>
      </c>
      <c r="K31" s="17">
        <f>systems!O61</f>
        <v>12365991.200000001</v>
      </c>
      <c r="L31" s="13">
        <f t="shared" si="1"/>
        <v>0.87542131681284063</v>
      </c>
    </row>
    <row r="32" spans="1:15" x14ac:dyDescent="0.5">
      <c r="A32">
        <v>15</v>
      </c>
      <c r="B32">
        <v>15</v>
      </c>
      <c r="C32" t="s">
        <v>13</v>
      </c>
      <c r="D32" s="2">
        <v>1942356.1</v>
      </c>
      <c r="E32" s="2">
        <v>5426218.5</v>
      </c>
      <c r="F32" s="2">
        <v>0</v>
      </c>
      <c r="G32" s="2">
        <v>0</v>
      </c>
      <c r="H32" s="2">
        <v>31926.2</v>
      </c>
      <c r="I32" s="2">
        <v>0</v>
      </c>
      <c r="J32" s="4">
        <f t="shared" si="3"/>
        <v>7400500.7999999998</v>
      </c>
      <c r="K32" s="17">
        <f>systems!O62</f>
        <v>11922072</v>
      </c>
      <c r="L32" s="13">
        <f t="shared" si="1"/>
        <v>0.62073948219738984</v>
      </c>
    </row>
    <row r="33" spans="1:12" x14ac:dyDescent="0.5">
      <c r="A33">
        <v>16</v>
      </c>
      <c r="B33">
        <v>16</v>
      </c>
      <c r="C33" t="s">
        <v>52</v>
      </c>
      <c r="D33" s="2">
        <v>15625842</v>
      </c>
      <c r="E33" s="2">
        <v>20947.3</v>
      </c>
      <c r="F33" s="2">
        <v>0</v>
      </c>
      <c r="G33" s="2">
        <v>10005.1</v>
      </c>
      <c r="H33" s="2">
        <v>0</v>
      </c>
      <c r="I33" s="2">
        <v>0</v>
      </c>
      <c r="J33" s="4">
        <f t="shared" si="3"/>
        <v>15656794.4</v>
      </c>
      <c r="K33" s="17">
        <f>systems!O63</f>
        <v>20918273.200000003</v>
      </c>
      <c r="L33" s="13">
        <f t="shared" si="1"/>
        <v>0.74847451557330258</v>
      </c>
    </row>
    <row r="34" spans="1:12" x14ac:dyDescent="0.5">
      <c r="A34">
        <v>30</v>
      </c>
      <c r="B34">
        <v>30</v>
      </c>
      <c r="C34" t="s">
        <v>53</v>
      </c>
      <c r="D34" s="2">
        <v>705857.4</v>
      </c>
      <c r="E34" s="2">
        <v>0</v>
      </c>
      <c r="F34" s="2">
        <v>0</v>
      </c>
      <c r="G34" s="2">
        <v>0</v>
      </c>
      <c r="H34" s="2">
        <v>0</v>
      </c>
      <c r="I34" s="2">
        <v>0</v>
      </c>
      <c r="J34" s="4">
        <f t="shared" si="3"/>
        <v>705857.4</v>
      </c>
      <c r="K34" s="17">
        <f>systems!O64</f>
        <v>2430296.9999999995</v>
      </c>
      <c r="L34" s="13">
        <f t="shared" si="1"/>
        <v>0.29044079797654365</v>
      </c>
    </row>
    <row r="35" spans="1:12" x14ac:dyDescent="0.5">
      <c r="A35">
        <v>37</v>
      </c>
      <c r="B35">
        <v>37</v>
      </c>
      <c r="C35" t="s">
        <v>14</v>
      </c>
      <c r="D35" s="2">
        <v>254316</v>
      </c>
      <c r="E35" s="2">
        <v>15540876</v>
      </c>
      <c r="F35" s="2">
        <v>5308.5</v>
      </c>
      <c r="G35" s="2">
        <v>0</v>
      </c>
      <c r="H35" s="2">
        <v>105432.6</v>
      </c>
      <c r="I35" s="2">
        <v>0</v>
      </c>
      <c r="J35" s="4">
        <f t="shared" si="3"/>
        <v>15905933.1</v>
      </c>
      <c r="K35" s="17">
        <f>systems!O65</f>
        <v>23083360.199999999</v>
      </c>
      <c r="L35" s="13">
        <f t="shared" si="1"/>
        <v>0.68906489186093456</v>
      </c>
    </row>
    <row r="36" spans="1:12" x14ac:dyDescent="0.5">
      <c r="A36">
        <v>38</v>
      </c>
      <c r="B36">
        <v>38</v>
      </c>
      <c r="C36" t="s">
        <v>54</v>
      </c>
      <c r="D36" s="2">
        <v>5839934</v>
      </c>
      <c r="E36" s="2">
        <v>3616365.5</v>
      </c>
      <c r="F36" s="2">
        <v>1476743.5</v>
      </c>
      <c r="G36" s="2">
        <v>46733.3</v>
      </c>
      <c r="H36" s="2">
        <v>0</v>
      </c>
      <c r="I36" s="2">
        <v>0</v>
      </c>
      <c r="J36" s="4">
        <f t="shared" si="3"/>
        <v>10979776.300000001</v>
      </c>
      <c r="K36" s="17">
        <f>systems!O66</f>
        <v>25891047</v>
      </c>
      <c r="L36" s="13">
        <f t="shared" si="1"/>
        <v>0.42407617969254008</v>
      </c>
    </row>
    <row r="37" spans="1:12" x14ac:dyDescent="0.5">
      <c r="A37">
        <v>60</v>
      </c>
      <c r="B37">
        <v>60</v>
      </c>
      <c r="C37" t="s">
        <v>15</v>
      </c>
      <c r="D37" s="2">
        <v>18195118</v>
      </c>
      <c r="E37" s="2">
        <v>7217842.5</v>
      </c>
      <c r="F37" s="2">
        <v>63565200</v>
      </c>
      <c r="G37" s="2">
        <v>473247.2</v>
      </c>
      <c r="H37" s="2">
        <v>12454.5</v>
      </c>
      <c r="I37" s="2">
        <v>1399758.1</v>
      </c>
      <c r="J37" s="4">
        <f t="shared" si="3"/>
        <v>90863620.299999997</v>
      </c>
      <c r="K37" s="17">
        <f>systems!O67</f>
        <v>111714254.59999999</v>
      </c>
      <c r="L37" s="13">
        <f t="shared" si="1"/>
        <v>0.81335744149520561</v>
      </c>
    </row>
    <row r="38" spans="1:12" x14ac:dyDescent="0.5">
      <c r="A38">
        <v>67</v>
      </c>
      <c r="B38">
        <v>67</v>
      </c>
      <c r="C38" t="s">
        <v>16</v>
      </c>
      <c r="D38" s="2">
        <v>2211234</v>
      </c>
      <c r="E38" s="2">
        <v>15010524</v>
      </c>
      <c r="F38" s="2">
        <v>0</v>
      </c>
      <c r="G38" s="2">
        <v>9153.5</v>
      </c>
      <c r="H38" s="2">
        <v>20020.3</v>
      </c>
      <c r="I38" s="2">
        <v>0</v>
      </c>
      <c r="J38" s="4">
        <f t="shared" si="3"/>
        <v>17250931.800000001</v>
      </c>
      <c r="K38" s="17">
        <f>systems!O68</f>
        <v>29927567.900000002</v>
      </c>
      <c r="L38" s="13">
        <f t="shared" si="1"/>
        <v>0.57642277707437761</v>
      </c>
    </row>
    <row r="39" spans="1:12" x14ac:dyDescent="0.5">
      <c r="A39">
        <v>69</v>
      </c>
      <c r="B39">
        <v>69</v>
      </c>
      <c r="C39" t="s">
        <v>17</v>
      </c>
      <c r="D39" s="2">
        <v>1177714.8999999999</v>
      </c>
      <c r="E39" s="2">
        <v>5325394.5</v>
      </c>
      <c r="F39" s="2">
        <v>3386.1</v>
      </c>
      <c r="G39" s="2">
        <v>38535.1</v>
      </c>
      <c r="H39" s="2">
        <v>244236</v>
      </c>
      <c r="I39" s="2">
        <v>0</v>
      </c>
      <c r="J39" s="4">
        <f t="shared" si="3"/>
        <v>6789266.5999999996</v>
      </c>
      <c r="K39" s="17">
        <f>systems!O69</f>
        <v>13843201.799999999</v>
      </c>
      <c r="L39" s="13">
        <f t="shared" si="1"/>
        <v>0.49044048465724166</v>
      </c>
    </row>
    <row r="40" spans="1:12" x14ac:dyDescent="0.5">
      <c r="A40">
        <v>71</v>
      </c>
      <c r="B40">
        <v>71</v>
      </c>
      <c r="C40" t="s">
        <v>18</v>
      </c>
      <c r="D40" s="2">
        <v>1577142.4</v>
      </c>
      <c r="E40" s="2">
        <v>0</v>
      </c>
      <c r="F40" s="2">
        <v>0</v>
      </c>
      <c r="G40" s="2">
        <v>0</v>
      </c>
      <c r="H40" s="2">
        <v>0</v>
      </c>
      <c r="I40" s="2">
        <v>0</v>
      </c>
      <c r="J40" s="4">
        <f t="shared" si="3"/>
        <v>1577142.4</v>
      </c>
      <c r="K40" s="17">
        <f>systems!O70</f>
        <v>2141935.5999999996</v>
      </c>
      <c r="L40" s="13">
        <f t="shared" si="1"/>
        <v>0.73631644200694002</v>
      </c>
    </row>
    <row r="41" spans="1:12" x14ac:dyDescent="0.5">
      <c r="A41">
        <v>72</v>
      </c>
      <c r="B41">
        <v>72</v>
      </c>
      <c r="C41" t="s">
        <v>19</v>
      </c>
      <c r="D41" s="2">
        <v>707478.9</v>
      </c>
      <c r="E41" s="2">
        <v>37064</v>
      </c>
      <c r="F41" s="2">
        <v>0</v>
      </c>
      <c r="G41" s="2">
        <v>29119.4</v>
      </c>
      <c r="H41" s="2">
        <v>0</v>
      </c>
      <c r="I41" s="2">
        <v>0</v>
      </c>
      <c r="J41" s="4">
        <f t="shared" si="3"/>
        <v>773662.3</v>
      </c>
      <c r="K41" s="17">
        <f>systems!O71</f>
        <v>1838551.2</v>
      </c>
      <c r="L41" s="13">
        <f t="shared" si="1"/>
        <v>0.42079997554596255</v>
      </c>
    </row>
    <row r="42" spans="1:12" x14ac:dyDescent="0.5">
      <c r="A42">
        <v>96</v>
      </c>
      <c r="B42">
        <v>96</v>
      </c>
      <c r="C42" t="s">
        <v>20</v>
      </c>
      <c r="D42" s="2">
        <v>5603443</v>
      </c>
      <c r="E42" s="2">
        <v>6377000</v>
      </c>
      <c r="F42" s="2">
        <v>14523328</v>
      </c>
      <c r="G42" s="2">
        <v>324847.5</v>
      </c>
      <c r="H42" s="2">
        <v>287386.59999999998</v>
      </c>
      <c r="I42" s="2">
        <v>139918.6</v>
      </c>
      <c r="J42" s="4">
        <f t="shared" si="3"/>
        <v>27255923.700000003</v>
      </c>
      <c r="K42" s="17">
        <f>systems!O72</f>
        <v>50964225.5</v>
      </c>
      <c r="L42" s="13">
        <f t="shared" si="1"/>
        <v>0.53480502122022833</v>
      </c>
    </row>
    <row r="43" spans="1:12" x14ac:dyDescent="0.5">
      <c r="A43">
        <v>121</v>
      </c>
      <c r="B43">
        <v>121</v>
      </c>
      <c r="C43" t="s">
        <v>21</v>
      </c>
      <c r="D43" s="2">
        <v>10871016</v>
      </c>
      <c r="E43" s="2">
        <v>0</v>
      </c>
      <c r="F43" s="2">
        <v>0</v>
      </c>
      <c r="G43" s="2">
        <v>176039.4</v>
      </c>
      <c r="H43" s="2">
        <v>0</v>
      </c>
      <c r="I43" s="2">
        <v>0</v>
      </c>
      <c r="J43" s="4">
        <f t="shared" si="3"/>
        <v>11047055.4</v>
      </c>
      <c r="K43" s="17">
        <f>systems!O73</f>
        <v>18609834.699999999</v>
      </c>
      <c r="L43" s="13">
        <f t="shared" si="1"/>
        <v>0.59361383795633615</v>
      </c>
    </row>
    <row r="44" spans="1:12" x14ac:dyDescent="0.5">
      <c r="A44">
        <v>126</v>
      </c>
      <c r="B44">
        <v>126</v>
      </c>
      <c r="C44" t="s">
        <v>22</v>
      </c>
      <c r="D44" s="2">
        <v>9673667</v>
      </c>
      <c r="E44" s="2">
        <v>4120399.5</v>
      </c>
      <c r="F44" s="2">
        <v>0</v>
      </c>
      <c r="G44" s="2">
        <v>109192.2</v>
      </c>
      <c r="H44" s="2">
        <v>39893.300000000003</v>
      </c>
      <c r="I44" s="2">
        <v>0</v>
      </c>
      <c r="J44" s="4">
        <f t="shared" si="3"/>
        <v>13943152</v>
      </c>
      <c r="K44" s="17">
        <f>systems!O74</f>
        <v>30749550.699999999</v>
      </c>
      <c r="L44" s="13">
        <f t="shared" si="1"/>
        <v>0.45344246281946488</v>
      </c>
    </row>
    <row r="45" spans="1:12" x14ac:dyDescent="0.5">
      <c r="A45">
        <v>127</v>
      </c>
      <c r="B45">
        <v>127</v>
      </c>
      <c r="C45" t="s">
        <v>55</v>
      </c>
      <c r="D45" s="2">
        <v>440385.8</v>
      </c>
      <c r="E45" s="2">
        <v>0</v>
      </c>
      <c r="F45" s="2">
        <v>0</v>
      </c>
      <c r="G45" s="2">
        <v>30044</v>
      </c>
      <c r="H45" s="2">
        <v>0</v>
      </c>
      <c r="I45" s="2">
        <v>0</v>
      </c>
      <c r="J45" s="4">
        <f t="shared" si="3"/>
        <v>470429.8</v>
      </c>
      <c r="K45" s="17">
        <f>systems!O75</f>
        <v>4148214.8999999994</v>
      </c>
      <c r="L45" s="13">
        <f t="shared" si="1"/>
        <v>0.11340535901358438</v>
      </c>
    </row>
    <row r="46" spans="1:12" x14ac:dyDescent="0.5">
      <c r="A46">
        <v>131</v>
      </c>
      <c r="B46">
        <v>131</v>
      </c>
      <c r="C46" t="s">
        <v>23</v>
      </c>
      <c r="D46" s="2">
        <v>10740137</v>
      </c>
      <c r="E46" s="2">
        <v>3006038.5</v>
      </c>
      <c r="F46" s="2">
        <v>382593.9</v>
      </c>
      <c r="G46" s="2">
        <v>20796.5</v>
      </c>
      <c r="H46" s="2">
        <v>42326.5</v>
      </c>
      <c r="I46" s="2">
        <v>0</v>
      </c>
      <c r="J46" s="4">
        <f t="shared" si="3"/>
        <v>14191892.4</v>
      </c>
      <c r="K46" s="17">
        <f>systems!O76</f>
        <v>19599278</v>
      </c>
      <c r="L46" s="13">
        <f t="shared" si="1"/>
        <v>0.72410281644048313</v>
      </c>
    </row>
    <row r="47" spans="1:12" x14ac:dyDescent="0.5">
      <c r="A47">
        <v>134</v>
      </c>
      <c r="B47">
        <v>134</v>
      </c>
      <c r="C47" t="s">
        <v>24</v>
      </c>
      <c r="D47" s="2">
        <v>13769601</v>
      </c>
      <c r="E47" s="2">
        <v>0</v>
      </c>
      <c r="F47" s="2">
        <v>0</v>
      </c>
      <c r="G47" s="2">
        <v>108521.1</v>
      </c>
      <c r="H47" s="2">
        <v>0</v>
      </c>
      <c r="I47" s="2">
        <v>0</v>
      </c>
      <c r="J47" s="4">
        <f t="shared" si="3"/>
        <v>13878122.1</v>
      </c>
      <c r="K47" s="17">
        <f>systems!O77</f>
        <v>24003197.700000003</v>
      </c>
      <c r="L47" s="13">
        <f t="shared" si="1"/>
        <v>0.57817805250172971</v>
      </c>
    </row>
    <row r="48" spans="1:12" x14ac:dyDescent="0.5">
      <c r="A48">
        <v>135</v>
      </c>
      <c r="B48">
        <v>135</v>
      </c>
      <c r="C48" t="s">
        <v>25</v>
      </c>
      <c r="D48" s="2">
        <v>66272812</v>
      </c>
      <c r="E48" s="2">
        <v>81636032</v>
      </c>
      <c r="F48" s="2">
        <v>234422.7</v>
      </c>
      <c r="G48" s="2">
        <v>1071209.8999999999</v>
      </c>
      <c r="H48" s="2">
        <v>136599.9</v>
      </c>
      <c r="I48" s="2">
        <v>0</v>
      </c>
      <c r="J48" s="4">
        <f t="shared" si="3"/>
        <v>149351076.5</v>
      </c>
      <c r="K48" s="17">
        <f>systems!O78</f>
        <v>203691920.90000001</v>
      </c>
      <c r="L48" s="13">
        <f t="shared" si="1"/>
        <v>0.73322042347139549</v>
      </c>
    </row>
    <row r="49" spans="1:27" x14ac:dyDescent="0.5">
      <c r="A49">
        <v>156</v>
      </c>
      <c r="B49">
        <v>156</v>
      </c>
      <c r="C49" t="s">
        <v>26</v>
      </c>
      <c r="D49" s="2">
        <v>0</v>
      </c>
      <c r="E49" s="2">
        <v>3023744.8</v>
      </c>
      <c r="F49" s="2">
        <v>7839532.5</v>
      </c>
      <c r="G49" s="2">
        <v>0</v>
      </c>
      <c r="H49" s="2">
        <v>96853.5</v>
      </c>
      <c r="I49" s="2">
        <v>116544</v>
      </c>
      <c r="J49" s="4">
        <f t="shared" si="3"/>
        <v>11076674.800000001</v>
      </c>
      <c r="K49" s="17">
        <f>systems!O79</f>
        <v>12906841.100000001</v>
      </c>
      <c r="L49" s="13">
        <f t="shared" si="1"/>
        <v>0.85820184150248813</v>
      </c>
    </row>
    <row r="50" spans="1:27" x14ac:dyDescent="0.5">
      <c r="A50">
        <v>159</v>
      </c>
      <c r="B50">
        <v>159</v>
      </c>
      <c r="C50" t="s">
        <v>27</v>
      </c>
      <c r="D50" s="2">
        <v>11208800</v>
      </c>
      <c r="E50" s="2">
        <v>0</v>
      </c>
      <c r="F50" s="2">
        <v>0</v>
      </c>
      <c r="G50" s="2">
        <v>94213</v>
      </c>
      <c r="H50" s="2">
        <v>0</v>
      </c>
      <c r="I50" s="2">
        <v>0</v>
      </c>
      <c r="J50" s="4">
        <f t="shared" si="3"/>
        <v>11303013</v>
      </c>
      <c r="K50" s="17">
        <f>systems!O80</f>
        <v>16138675.6</v>
      </c>
      <c r="L50" s="13">
        <f t="shared" si="1"/>
        <v>0.70036806489870829</v>
      </c>
    </row>
    <row r="51" spans="1:27" x14ac:dyDescent="0.5">
      <c r="A51">
        <v>178</v>
      </c>
      <c r="B51">
        <v>178</v>
      </c>
      <c r="C51" t="s">
        <v>56</v>
      </c>
      <c r="D51" s="2">
        <v>8243953.5</v>
      </c>
      <c r="E51" s="2">
        <v>0</v>
      </c>
      <c r="F51" s="2">
        <v>0</v>
      </c>
      <c r="G51" s="2">
        <v>31985.3</v>
      </c>
      <c r="H51" s="2">
        <v>0</v>
      </c>
      <c r="I51" s="2">
        <v>0</v>
      </c>
      <c r="J51" s="4">
        <f t="shared" si="3"/>
        <v>8275938.7999999998</v>
      </c>
      <c r="K51" s="17">
        <f>systems!O81</f>
        <v>16183149.1</v>
      </c>
      <c r="L51" s="13">
        <f t="shared" si="1"/>
        <v>0.51139235935235872</v>
      </c>
    </row>
    <row r="52" spans="1:27" x14ac:dyDescent="0.5">
      <c r="A52">
        <v>179</v>
      </c>
      <c r="B52">
        <v>179</v>
      </c>
      <c r="C52" t="s">
        <v>28</v>
      </c>
      <c r="D52" s="2">
        <v>1354442.3</v>
      </c>
      <c r="E52" s="2">
        <v>4078603.3</v>
      </c>
      <c r="F52" s="2">
        <v>0</v>
      </c>
      <c r="G52" s="2">
        <v>0</v>
      </c>
      <c r="H52" s="2">
        <v>27405.8</v>
      </c>
      <c r="I52" s="2">
        <v>0</v>
      </c>
      <c r="J52" s="4">
        <f t="shared" si="3"/>
        <v>5460451.3999999994</v>
      </c>
      <c r="K52" s="17">
        <f>systems!O82</f>
        <v>8069337.1999999993</v>
      </c>
      <c r="L52" s="13">
        <f t="shared" si="1"/>
        <v>0.67669143879623717</v>
      </c>
    </row>
    <row r="53" spans="1:27" x14ac:dyDescent="0.5">
      <c r="A53">
        <v>188</v>
      </c>
      <c r="B53">
        <v>188</v>
      </c>
      <c r="C53" t="s">
        <v>29</v>
      </c>
      <c r="D53" s="2">
        <v>14765683</v>
      </c>
      <c r="E53" s="2">
        <v>13224519</v>
      </c>
      <c r="F53" s="2">
        <v>4026569.8</v>
      </c>
      <c r="G53" s="2">
        <v>170843.8</v>
      </c>
      <c r="H53" s="2">
        <v>37555.9</v>
      </c>
      <c r="I53" s="2">
        <v>27880.9</v>
      </c>
      <c r="J53" s="4">
        <f t="shared" si="3"/>
        <v>32253052.399999999</v>
      </c>
      <c r="K53" s="17">
        <f>systems!O83</f>
        <v>57687512.499999993</v>
      </c>
      <c r="L53" s="13">
        <f t="shared" si="1"/>
        <v>0.55909937874336324</v>
      </c>
    </row>
    <row r="54" spans="1:27" x14ac:dyDescent="0.5">
      <c r="A54">
        <v>189</v>
      </c>
      <c r="B54">
        <v>189</v>
      </c>
      <c r="C54" t="s">
        <v>30</v>
      </c>
      <c r="D54" s="2">
        <v>452124.4</v>
      </c>
      <c r="E54" s="2">
        <v>29646076</v>
      </c>
      <c r="F54" s="2">
        <v>4658368</v>
      </c>
      <c r="G54" s="2">
        <v>0</v>
      </c>
      <c r="H54" s="2">
        <v>25353.7</v>
      </c>
      <c r="I54" s="2">
        <v>0</v>
      </c>
      <c r="J54" s="4">
        <f t="shared" si="3"/>
        <v>34781922.100000001</v>
      </c>
      <c r="K54" s="17">
        <f>systems!O84</f>
        <v>43994064.299999997</v>
      </c>
      <c r="L54" s="13">
        <f t="shared" si="1"/>
        <v>0.7906048839411276</v>
      </c>
    </row>
    <row r="55" spans="1:27" x14ac:dyDescent="0.5">
      <c r="A55">
        <v>203</v>
      </c>
      <c r="B55">
        <v>203</v>
      </c>
      <c r="C55" t="s">
        <v>31</v>
      </c>
      <c r="D55" s="2">
        <v>4263764.5</v>
      </c>
      <c r="E55" s="2">
        <v>162275.9</v>
      </c>
      <c r="F55" s="2">
        <v>19323.5</v>
      </c>
      <c r="G55" s="2">
        <v>37039.5</v>
      </c>
      <c r="H55" s="2">
        <v>0</v>
      </c>
      <c r="I55" s="2">
        <v>0</v>
      </c>
      <c r="J55" s="4">
        <f t="shared" si="3"/>
        <v>4482403.4000000004</v>
      </c>
      <c r="K55" s="17">
        <f>systems!O85</f>
        <v>18811956.399999999</v>
      </c>
      <c r="L55" s="13">
        <f t="shared" si="1"/>
        <v>0.23827417546002821</v>
      </c>
    </row>
    <row r="56" spans="1:27" x14ac:dyDescent="0.5">
      <c r="A56">
        <v>204</v>
      </c>
      <c r="B56">
        <v>204</v>
      </c>
      <c r="C56" t="s">
        <v>32</v>
      </c>
      <c r="D56" s="2">
        <v>7582505</v>
      </c>
      <c r="E56" s="2">
        <v>32771.199999999997</v>
      </c>
      <c r="F56" s="2">
        <v>760618.1</v>
      </c>
      <c r="G56" s="2">
        <v>101366.7</v>
      </c>
      <c r="H56" s="2">
        <v>0</v>
      </c>
      <c r="I56" s="2">
        <v>65293.7</v>
      </c>
      <c r="J56" s="4">
        <f t="shared" si="3"/>
        <v>8542554.6999999993</v>
      </c>
      <c r="K56" s="17">
        <f>systems!O86</f>
        <v>17307594.399999999</v>
      </c>
      <c r="L56" s="13">
        <f t="shared" si="1"/>
        <v>0.49357261919657652</v>
      </c>
    </row>
    <row r="57" spans="1:27" x14ac:dyDescent="0.5">
      <c r="D57" s="4">
        <f t="shared" ref="D57:I57" si="4">SUM(D31:D56)</f>
        <v>213479328.20000002</v>
      </c>
      <c r="E57" s="4">
        <f t="shared" si="4"/>
        <v>200242161.30000001</v>
      </c>
      <c r="F57" s="4">
        <f t="shared" si="4"/>
        <v>105160806.09999999</v>
      </c>
      <c r="G57" s="4">
        <f t="shared" si="4"/>
        <v>2882892.5</v>
      </c>
      <c r="H57" s="4">
        <f t="shared" si="4"/>
        <v>1431418.1999999997</v>
      </c>
      <c r="I57" s="4">
        <f t="shared" si="4"/>
        <v>1845993.9000000001</v>
      </c>
      <c r="J57" s="4">
        <f t="shared" si="3"/>
        <v>525042600.19999999</v>
      </c>
      <c r="K57" s="17">
        <f>systems!O87</f>
        <v>798941904.70000005</v>
      </c>
      <c r="L57" s="13">
        <f t="shared" si="1"/>
        <v>0.65717243908635847</v>
      </c>
    </row>
    <row r="58" spans="1:27" x14ac:dyDescent="0.5">
      <c r="A58" t="s">
        <v>57</v>
      </c>
      <c r="D58" s="2"/>
      <c r="E58" s="2"/>
      <c r="F58" s="2"/>
      <c r="G58" s="2"/>
      <c r="H58" s="2"/>
      <c r="I58" s="2"/>
      <c r="J58" s="4"/>
      <c r="K58" s="17"/>
    </row>
    <row r="59" spans="1:27" x14ac:dyDescent="0.5">
      <c r="A59">
        <v>13</v>
      </c>
      <c r="B59">
        <v>13</v>
      </c>
      <c r="C59" t="s">
        <v>12</v>
      </c>
      <c r="D59" s="2">
        <v>0</v>
      </c>
      <c r="E59" s="2">
        <v>211637792</v>
      </c>
      <c r="F59" s="2">
        <v>570855616</v>
      </c>
      <c r="G59" s="2">
        <v>0</v>
      </c>
      <c r="H59" s="2">
        <v>28508940</v>
      </c>
      <c r="I59" s="2">
        <v>6833338</v>
      </c>
      <c r="J59" s="4">
        <f t="shared" ref="J59:J85" si="5">SUM(D59:I59)</f>
        <v>817835686</v>
      </c>
      <c r="K59" s="17">
        <f>systems!O89</f>
        <v>869415806</v>
      </c>
      <c r="L59" s="13">
        <f t="shared" si="1"/>
        <v>0.94067266819393436</v>
      </c>
      <c r="Q59" s="2" t="s">
        <v>34</v>
      </c>
      <c r="R59" t="s">
        <v>34</v>
      </c>
      <c r="S59" s="19" t="s">
        <v>34</v>
      </c>
      <c r="U59" s="2">
        <f>0.01*SUM(H59:M59)</f>
        <v>17225937.709406726</v>
      </c>
      <c r="V59">
        <v>0.2</v>
      </c>
      <c r="W59" s="19">
        <f t="shared" ref="W59:W64" si="6">U59*(1+V59)</f>
        <v>20671125.251288071</v>
      </c>
      <c r="Y59" s="19">
        <f t="shared" ref="Y59:Y64" si="7">U59-U115</f>
        <v>16892998.602107812</v>
      </c>
      <c r="Z59" s="19">
        <f>U59+U77+U81+U82</f>
        <v>180823851.38998795</v>
      </c>
      <c r="AA59" t="s">
        <v>36</v>
      </c>
    </row>
    <row r="60" spans="1:27" x14ac:dyDescent="0.5">
      <c r="A60">
        <v>15</v>
      </c>
      <c r="B60">
        <v>15</v>
      </c>
      <c r="C60" t="s">
        <v>13</v>
      </c>
      <c r="D60" s="2">
        <v>314016224</v>
      </c>
      <c r="E60" s="2">
        <v>651723840</v>
      </c>
      <c r="F60" s="2">
        <v>0</v>
      </c>
      <c r="G60" s="2">
        <v>0</v>
      </c>
      <c r="H60" s="2">
        <v>4199661.5</v>
      </c>
      <c r="I60" s="2">
        <v>0</v>
      </c>
      <c r="J60" s="4">
        <f t="shared" si="5"/>
        <v>969939725.5</v>
      </c>
      <c r="K60" s="17">
        <f>systems!O90</f>
        <v>1365805909</v>
      </c>
      <c r="L60" s="13">
        <f t="shared" si="1"/>
        <v>0.71015926868420076</v>
      </c>
      <c r="Q60" s="2" t="s">
        <v>34</v>
      </c>
      <c r="R60" t="s">
        <v>34</v>
      </c>
      <c r="S60" s="19" t="s">
        <v>34</v>
      </c>
      <c r="U60" s="2">
        <f>0.01*(H60+K60)</f>
        <v>13700055.705</v>
      </c>
      <c r="V60">
        <v>0.2</v>
      </c>
      <c r="W60" s="19">
        <f t="shared" si="6"/>
        <v>16440066.845999999</v>
      </c>
      <c r="Y60" s="19">
        <f t="shared" si="7"/>
        <v>12586674.923</v>
      </c>
      <c r="Z60" s="19">
        <f>U60+U61+U63+U64+U67+U68+U69+U73+U75+U76+U79+U80</f>
        <v>403858157.97000003</v>
      </c>
      <c r="AA60" t="s">
        <v>37</v>
      </c>
    </row>
    <row r="61" spans="1:27" x14ac:dyDescent="0.5">
      <c r="A61">
        <v>16</v>
      </c>
      <c r="B61">
        <v>16</v>
      </c>
      <c r="C61" t="s">
        <v>52</v>
      </c>
      <c r="D61" s="2">
        <v>911048768</v>
      </c>
      <c r="E61" s="2">
        <v>232748.2</v>
      </c>
      <c r="F61" s="2">
        <v>0</v>
      </c>
      <c r="G61" s="2">
        <v>2622340.2999999998</v>
      </c>
      <c r="H61" s="2">
        <v>0</v>
      </c>
      <c r="I61" s="2">
        <v>0</v>
      </c>
      <c r="J61" s="4">
        <f t="shared" si="5"/>
        <v>913903856.5</v>
      </c>
      <c r="K61" s="17">
        <f>systems!O91</f>
        <v>971010914.39999998</v>
      </c>
      <c r="L61" s="13">
        <f t="shared" si="1"/>
        <v>0.94118803707238741</v>
      </c>
      <c r="Q61" s="2" t="s">
        <v>34</v>
      </c>
      <c r="R61" t="s">
        <v>34</v>
      </c>
      <c r="S61" s="19" t="s">
        <v>34</v>
      </c>
      <c r="U61" s="2">
        <f>0.01*(H61+K61)</f>
        <v>9710109.1439999994</v>
      </c>
      <c r="V61">
        <v>0.2</v>
      </c>
      <c r="W61" s="19">
        <f t="shared" si="6"/>
        <v>11652130.9728</v>
      </c>
      <c r="Y61" s="19">
        <f t="shared" si="7"/>
        <v>8687859.8579999991</v>
      </c>
      <c r="Z61" s="19">
        <f>U62+U72+U74+U84</f>
        <v>32566214.876999997</v>
      </c>
      <c r="AA61" t="s">
        <v>90</v>
      </c>
    </row>
    <row r="62" spans="1:27" x14ac:dyDescent="0.5">
      <c r="A62">
        <v>30</v>
      </c>
      <c r="B62">
        <v>30</v>
      </c>
      <c r="C62" t="s">
        <v>53</v>
      </c>
      <c r="D62" s="2">
        <v>25126172</v>
      </c>
      <c r="E62" s="2">
        <v>0</v>
      </c>
      <c r="F62" s="2">
        <v>0</v>
      </c>
      <c r="G62" s="2">
        <v>0</v>
      </c>
      <c r="H62" s="2">
        <v>0</v>
      </c>
      <c r="I62" s="2">
        <v>0</v>
      </c>
      <c r="J62" s="4">
        <f t="shared" si="5"/>
        <v>25126172</v>
      </c>
      <c r="K62" s="17">
        <f>systems!O92</f>
        <v>37979220.199999996</v>
      </c>
      <c r="L62" s="13">
        <f t="shared" si="1"/>
        <v>0.66157682721458311</v>
      </c>
      <c r="Q62" s="2" t="s">
        <v>34</v>
      </c>
      <c r="R62" t="s">
        <v>34</v>
      </c>
      <c r="S62" s="19" t="s">
        <v>34</v>
      </c>
      <c r="U62" s="2">
        <f>0.01*(H62+K62)</f>
        <v>379792.20199999999</v>
      </c>
      <c r="V62">
        <v>0.2</v>
      </c>
      <c r="W62" s="19">
        <f t="shared" si="6"/>
        <v>455750.64239999995</v>
      </c>
      <c r="Y62" s="19">
        <f t="shared" si="7"/>
        <v>361521.38099999999</v>
      </c>
      <c r="Z62" s="19">
        <f>SUM(Z59:Z61)</f>
        <v>617248224.23698795</v>
      </c>
      <c r="AA62" t="s">
        <v>91</v>
      </c>
    </row>
    <row r="63" spans="1:27" x14ac:dyDescent="0.5">
      <c r="A63">
        <v>37</v>
      </c>
      <c r="B63">
        <v>37</v>
      </c>
      <c r="C63" t="s">
        <v>14</v>
      </c>
      <c r="D63" s="2">
        <v>58908716</v>
      </c>
      <c r="E63" s="2">
        <v>2162292480</v>
      </c>
      <c r="F63" s="2">
        <v>114069.2</v>
      </c>
      <c r="G63" s="2">
        <v>0</v>
      </c>
      <c r="H63" s="2">
        <v>24390504</v>
      </c>
      <c r="I63" s="2">
        <v>0</v>
      </c>
      <c r="J63" s="4">
        <f t="shared" si="5"/>
        <v>2245705769.1999998</v>
      </c>
      <c r="K63" s="17">
        <f>systems!O93</f>
        <v>2722656369.1999998</v>
      </c>
      <c r="L63" s="13">
        <f t="shared" si="1"/>
        <v>0.82482159504390828</v>
      </c>
      <c r="Q63" s="2" t="s">
        <v>34</v>
      </c>
      <c r="R63" t="s">
        <v>34</v>
      </c>
      <c r="S63" s="19" t="s">
        <v>34</v>
      </c>
      <c r="U63" s="2">
        <f>0.01*(H63+K63)</f>
        <v>27470468.731999997</v>
      </c>
      <c r="V63">
        <v>0.2</v>
      </c>
      <c r="W63" s="19">
        <f t="shared" si="6"/>
        <v>32964562.478399996</v>
      </c>
      <c r="Y63" s="19">
        <f t="shared" si="7"/>
        <v>26572081.415999997</v>
      </c>
    </row>
    <row r="64" spans="1:27" x14ac:dyDescent="0.5">
      <c r="A64">
        <v>38</v>
      </c>
      <c r="B64">
        <v>38</v>
      </c>
      <c r="C64" t="s">
        <v>54</v>
      </c>
      <c r="D64" s="2">
        <v>301367296</v>
      </c>
      <c r="E64" s="2">
        <v>362977120</v>
      </c>
      <c r="F64" s="2">
        <v>180634656</v>
      </c>
      <c r="G64" s="2">
        <v>8655241</v>
      </c>
      <c r="H64" s="2">
        <v>0</v>
      </c>
      <c r="I64" s="2">
        <v>0</v>
      </c>
      <c r="J64" s="4">
        <f t="shared" si="5"/>
        <v>853634313</v>
      </c>
      <c r="K64" s="17">
        <f>systems!O94</f>
        <v>2375246479</v>
      </c>
      <c r="L64" s="13">
        <f t="shared" si="1"/>
        <v>0.35938767641469682</v>
      </c>
      <c r="Q64" s="2" t="s">
        <v>34</v>
      </c>
      <c r="R64" t="s">
        <v>34</v>
      </c>
      <c r="S64" s="19" t="s">
        <v>34</v>
      </c>
      <c r="U64" s="2">
        <f>0.01*(H64+K64)</f>
        <v>23752464.789999999</v>
      </c>
      <c r="V64">
        <v>0.2</v>
      </c>
      <c r="W64" s="19">
        <f t="shared" si="6"/>
        <v>28502957.748</v>
      </c>
      <c r="Y64" s="19">
        <f t="shared" si="7"/>
        <v>22230775.066999998</v>
      </c>
    </row>
    <row r="65" spans="1:25" x14ac:dyDescent="0.5">
      <c r="A65">
        <v>60</v>
      </c>
      <c r="B65">
        <v>60</v>
      </c>
      <c r="C65" t="s">
        <v>15</v>
      </c>
      <c r="D65" s="2">
        <v>475238496</v>
      </c>
      <c r="E65" s="2">
        <v>329555840</v>
      </c>
      <c r="F65" s="2">
        <v>2760743168</v>
      </c>
      <c r="G65" s="2">
        <v>54539916</v>
      </c>
      <c r="H65" s="2">
        <v>3176359</v>
      </c>
      <c r="I65" s="2">
        <v>115174256</v>
      </c>
      <c r="J65" s="4">
        <f t="shared" si="5"/>
        <v>3738428035</v>
      </c>
      <c r="K65" s="17">
        <f>systems!O95</f>
        <v>4013097299</v>
      </c>
      <c r="L65" s="13">
        <f t="shared" si="1"/>
        <v>0.93155678929876851</v>
      </c>
      <c r="Q65" s="2">
        <f>0.01*SUM(D65:I65)</f>
        <v>37384280.350000001</v>
      </c>
      <c r="R65">
        <v>0.2</v>
      </c>
      <c r="S65" s="19">
        <f>Q65*(1+R65)</f>
        <v>44861136.420000002</v>
      </c>
      <c r="U65" s="2" t="s">
        <v>34</v>
      </c>
      <c r="V65" t="s">
        <v>34</v>
      </c>
      <c r="W65" s="19" t="s">
        <v>34</v>
      </c>
      <c r="Y65" s="19">
        <f>Q65-Q121</f>
        <v>32549951.310000002</v>
      </c>
    </row>
    <row r="66" spans="1:25" x14ac:dyDescent="0.5">
      <c r="A66">
        <v>67</v>
      </c>
      <c r="B66">
        <v>67</v>
      </c>
      <c r="C66" t="s">
        <v>16</v>
      </c>
      <c r="D66" s="2">
        <v>477553792</v>
      </c>
      <c r="E66" s="2">
        <v>2437315584</v>
      </c>
      <c r="F66" s="2">
        <v>0</v>
      </c>
      <c r="G66" s="2">
        <v>6000812</v>
      </c>
      <c r="H66" s="2">
        <v>2695576</v>
      </c>
      <c r="I66" s="2">
        <v>0</v>
      </c>
      <c r="J66" s="4">
        <f t="shared" si="5"/>
        <v>2923565764</v>
      </c>
      <c r="K66" s="17">
        <f>systems!O96</f>
        <v>3906213724</v>
      </c>
      <c r="L66" s="13">
        <f t="shared" si="1"/>
        <v>0.74843978608683015</v>
      </c>
      <c r="Q66" s="2">
        <f>0.01*(D66+G66)</f>
        <v>4835546.04</v>
      </c>
      <c r="R66">
        <v>0.2</v>
      </c>
      <c r="S66" s="19">
        <f>Q66*(1+R66)</f>
        <v>5802655.2479999997</v>
      </c>
      <c r="U66" s="2" t="s">
        <v>34</v>
      </c>
      <c r="V66" t="s">
        <v>34</v>
      </c>
      <c r="W66" s="19" t="s">
        <v>34</v>
      </c>
      <c r="Y66" s="19">
        <f>Q66-Q122</f>
        <v>4637645.3130000001</v>
      </c>
    </row>
    <row r="67" spans="1:25" x14ac:dyDescent="0.5">
      <c r="A67">
        <v>69</v>
      </c>
      <c r="B67">
        <v>69</v>
      </c>
      <c r="C67" t="s">
        <v>17</v>
      </c>
      <c r="D67" s="2">
        <v>153518352</v>
      </c>
      <c r="E67" s="2">
        <v>915991168</v>
      </c>
      <c r="F67" s="2">
        <v>770970.3</v>
      </c>
      <c r="G67" s="2">
        <v>10831956</v>
      </c>
      <c r="H67" s="2">
        <v>6942553.5</v>
      </c>
      <c r="I67" s="2">
        <v>0</v>
      </c>
      <c r="J67" s="4">
        <f t="shared" si="5"/>
        <v>1088054999.8</v>
      </c>
      <c r="K67" s="17">
        <f>systems!O97</f>
        <v>1419021899.8</v>
      </c>
      <c r="L67" s="13">
        <f t="shared" si="1"/>
        <v>0.76676406470777714</v>
      </c>
      <c r="Q67" s="2" t="s">
        <v>34</v>
      </c>
      <c r="R67" t="s">
        <v>34</v>
      </c>
      <c r="S67" s="19" t="s">
        <v>34</v>
      </c>
      <c r="U67" s="2">
        <f>0.01*(H67+K67)</f>
        <v>14259644.533</v>
      </c>
      <c r="V67">
        <v>0.2</v>
      </c>
      <c r="W67" s="19">
        <f>U67*(1+V67)</f>
        <v>17111573.439599998</v>
      </c>
      <c r="Y67" s="19">
        <f>U67-U123</f>
        <v>13552088.086999999</v>
      </c>
    </row>
    <row r="68" spans="1:25" x14ac:dyDescent="0.5">
      <c r="A68">
        <v>71</v>
      </c>
      <c r="B68">
        <v>71</v>
      </c>
      <c r="C68" t="s">
        <v>18</v>
      </c>
      <c r="D68" s="2">
        <v>90770832</v>
      </c>
      <c r="E68" s="2">
        <v>0</v>
      </c>
      <c r="F68" s="2">
        <v>0</v>
      </c>
      <c r="G68" s="2">
        <v>0</v>
      </c>
      <c r="H68" s="2">
        <v>0</v>
      </c>
      <c r="I68" s="2">
        <v>0</v>
      </c>
      <c r="J68" s="4">
        <f t="shared" si="5"/>
        <v>90770832</v>
      </c>
      <c r="K68" s="17">
        <f>systems!O98</f>
        <v>100137851.40000001</v>
      </c>
      <c r="L68" s="13">
        <f t="shared" ref="L68:L131" si="8">J68/K68</f>
        <v>0.90645875391730235</v>
      </c>
      <c r="Q68" s="2" t="s">
        <v>34</v>
      </c>
      <c r="R68" t="s">
        <v>34</v>
      </c>
      <c r="S68" s="19" t="s">
        <v>34</v>
      </c>
      <c r="U68" s="2">
        <f>0.01*(H68+K68)</f>
        <v>1001378.5140000001</v>
      </c>
      <c r="V68">
        <v>0.2</v>
      </c>
      <c r="W68" s="19">
        <f>U68*(1+V68)</f>
        <v>1201654.2168000001</v>
      </c>
      <c r="Y68" s="19">
        <f>U68-U124</f>
        <v>959378.25800000015</v>
      </c>
    </row>
    <row r="69" spans="1:25" x14ac:dyDescent="0.5">
      <c r="A69">
        <v>72</v>
      </c>
      <c r="B69">
        <v>72</v>
      </c>
      <c r="C69" t="s">
        <v>19</v>
      </c>
      <c r="D69" s="2">
        <v>48552824</v>
      </c>
      <c r="E69" s="2">
        <v>4050947.3</v>
      </c>
      <c r="F69" s="2">
        <v>0</v>
      </c>
      <c r="G69" s="2">
        <v>1888747.3</v>
      </c>
      <c r="H69" s="2">
        <v>0</v>
      </c>
      <c r="I69" s="2">
        <v>0</v>
      </c>
      <c r="J69" s="4">
        <f t="shared" si="5"/>
        <v>54492518.599999994</v>
      </c>
      <c r="K69" s="17">
        <f>systems!O99</f>
        <v>98020399.599999994</v>
      </c>
      <c r="L69" s="13">
        <f t="shared" si="8"/>
        <v>0.55593038614790546</v>
      </c>
      <c r="Q69" s="2" t="s">
        <v>34</v>
      </c>
      <c r="R69" t="s">
        <v>34</v>
      </c>
      <c r="S69" s="19" t="s">
        <v>34</v>
      </c>
      <c r="U69" s="2">
        <f>0.01*(H69+K69)</f>
        <v>980203.99599999993</v>
      </c>
      <c r="V69">
        <v>0.2</v>
      </c>
      <c r="W69" s="19">
        <f>U69*(1+V69)</f>
        <v>1176244.7951999998</v>
      </c>
      <c r="Y69" s="19">
        <f>U69-U125</f>
        <v>927413.40699999989</v>
      </c>
    </row>
    <row r="70" spans="1:25" x14ac:dyDescent="0.5">
      <c r="A70">
        <v>96</v>
      </c>
      <c r="B70">
        <v>96</v>
      </c>
      <c r="C70" t="s">
        <v>20</v>
      </c>
      <c r="D70" s="2">
        <v>363288448</v>
      </c>
      <c r="E70" s="2">
        <v>283292032</v>
      </c>
      <c r="F70" s="2">
        <v>946069888</v>
      </c>
      <c r="G70" s="2">
        <v>54282276</v>
      </c>
      <c r="H70" s="2">
        <v>36492388</v>
      </c>
      <c r="I70" s="2">
        <v>12488829</v>
      </c>
      <c r="J70" s="4">
        <f t="shared" si="5"/>
        <v>1695913861</v>
      </c>
      <c r="K70" s="17">
        <f>systems!O100</f>
        <v>2563450000</v>
      </c>
      <c r="L70" s="13">
        <f t="shared" si="8"/>
        <v>0.66157477657063724</v>
      </c>
      <c r="Q70" s="2">
        <f>0.01*SUM(D70:I70)</f>
        <v>16959138.609999999</v>
      </c>
      <c r="R70">
        <v>0.2</v>
      </c>
      <c r="S70" s="19">
        <f>Q70*(1+R70)</f>
        <v>20350966.331999999</v>
      </c>
      <c r="U70" s="2" t="s">
        <v>34</v>
      </c>
      <c r="V70" t="s">
        <v>34</v>
      </c>
      <c r="W70" s="19" t="s">
        <v>34</v>
      </c>
      <c r="Y70" s="19">
        <f>Q70-Q126</f>
        <v>13438545.35</v>
      </c>
    </row>
    <row r="71" spans="1:25" x14ac:dyDescent="0.5">
      <c r="A71">
        <v>121</v>
      </c>
      <c r="B71">
        <v>121</v>
      </c>
      <c r="C71" t="s">
        <v>21</v>
      </c>
      <c r="D71" s="2">
        <v>813278784</v>
      </c>
      <c r="E71" s="2">
        <v>0</v>
      </c>
      <c r="F71" s="2">
        <v>0</v>
      </c>
      <c r="G71" s="2">
        <v>61456312</v>
      </c>
      <c r="H71" s="2">
        <v>0</v>
      </c>
      <c r="I71" s="2">
        <v>0</v>
      </c>
      <c r="J71" s="4">
        <f t="shared" si="5"/>
        <v>874735096</v>
      </c>
      <c r="K71" s="17">
        <f>systems!O101</f>
        <v>1105585411</v>
      </c>
      <c r="L71" s="13">
        <f t="shared" si="8"/>
        <v>0.79119630857719414</v>
      </c>
      <c r="Q71" s="2">
        <f>0.01*(D71+G71)</f>
        <v>8747350.9600000009</v>
      </c>
      <c r="R71">
        <v>0.2</v>
      </c>
      <c r="S71" s="19">
        <f>Q71*(1+R71)</f>
        <v>10496821.152000001</v>
      </c>
      <c r="U71" s="2" t="s">
        <v>34</v>
      </c>
      <c r="V71" t="s">
        <v>34</v>
      </c>
      <c r="W71" s="19" t="s">
        <v>34</v>
      </c>
      <c r="Y71" s="19">
        <f>Q71-Q127</f>
        <v>7989569.6250000009</v>
      </c>
    </row>
    <row r="72" spans="1:25" x14ac:dyDescent="0.5">
      <c r="A72">
        <v>126</v>
      </c>
      <c r="B72">
        <v>126</v>
      </c>
      <c r="C72" t="s">
        <v>22</v>
      </c>
      <c r="D72" s="2">
        <v>354567712</v>
      </c>
      <c r="E72" s="2">
        <v>276862880</v>
      </c>
      <c r="F72" s="2">
        <v>0</v>
      </c>
      <c r="G72" s="2">
        <v>20277542</v>
      </c>
      <c r="H72" s="2">
        <v>4915243.5</v>
      </c>
      <c r="I72" s="2">
        <v>0</v>
      </c>
      <c r="J72" s="4">
        <f t="shared" si="5"/>
        <v>656623377.5</v>
      </c>
      <c r="K72" s="17">
        <f>systems!O102</f>
        <v>1296181487</v>
      </c>
      <c r="L72" s="13">
        <f t="shared" si="8"/>
        <v>0.5065829006860364</v>
      </c>
      <c r="Q72" s="2" t="s">
        <v>34</v>
      </c>
      <c r="R72" t="s">
        <v>34</v>
      </c>
      <c r="S72" s="19" t="s">
        <v>34</v>
      </c>
      <c r="U72" s="2">
        <f>0.01*(H72+K72)</f>
        <v>13010967.305</v>
      </c>
      <c r="V72">
        <v>0.2</v>
      </c>
      <c r="W72" s="19">
        <f t="shared" ref="W72:W77" si="9">U72*(1+V72)</f>
        <v>15613160.765999999</v>
      </c>
      <c r="Y72" s="19">
        <f t="shared" ref="Y72:Y77" si="10">U72-U128</f>
        <v>11412261.619999999</v>
      </c>
    </row>
    <row r="73" spans="1:25" x14ac:dyDescent="0.5">
      <c r="A73">
        <v>127</v>
      </c>
      <c r="B73">
        <v>127</v>
      </c>
      <c r="C73" t="s">
        <v>55</v>
      </c>
      <c r="D73" s="2">
        <v>26953522</v>
      </c>
      <c r="E73" s="2">
        <v>0</v>
      </c>
      <c r="F73" s="2">
        <v>0</v>
      </c>
      <c r="G73" s="2">
        <v>6029774.5</v>
      </c>
      <c r="H73" s="2">
        <v>0</v>
      </c>
      <c r="I73" s="2">
        <v>0</v>
      </c>
      <c r="J73" s="4">
        <f t="shared" si="5"/>
        <v>32983296.5</v>
      </c>
      <c r="K73" s="17">
        <f>systems!O103</f>
        <v>63180536.899999999</v>
      </c>
      <c r="L73" s="13">
        <f t="shared" si="8"/>
        <v>0.52204837309636731</v>
      </c>
      <c r="Q73" s="2" t="s">
        <v>34</v>
      </c>
      <c r="R73" t="s">
        <v>34</v>
      </c>
      <c r="S73" s="19" t="s">
        <v>34</v>
      </c>
      <c r="U73" s="2">
        <f>0.01*(H73+K73)</f>
        <v>631805.36899999995</v>
      </c>
      <c r="V73">
        <v>0.2</v>
      </c>
      <c r="W73" s="19">
        <f t="shared" si="9"/>
        <v>758166.44279999996</v>
      </c>
      <c r="Y73" s="19">
        <f t="shared" si="10"/>
        <v>618010.66799999995</v>
      </c>
    </row>
    <row r="74" spans="1:25" x14ac:dyDescent="0.5">
      <c r="A74">
        <v>131</v>
      </c>
      <c r="B74">
        <v>131</v>
      </c>
      <c r="C74" t="s">
        <v>23</v>
      </c>
      <c r="D74" s="2">
        <v>1061677632</v>
      </c>
      <c r="E74" s="2">
        <v>231783424</v>
      </c>
      <c r="F74" s="2">
        <v>27931868</v>
      </c>
      <c r="G74" s="2">
        <v>1781059.3</v>
      </c>
      <c r="H74" s="2">
        <v>4069961.8</v>
      </c>
      <c r="I74" s="2">
        <v>0</v>
      </c>
      <c r="J74" s="4">
        <f t="shared" si="5"/>
        <v>1327243945.0999999</v>
      </c>
      <c r="K74" s="17">
        <f>systems!O104</f>
        <v>1448429024.1999998</v>
      </c>
      <c r="L74" s="13">
        <f t="shared" si="8"/>
        <v>0.91633343638157683</v>
      </c>
      <c r="Q74" s="2" t="s">
        <v>34</v>
      </c>
      <c r="R74" t="s">
        <v>34</v>
      </c>
      <c r="S74" s="19" t="s">
        <v>34</v>
      </c>
      <c r="U74" s="2">
        <f>0.01*(H74+K74)</f>
        <v>14524989.859999998</v>
      </c>
      <c r="V74">
        <v>0.2</v>
      </c>
      <c r="W74" s="19">
        <f t="shared" si="9"/>
        <v>17429987.831999995</v>
      </c>
      <c r="Y74" s="19">
        <f t="shared" si="10"/>
        <v>11975879.496999998</v>
      </c>
    </row>
    <row r="75" spans="1:25" x14ac:dyDescent="0.5">
      <c r="A75">
        <v>134</v>
      </c>
      <c r="B75">
        <v>134</v>
      </c>
      <c r="C75" t="s">
        <v>24</v>
      </c>
      <c r="D75" s="2">
        <v>800539968</v>
      </c>
      <c r="E75" s="2">
        <v>0</v>
      </c>
      <c r="F75" s="2">
        <v>0</v>
      </c>
      <c r="G75" s="2">
        <v>2446250.7999999998</v>
      </c>
      <c r="H75" s="2">
        <v>0</v>
      </c>
      <c r="I75" s="2">
        <v>0</v>
      </c>
      <c r="J75" s="4">
        <f t="shared" si="5"/>
        <v>802986218.79999995</v>
      </c>
      <c r="K75" s="17">
        <f>systems!O105</f>
        <v>1214042591.5999999</v>
      </c>
      <c r="L75" s="13">
        <f t="shared" si="8"/>
        <v>0.66141519610258126</v>
      </c>
      <c r="Q75" s="2" t="s">
        <v>34</v>
      </c>
      <c r="R75" t="s">
        <v>34</v>
      </c>
      <c r="S75" s="19" t="s">
        <v>34</v>
      </c>
      <c r="U75" s="2">
        <f>0.01*(H75+K75)</f>
        <v>12140425.915999999</v>
      </c>
      <c r="V75">
        <v>0.2</v>
      </c>
      <c r="W75" s="19">
        <f t="shared" si="9"/>
        <v>14568511.099199999</v>
      </c>
      <c r="Y75" s="19">
        <f t="shared" si="10"/>
        <v>12129141.738</v>
      </c>
    </row>
    <row r="76" spans="1:25" x14ac:dyDescent="0.5">
      <c r="A76">
        <v>135</v>
      </c>
      <c r="B76">
        <v>135</v>
      </c>
      <c r="C76" t="s">
        <v>25</v>
      </c>
      <c r="D76" s="2">
        <v>8246771200</v>
      </c>
      <c r="E76" s="2">
        <v>16442747904</v>
      </c>
      <c r="F76" s="2">
        <v>159568784</v>
      </c>
      <c r="G76" s="2">
        <v>167387440</v>
      </c>
      <c r="H76" s="2">
        <v>67101732</v>
      </c>
      <c r="I76" s="2">
        <v>0</v>
      </c>
      <c r="J76" s="4">
        <f t="shared" si="5"/>
        <v>25083577060</v>
      </c>
      <c r="K76" s="17">
        <f>systems!O106</f>
        <v>28707376511.799999</v>
      </c>
      <c r="L76" s="13">
        <f t="shared" si="8"/>
        <v>0.87376765514220855</v>
      </c>
      <c r="Q76" s="2" t="s">
        <v>34</v>
      </c>
      <c r="R76" t="s">
        <v>34</v>
      </c>
      <c r="S76" s="19" t="s">
        <v>34</v>
      </c>
      <c r="U76" s="2">
        <f>0.01*(H76+K76)</f>
        <v>287744782.43800002</v>
      </c>
      <c r="V76">
        <v>0.2</v>
      </c>
      <c r="W76" s="19">
        <f t="shared" si="9"/>
        <v>345293738.92559999</v>
      </c>
      <c r="Y76" s="19">
        <f t="shared" si="10"/>
        <v>279028586.10100001</v>
      </c>
    </row>
    <row r="77" spans="1:25" x14ac:dyDescent="0.5">
      <c r="A77">
        <v>156</v>
      </c>
      <c r="B77">
        <v>156</v>
      </c>
      <c r="C77" t="s">
        <v>26</v>
      </c>
      <c r="D77" s="2">
        <v>0</v>
      </c>
      <c r="E77" s="2">
        <v>321227808</v>
      </c>
      <c r="F77" s="2">
        <v>786907264</v>
      </c>
      <c r="G77" s="2">
        <v>0</v>
      </c>
      <c r="H77" s="2">
        <v>14832012</v>
      </c>
      <c r="I77" s="2">
        <v>6561995</v>
      </c>
      <c r="J77" s="4">
        <f t="shared" si="5"/>
        <v>1129529079</v>
      </c>
      <c r="K77" s="17">
        <f>systems!O107</f>
        <v>1240939479</v>
      </c>
      <c r="L77" s="13">
        <f t="shared" si="8"/>
        <v>0.91022092383604469</v>
      </c>
      <c r="Q77" s="2" t="s">
        <v>34</v>
      </c>
      <c r="R77" t="s">
        <v>34</v>
      </c>
      <c r="S77" s="19" t="s">
        <v>34</v>
      </c>
      <c r="U77" s="2">
        <f>0.01*SUM(H77:M77)</f>
        <v>23918625.659102213</v>
      </c>
      <c r="V77">
        <v>0.2</v>
      </c>
      <c r="W77" s="19">
        <f t="shared" si="9"/>
        <v>28702350.790922653</v>
      </c>
      <c r="Y77" s="19">
        <f t="shared" si="10"/>
        <v>23673297.193893939</v>
      </c>
    </row>
    <row r="78" spans="1:25" x14ac:dyDescent="0.5">
      <c r="A78">
        <v>159</v>
      </c>
      <c r="B78">
        <v>159</v>
      </c>
      <c r="C78" t="s">
        <v>27</v>
      </c>
      <c r="D78" s="2">
        <v>567061120</v>
      </c>
      <c r="E78" s="2">
        <v>0</v>
      </c>
      <c r="F78" s="2">
        <v>0</v>
      </c>
      <c r="G78" s="2">
        <v>20730520</v>
      </c>
      <c r="H78" s="2">
        <v>0</v>
      </c>
      <c r="I78" s="2">
        <v>0</v>
      </c>
      <c r="J78" s="4">
        <f t="shared" si="5"/>
        <v>587791640</v>
      </c>
      <c r="K78" s="17">
        <f>systems!O108</f>
        <v>693788904</v>
      </c>
      <c r="L78" s="13">
        <f t="shared" si="8"/>
        <v>0.84721971857883738</v>
      </c>
      <c r="Q78" s="2">
        <f>0.01*(D78+G78)</f>
        <v>5877916.4000000004</v>
      </c>
      <c r="R78">
        <v>0.2</v>
      </c>
      <c r="S78" s="19">
        <f>Q78*(1+R78)</f>
        <v>7053499.6800000006</v>
      </c>
      <c r="U78" s="2" t="s">
        <v>34</v>
      </c>
      <c r="V78" t="s">
        <v>34</v>
      </c>
      <c r="W78" s="19" t="s">
        <v>34</v>
      </c>
      <c r="Y78" s="19">
        <f>Q78-Q134</f>
        <v>5473699.9460000005</v>
      </c>
    </row>
    <row r="79" spans="1:25" x14ac:dyDescent="0.5">
      <c r="A79">
        <v>178</v>
      </c>
      <c r="B79">
        <v>178</v>
      </c>
      <c r="C79" t="s">
        <v>56</v>
      </c>
      <c r="D79" s="2">
        <v>678861184</v>
      </c>
      <c r="E79" s="2">
        <v>0</v>
      </c>
      <c r="F79" s="2">
        <v>0</v>
      </c>
      <c r="G79" s="2">
        <v>2413218</v>
      </c>
      <c r="H79" s="2">
        <v>0</v>
      </c>
      <c r="I79" s="2">
        <v>0</v>
      </c>
      <c r="J79" s="4">
        <f t="shared" si="5"/>
        <v>681274402</v>
      </c>
      <c r="K79" s="17">
        <f>systems!O109</f>
        <v>773284361.70000005</v>
      </c>
      <c r="L79" s="13">
        <f t="shared" si="8"/>
        <v>0.88101406900596835</v>
      </c>
      <c r="Q79" s="2" t="s">
        <v>34</v>
      </c>
      <c r="R79" t="s">
        <v>34</v>
      </c>
      <c r="S79" s="19" t="s">
        <v>34</v>
      </c>
      <c r="U79" s="2">
        <f>0.01*(H79+K79)</f>
        <v>7732843.6170000006</v>
      </c>
      <c r="V79">
        <v>0.2</v>
      </c>
      <c r="W79" s="19">
        <f>U79*(1+V79)</f>
        <v>9279412.340400001</v>
      </c>
      <c r="Y79" s="19">
        <f>U79-U135</f>
        <v>7504919.5350000001</v>
      </c>
    </row>
    <row r="80" spans="1:25" x14ac:dyDescent="0.5">
      <c r="A80">
        <v>179</v>
      </c>
      <c r="B80">
        <v>179</v>
      </c>
      <c r="C80" t="s">
        <v>28</v>
      </c>
      <c r="D80" s="2">
        <v>83161768</v>
      </c>
      <c r="E80" s="2">
        <v>229017952</v>
      </c>
      <c r="F80" s="2">
        <v>0</v>
      </c>
      <c r="G80" s="2">
        <v>0</v>
      </c>
      <c r="H80" s="2">
        <v>1713876.8</v>
      </c>
      <c r="I80" s="2">
        <v>0</v>
      </c>
      <c r="J80" s="4">
        <f t="shared" si="5"/>
        <v>313893596.80000001</v>
      </c>
      <c r="K80" s="17">
        <f>systems!O110</f>
        <v>471683644.80000001</v>
      </c>
      <c r="L80" s="13">
        <f t="shared" si="8"/>
        <v>0.66547483734165713</v>
      </c>
      <c r="Q80" s="2" t="s">
        <v>34</v>
      </c>
      <c r="R80" t="s">
        <v>34</v>
      </c>
      <c r="S80" s="19" t="s">
        <v>34</v>
      </c>
      <c r="U80" s="2">
        <f>0.01*(H80+K80)</f>
        <v>4733975.216</v>
      </c>
      <c r="V80">
        <v>0.2</v>
      </c>
      <c r="W80" s="19">
        <f>U80*(1+V80)</f>
        <v>5680770.2592000002</v>
      </c>
      <c r="Y80" s="19">
        <f>U80-U136</f>
        <v>3979649.8560000001</v>
      </c>
    </row>
    <row r="81" spans="1:25" x14ac:dyDescent="0.5">
      <c r="A81">
        <v>188</v>
      </c>
      <c r="B81">
        <v>188</v>
      </c>
      <c r="C81" t="s">
        <v>29</v>
      </c>
      <c r="D81" s="2">
        <v>936806144</v>
      </c>
      <c r="E81" s="2">
        <v>1029116608</v>
      </c>
      <c r="F81" s="2">
        <v>448515232</v>
      </c>
      <c r="G81" s="2">
        <v>18131940</v>
      </c>
      <c r="H81" s="2">
        <v>3780815</v>
      </c>
      <c r="I81" s="2">
        <v>408775.7</v>
      </c>
      <c r="J81" s="4">
        <f t="shared" si="5"/>
        <v>2436759514.6999998</v>
      </c>
      <c r="K81" s="17">
        <f>systems!O111</f>
        <v>3934313582.6999998</v>
      </c>
      <c r="L81" s="13">
        <f t="shared" si="8"/>
        <v>0.61936077627745312</v>
      </c>
      <c r="Q81" s="2" t="s">
        <v>34</v>
      </c>
      <c r="R81" t="s">
        <v>34</v>
      </c>
      <c r="S81" s="19" t="s">
        <v>34</v>
      </c>
      <c r="U81" s="2">
        <f>0.01*SUM(H81:M81)</f>
        <v>63752626.887193605</v>
      </c>
      <c r="V81">
        <v>0.2</v>
      </c>
      <c r="W81" s="19">
        <f>U81*(1+V81)</f>
        <v>76503152.264632329</v>
      </c>
      <c r="Y81" s="19">
        <f>U81-U137</f>
        <v>54782790.170018479</v>
      </c>
    </row>
    <row r="82" spans="1:25" x14ac:dyDescent="0.5">
      <c r="A82">
        <v>189</v>
      </c>
      <c r="B82">
        <v>189</v>
      </c>
      <c r="C82" t="s">
        <v>30</v>
      </c>
      <c r="D82" s="2">
        <v>43674344</v>
      </c>
      <c r="E82" s="2">
        <v>2979543552</v>
      </c>
      <c r="F82" s="2">
        <v>628171456</v>
      </c>
      <c r="G82" s="2">
        <v>0</v>
      </c>
      <c r="H82" s="2">
        <v>2884088</v>
      </c>
      <c r="I82" s="2">
        <v>0</v>
      </c>
      <c r="J82" s="4">
        <f t="shared" si="5"/>
        <v>3654273440</v>
      </c>
      <c r="K82" s="17">
        <f>systems!O112</f>
        <v>3935508584.5</v>
      </c>
      <c r="L82" s="13">
        <f t="shared" si="8"/>
        <v>0.92853905957475369</v>
      </c>
      <c r="Q82" s="2" t="s">
        <v>34</v>
      </c>
      <c r="R82" t="s">
        <v>34</v>
      </c>
      <c r="S82" s="19" t="s">
        <v>34</v>
      </c>
      <c r="U82" s="2">
        <f>0.01*SUM(H82:M82)</f>
        <v>75926661.13428539</v>
      </c>
      <c r="V82">
        <v>0.2</v>
      </c>
      <c r="W82" s="19">
        <f>U82*(1+V82)</f>
        <v>91111993.361142471</v>
      </c>
      <c r="Y82" s="19">
        <f>U82-U138</f>
        <v>72715041.031032756</v>
      </c>
    </row>
    <row r="83" spans="1:25" x14ac:dyDescent="0.5">
      <c r="A83">
        <v>203</v>
      </c>
      <c r="B83">
        <v>203</v>
      </c>
      <c r="C83" t="s">
        <v>31</v>
      </c>
      <c r="D83" s="2">
        <v>174104752</v>
      </c>
      <c r="E83" s="2">
        <v>3748180.5</v>
      </c>
      <c r="F83" s="2">
        <v>262966.5</v>
      </c>
      <c r="G83" s="2">
        <v>4132984.3</v>
      </c>
      <c r="H83" s="2">
        <v>0</v>
      </c>
      <c r="I83" s="2">
        <v>0</v>
      </c>
      <c r="J83" s="4">
        <f t="shared" si="5"/>
        <v>182248883.30000001</v>
      </c>
      <c r="K83" s="17">
        <f>systems!O113</f>
        <v>484057628.30000001</v>
      </c>
      <c r="L83" s="13">
        <f t="shared" si="8"/>
        <v>0.37650245062773657</v>
      </c>
      <c r="Q83" s="2">
        <f>0.01*(D83+G83)</f>
        <v>1782377.3630000001</v>
      </c>
      <c r="R83">
        <v>0.2</v>
      </c>
      <c r="S83" s="19">
        <f>Q83*(1+R83)</f>
        <v>2138852.8355999999</v>
      </c>
      <c r="U83" s="2" t="s">
        <v>34</v>
      </c>
      <c r="V83" t="s">
        <v>34</v>
      </c>
      <c r="W83" s="19" t="s">
        <v>34</v>
      </c>
      <c r="Y83" s="19">
        <f>Q83-Q139</f>
        <v>1091831.0109999999</v>
      </c>
    </row>
    <row r="84" spans="1:25" x14ac:dyDescent="0.5">
      <c r="A84">
        <v>204</v>
      </c>
      <c r="B84">
        <v>204</v>
      </c>
      <c r="C84" t="s">
        <v>32</v>
      </c>
      <c r="D84" s="2">
        <v>325972448</v>
      </c>
      <c r="E84" s="2">
        <v>4091270.8</v>
      </c>
      <c r="F84" s="2">
        <v>21567522</v>
      </c>
      <c r="G84" s="2">
        <v>7795476.5</v>
      </c>
      <c r="H84" s="2">
        <v>0</v>
      </c>
      <c r="I84" s="2">
        <v>682211.2</v>
      </c>
      <c r="J84" s="4">
        <f t="shared" si="5"/>
        <v>360108928.5</v>
      </c>
      <c r="K84" s="17">
        <f>systems!O114</f>
        <v>465046551</v>
      </c>
      <c r="L84" s="13">
        <f t="shared" si="8"/>
        <v>0.77435028326873878</v>
      </c>
      <c r="Q84" s="2" t="s">
        <v>34</v>
      </c>
      <c r="R84" t="s">
        <v>34</v>
      </c>
      <c r="S84" s="19" t="s">
        <v>34</v>
      </c>
      <c r="U84" s="2">
        <f>0.01*(H84+K84)</f>
        <v>4650465.51</v>
      </c>
      <c r="V84">
        <v>0.2</v>
      </c>
      <c r="W84" s="19">
        <f>U84*(1+V84)</f>
        <v>5580558.6119999997</v>
      </c>
      <c r="Y84" s="19">
        <f>U84-U140</f>
        <v>2729319.3249999993</v>
      </c>
    </row>
    <row r="85" spans="1:25" x14ac:dyDescent="0.5">
      <c r="D85" s="4">
        <f t="shared" ref="D85:I85" si="11">SUM(D59:D84)</f>
        <v>17332820498</v>
      </c>
      <c r="E85" s="4">
        <f t="shared" si="11"/>
        <v>28877209130.799999</v>
      </c>
      <c r="F85" s="4">
        <f t="shared" si="11"/>
        <v>6532113460</v>
      </c>
      <c r="G85" s="4">
        <f t="shared" si="11"/>
        <v>451403806.00000006</v>
      </c>
      <c r="H85" s="4">
        <f t="shared" si="11"/>
        <v>205703711.10000002</v>
      </c>
      <c r="I85" s="4">
        <f t="shared" si="11"/>
        <v>142149404.89999998</v>
      </c>
      <c r="J85" s="4">
        <f t="shared" si="5"/>
        <v>53541400010.800003</v>
      </c>
      <c r="K85" s="17">
        <f>systems!O115</f>
        <v>66275474170.099998</v>
      </c>
      <c r="L85" s="13">
        <f t="shared" si="8"/>
        <v>0.80786144016688244</v>
      </c>
      <c r="Q85" s="4">
        <f t="shared" ref="Q85:W85" si="12">SUM(Q59:Q84)</f>
        <v>75586609.72300002</v>
      </c>
      <c r="R85" s="8"/>
      <c r="S85" s="4">
        <f t="shared" si="12"/>
        <v>90703931.667600006</v>
      </c>
      <c r="T85" s="8"/>
      <c r="U85" s="4">
        <f t="shared" si="12"/>
        <v>617248224.23698795</v>
      </c>
      <c r="V85" s="8"/>
      <c r="W85" s="4">
        <f t="shared" si="12"/>
        <v>740697869.08438551</v>
      </c>
      <c r="Y85" s="19"/>
    </row>
    <row r="86" spans="1:25" x14ac:dyDescent="0.5">
      <c r="A86" t="s">
        <v>58</v>
      </c>
      <c r="D86" s="2"/>
      <c r="E86" s="2"/>
      <c r="F86" s="2"/>
      <c r="G86" s="2"/>
      <c r="H86" s="2"/>
      <c r="I86" s="2"/>
      <c r="J86" s="4"/>
      <c r="K86" s="17"/>
    </row>
    <row r="87" spans="1:25" x14ac:dyDescent="0.5">
      <c r="A87">
        <v>13</v>
      </c>
      <c r="B87">
        <v>13</v>
      </c>
      <c r="C87" t="s">
        <v>12</v>
      </c>
      <c r="D87" s="2">
        <v>0</v>
      </c>
      <c r="E87" s="2">
        <v>225129.4</v>
      </c>
      <c r="F87" s="2">
        <v>785653.6</v>
      </c>
      <c r="G87" s="2">
        <v>0</v>
      </c>
      <c r="H87" s="2">
        <v>21584.5</v>
      </c>
      <c r="I87" s="2">
        <v>7518.6</v>
      </c>
      <c r="J87" s="4">
        <f t="shared" ref="J87:J113" si="13">SUM(D87:I87)</f>
        <v>1039886.1</v>
      </c>
      <c r="K87" s="17">
        <f>systems!O117</f>
        <v>1104775.4000000001</v>
      </c>
      <c r="L87" s="13">
        <f t="shared" si="8"/>
        <v>0.94126471317156402</v>
      </c>
      <c r="Q87" s="2" t="s">
        <v>34</v>
      </c>
    </row>
    <row r="88" spans="1:25" x14ac:dyDescent="0.5">
      <c r="A88">
        <v>15</v>
      </c>
      <c r="B88">
        <v>15</v>
      </c>
      <c r="C88" t="s">
        <v>13</v>
      </c>
      <c r="D88" s="2">
        <v>401960</v>
      </c>
      <c r="E88" s="2">
        <v>916945.4</v>
      </c>
      <c r="F88" s="2">
        <v>0</v>
      </c>
      <c r="G88" s="2">
        <v>0</v>
      </c>
      <c r="H88" s="2">
        <v>5606</v>
      </c>
      <c r="I88" s="2">
        <v>0</v>
      </c>
      <c r="J88" s="4">
        <f t="shared" si="13"/>
        <v>1324511.3999999999</v>
      </c>
      <c r="K88" s="17">
        <f>systems!O118</f>
        <v>1736666</v>
      </c>
      <c r="L88" s="13">
        <f t="shared" si="8"/>
        <v>0.76267480333005877</v>
      </c>
      <c r="Q88" s="2" t="s">
        <v>34</v>
      </c>
    </row>
    <row r="89" spans="1:25" x14ac:dyDescent="0.5">
      <c r="A89">
        <v>16</v>
      </c>
      <c r="B89">
        <v>16</v>
      </c>
      <c r="C89" t="s">
        <v>52</v>
      </c>
      <c r="D89" s="2">
        <v>4165720.8</v>
      </c>
      <c r="E89" s="2">
        <v>843.2</v>
      </c>
      <c r="F89" s="2">
        <v>0</v>
      </c>
      <c r="G89" s="2">
        <v>5421.7</v>
      </c>
      <c r="H89" s="2">
        <v>0</v>
      </c>
      <c r="I89" s="2">
        <v>0</v>
      </c>
      <c r="J89" s="4">
        <f t="shared" si="13"/>
        <v>4171985.7</v>
      </c>
      <c r="K89" s="17">
        <f>systems!O119</f>
        <v>4419977.2</v>
      </c>
      <c r="L89" s="13">
        <f t="shared" si="8"/>
        <v>0.94389303637131883</v>
      </c>
      <c r="Q89" s="2" t="s">
        <v>34</v>
      </c>
    </row>
    <row r="90" spans="1:25" x14ac:dyDescent="0.5">
      <c r="A90">
        <v>30</v>
      </c>
      <c r="B90">
        <v>30</v>
      </c>
      <c r="C90" t="s">
        <v>53</v>
      </c>
      <c r="D90" s="2">
        <v>97768.5</v>
      </c>
      <c r="E90" s="2">
        <v>0</v>
      </c>
      <c r="F90" s="2">
        <v>0</v>
      </c>
      <c r="G90" s="2">
        <v>0</v>
      </c>
      <c r="H90" s="2">
        <v>0</v>
      </c>
      <c r="I90" s="2">
        <v>0</v>
      </c>
      <c r="J90" s="4">
        <f t="shared" si="13"/>
        <v>97768.5</v>
      </c>
      <c r="K90" s="17">
        <f>systems!O120</f>
        <v>145623.1</v>
      </c>
      <c r="L90" s="13">
        <f t="shared" si="8"/>
        <v>0.67138043346144938</v>
      </c>
      <c r="Q90" s="2" t="s">
        <v>34</v>
      </c>
    </row>
    <row r="91" spans="1:25" x14ac:dyDescent="0.5">
      <c r="A91">
        <v>37</v>
      </c>
      <c r="B91">
        <v>37</v>
      </c>
      <c r="C91" t="s">
        <v>14</v>
      </c>
      <c r="D91" s="2">
        <v>112883</v>
      </c>
      <c r="E91" s="2">
        <v>1918551.6</v>
      </c>
      <c r="F91" s="2">
        <v>309.7</v>
      </c>
      <c r="G91" s="2">
        <v>0</v>
      </c>
      <c r="H91" s="2">
        <v>14948.6</v>
      </c>
      <c r="I91" s="2">
        <v>0</v>
      </c>
      <c r="J91" s="4">
        <f t="shared" si="13"/>
        <v>2046692.9000000001</v>
      </c>
      <c r="K91" s="17">
        <f>systems!O121</f>
        <v>2548519.6000000006</v>
      </c>
      <c r="L91" s="13">
        <f t="shared" si="8"/>
        <v>0.80309090030149255</v>
      </c>
      <c r="Q91" s="2" t="s">
        <v>34</v>
      </c>
    </row>
    <row r="92" spans="1:25" x14ac:dyDescent="0.5">
      <c r="A92">
        <v>38</v>
      </c>
      <c r="B92">
        <v>38</v>
      </c>
      <c r="C92" t="s">
        <v>54</v>
      </c>
      <c r="D92" s="2">
        <v>819320.9</v>
      </c>
      <c r="E92" s="2">
        <v>370604.7</v>
      </c>
      <c r="F92" s="2">
        <v>277615.8</v>
      </c>
      <c r="G92" s="2">
        <v>18177.3</v>
      </c>
      <c r="H92" s="2">
        <v>0</v>
      </c>
      <c r="I92" s="2">
        <v>0</v>
      </c>
      <c r="J92" s="4">
        <f t="shared" si="13"/>
        <v>1485718.7000000002</v>
      </c>
      <c r="K92" s="17">
        <f>systems!O122</f>
        <v>3076587.5</v>
      </c>
      <c r="L92" s="13">
        <f t="shared" si="8"/>
        <v>0.4829112450076587</v>
      </c>
      <c r="Q92" s="2" t="s">
        <v>34</v>
      </c>
    </row>
    <row r="93" spans="1:25" x14ac:dyDescent="0.5">
      <c r="A93">
        <v>60</v>
      </c>
      <c r="B93">
        <v>60</v>
      </c>
      <c r="C93" t="s">
        <v>15</v>
      </c>
      <c r="D93" s="2">
        <v>1513071.8</v>
      </c>
      <c r="E93" s="2">
        <v>525664.69999999995</v>
      </c>
      <c r="F93" s="2">
        <v>8235568</v>
      </c>
      <c r="G93" s="2">
        <v>107524</v>
      </c>
      <c r="H93" s="2">
        <v>2206.5</v>
      </c>
      <c r="I93" s="2">
        <v>242993.7</v>
      </c>
      <c r="J93" s="4">
        <f t="shared" si="13"/>
        <v>10627028.699999999</v>
      </c>
      <c r="K93" s="17">
        <f>systems!O123</f>
        <v>11142963.1</v>
      </c>
      <c r="L93" s="13">
        <f t="shared" si="8"/>
        <v>0.95369863515028597</v>
      </c>
      <c r="Q93" s="2">
        <f>SUM(D93:I93)</f>
        <v>10627028.699999999</v>
      </c>
    </row>
    <row r="94" spans="1:25" x14ac:dyDescent="0.5">
      <c r="A94">
        <v>67</v>
      </c>
      <c r="B94">
        <v>67</v>
      </c>
      <c r="C94" t="s">
        <v>16</v>
      </c>
      <c r="D94" s="2">
        <v>1017847.5</v>
      </c>
      <c r="E94" s="2">
        <v>2117725.2999999998</v>
      </c>
      <c r="F94" s="2">
        <v>0</v>
      </c>
      <c r="G94" s="2">
        <v>6888.5</v>
      </c>
      <c r="H94" s="2">
        <v>3904</v>
      </c>
      <c r="I94" s="2">
        <v>0</v>
      </c>
      <c r="J94" s="4">
        <f t="shared" si="13"/>
        <v>3146365.3</v>
      </c>
      <c r="K94" s="17">
        <f>systems!O124</f>
        <v>4154340.6999999997</v>
      </c>
      <c r="L94" s="13">
        <f t="shared" si="8"/>
        <v>0.75736814267544306</v>
      </c>
      <c r="Q94" s="2">
        <f>(D94+G94)</f>
        <v>1024736</v>
      </c>
    </row>
    <row r="95" spans="1:25" x14ac:dyDescent="0.5">
      <c r="A95">
        <v>69</v>
      </c>
      <c r="B95">
        <v>69</v>
      </c>
      <c r="C95" t="s">
        <v>17</v>
      </c>
      <c r="D95" s="2">
        <v>281482.5</v>
      </c>
      <c r="E95" s="2">
        <v>1597428.3</v>
      </c>
      <c r="F95" s="2">
        <v>2109.3000000000002</v>
      </c>
      <c r="G95" s="2">
        <v>13424.3</v>
      </c>
      <c r="H95" s="2">
        <v>11419.9</v>
      </c>
      <c r="I95" s="2">
        <v>0</v>
      </c>
      <c r="J95" s="4">
        <f t="shared" si="13"/>
        <v>1905864.3</v>
      </c>
      <c r="K95" s="17">
        <f>systems!O125</f>
        <v>2448596.6999999997</v>
      </c>
      <c r="L95" s="13">
        <f t="shared" si="8"/>
        <v>0.77834961551651205</v>
      </c>
      <c r="Q95" s="2" t="s">
        <v>34</v>
      </c>
    </row>
    <row r="96" spans="1:25" x14ac:dyDescent="0.5">
      <c r="A96">
        <v>71</v>
      </c>
      <c r="B96">
        <v>71</v>
      </c>
      <c r="C96" t="s">
        <v>18</v>
      </c>
      <c r="D96" s="2">
        <v>300402.7</v>
      </c>
      <c r="E96" s="2">
        <v>0</v>
      </c>
      <c r="F96" s="2">
        <v>0</v>
      </c>
      <c r="G96" s="2">
        <v>0</v>
      </c>
      <c r="H96" s="2">
        <v>0</v>
      </c>
      <c r="I96" s="2">
        <v>0</v>
      </c>
      <c r="J96" s="4">
        <f t="shared" si="13"/>
        <v>300402.7</v>
      </c>
      <c r="K96" s="17">
        <f>systems!O126</f>
        <v>327763.09999999998</v>
      </c>
      <c r="L96" s="13">
        <f t="shared" si="8"/>
        <v>0.91652385518687129</v>
      </c>
      <c r="Q96" s="2" t="s">
        <v>34</v>
      </c>
    </row>
    <row r="97" spans="1:17" x14ac:dyDescent="0.5">
      <c r="A97">
        <v>72</v>
      </c>
      <c r="B97">
        <v>72</v>
      </c>
      <c r="C97" t="s">
        <v>19</v>
      </c>
      <c r="D97" s="2">
        <v>97019.8</v>
      </c>
      <c r="E97" s="2">
        <v>6848</v>
      </c>
      <c r="F97" s="2">
        <v>0</v>
      </c>
      <c r="G97" s="2">
        <v>2870.4</v>
      </c>
      <c r="H97" s="2">
        <v>0</v>
      </c>
      <c r="I97" s="2">
        <v>0</v>
      </c>
      <c r="J97" s="4">
        <f t="shared" si="13"/>
        <v>106738.2</v>
      </c>
      <c r="K97" s="17">
        <f>systems!O127</f>
        <v>189920.7</v>
      </c>
      <c r="L97" s="13">
        <f t="shared" si="8"/>
        <v>0.56201456713249265</v>
      </c>
      <c r="Q97" s="2" t="s">
        <v>34</v>
      </c>
    </row>
    <row r="98" spans="1:17" x14ac:dyDescent="0.5">
      <c r="A98">
        <v>96</v>
      </c>
      <c r="B98">
        <v>96</v>
      </c>
      <c r="C98" t="s">
        <v>20</v>
      </c>
      <c r="D98" s="2">
        <v>1100682.3</v>
      </c>
      <c r="E98" s="2">
        <v>470281.5</v>
      </c>
      <c r="F98" s="2">
        <v>1418889.1</v>
      </c>
      <c r="G98" s="2">
        <v>45120.1</v>
      </c>
      <c r="H98" s="2">
        <v>27627.7</v>
      </c>
      <c r="I98" s="2">
        <v>9678.4</v>
      </c>
      <c r="J98" s="4">
        <f t="shared" si="13"/>
        <v>3072279.1000000006</v>
      </c>
      <c r="K98" s="17">
        <f>systems!O128</f>
        <v>4017100</v>
      </c>
      <c r="L98" s="13">
        <f t="shared" si="8"/>
        <v>0.76480025391451556</v>
      </c>
      <c r="Q98" s="2">
        <f>SUM(D98:I98)</f>
        <v>3072279.1000000006</v>
      </c>
    </row>
    <row r="99" spans="1:17" x14ac:dyDescent="0.5">
      <c r="A99">
        <v>121</v>
      </c>
      <c r="B99">
        <v>121</v>
      </c>
      <c r="C99" t="s">
        <v>21</v>
      </c>
      <c r="D99" s="2">
        <v>3142027.8</v>
      </c>
      <c r="E99" s="2">
        <v>0</v>
      </c>
      <c r="F99" s="2">
        <v>0</v>
      </c>
      <c r="G99" s="2">
        <v>90152.5</v>
      </c>
      <c r="H99" s="2">
        <v>0</v>
      </c>
      <c r="I99" s="2">
        <v>0</v>
      </c>
      <c r="J99" s="4">
        <f t="shared" si="13"/>
        <v>3232180.3</v>
      </c>
      <c r="K99" s="17">
        <f>systems!O129</f>
        <v>3859711.4000000004</v>
      </c>
      <c r="L99" s="13">
        <f t="shared" si="8"/>
        <v>0.837415020200733</v>
      </c>
      <c r="Q99" s="2">
        <f>(D99+G99)</f>
        <v>3232180.3</v>
      </c>
    </row>
    <row r="100" spans="1:17" x14ac:dyDescent="0.5">
      <c r="A100">
        <v>126</v>
      </c>
      <c r="B100">
        <v>126</v>
      </c>
      <c r="C100" t="s">
        <v>22</v>
      </c>
      <c r="D100" s="2">
        <v>1447144</v>
      </c>
      <c r="E100" s="2">
        <v>789479.8</v>
      </c>
      <c r="F100" s="2">
        <v>0</v>
      </c>
      <c r="G100" s="2">
        <v>32589.1</v>
      </c>
      <c r="H100" s="2">
        <v>6523.9</v>
      </c>
      <c r="I100" s="2">
        <v>0</v>
      </c>
      <c r="J100" s="4">
        <f t="shared" si="13"/>
        <v>2275736.7999999998</v>
      </c>
      <c r="K100" s="17">
        <f>systems!O130</f>
        <v>4642718.9000000004</v>
      </c>
      <c r="L100" s="13">
        <f t="shared" si="8"/>
        <v>0.49017329048286762</v>
      </c>
      <c r="Q100" s="2" t="s">
        <v>34</v>
      </c>
    </row>
    <row r="101" spans="1:17" x14ac:dyDescent="0.5">
      <c r="A101">
        <v>127</v>
      </c>
      <c r="B101">
        <v>127</v>
      </c>
      <c r="C101" t="s">
        <v>55</v>
      </c>
      <c r="D101" s="2">
        <v>168528.8</v>
      </c>
      <c r="E101" s="2">
        <v>0</v>
      </c>
      <c r="F101" s="2">
        <v>0</v>
      </c>
      <c r="G101" s="2">
        <v>17973</v>
      </c>
      <c r="H101" s="2">
        <v>0</v>
      </c>
      <c r="I101" s="2">
        <v>0</v>
      </c>
      <c r="J101" s="4">
        <f t="shared" si="13"/>
        <v>186501.8</v>
      </c>
      <c r="K101" s="17">
        <f>systems!O131</f>
        <v>314607.7</v>
      </c>
      <c r="L101" s="13">
        <f t="shared" si="8"/>
        <v>0.59280748691147733</v>
      </c>
      <c r="Q101" s="2" t="s">
        <v>34</v>
      </c>
    </row>
    <row r="102" spans="1:17" x14ac:dyDescent="0.5">
      <c r="A102">
        <v>131</v>
      </c>
      <c r="B102">
        <v>131</v>
      </c>
      <c r="C102" t="s">
        <v>23</v>
      </c>
      <c r="D102" s="2">
        <v>2362793</v>
      </c>
      <c r="E102" s="2">
        <v>413745.8</v>
      </c>
      <c r="F102" s="2">
        <v>70727.8</v>
      </c>
      <c r="G102" s="2">
        <v>6179.1</v>
      </c>
      <c r="H102" s="2">
        <v>6534.3</v>
      </c>
      <c r="I102" s="2">
        <v>0</v>
      </c>
      <c r="J102" s="4">
        <f t="shared" si="13"/>
        <v>2859979.9999999995</v>
      </c>
      <c r="K102" s="17">
        <f>systems!O132</f>
        <v>3151524.9999999995</v>
      </c>
      <c r="L102" s="13">
        <f t="shared" si="8"/>
        <v>0.90749081793734776</v>
      </c>
      <c r="Q102" s="2" t="s">
        <v>34</v>
      </c>
    </row>
    <row r="103" spans="1:17" x14ac:dyDescent="0.5">
      <c r="A103">
        <v>134</v>
      </c>
      <c r="B103">
        <v>134</v>
      </c>
      <c r="C103" t="s">
        <v>24</v>
      </c>
      <c r="D103" s="2">
        <v>8021356</v>
      </c>
      <c r="E103" s="2">
        <v>0</v>
      </c>
      <c r="F103" s="2">
        <v>0</v>
      </c>
      <c r="G103" s="2">
        <v>34173.4</v>
      </c>
      <c r="H103" s="2">
        <v>0</v>
      </c>
      <c r="I103" s="2">
        <v>0</v>
      </c>
      <c r="J103" s="4">
        <f t="shared" si="13"/>
        <v>8055529.4000000004</v>
      </c>
      <c r="K103" s="17">
        <f>systems!O133</f>
        <v>12329579.400000002</v>
      </c>
      <c r="L103" s="13">
        <f t="shared" si="8"/>
        <v>0.65334989448220748</v>
      </c>
      <c r="Q103" s="2" t="s">
        <v>34</v>
      </c>
    </row>
    <row r="104" spans="1:17" x14ac:dyDescent="0.5">
      <c r="A104">
        <v>135</v>
      </c>
      <c r="B104">
        <v>135</v>
      </c>
      <c r="C104" t="s">
        <v>25</v>
      </c>
      <c r="D104" s="2">
        <v>19873026</v>
      </c>
      <c r="E104" s="2">
        <v>13774826</v>
      </c>
      <c r="F104" s="2">
        <v>104361.9</v>
      </c>
      <c r="G104" s="2">
        <v>293055.09999999998</v>
      </c>
      <c r="H104" s="2">
        <v>49694.8</v>
      </c>
      <c r="I104" s="2">
        <v>0</v>
      </c>
      <c r="J104" s="4">
        <f t="shared" si="13"/>
        <v>34094963.799999997</v>
      </c>
      <c r="K104" s="17">
        <f>systems!O134</f>
        <v>37293766.199999996</v>
      </c>
      <c r="L104" s="13">
        <f t="shared" si="8"/>
        <v>0.91422688760246484</v>
      </c>
      <c r="Q104" s="2" t="s">
        <v>34</v>
      </c>
    </row>
    <row r="105" spans="1:17" x14ac:dyDescent="0.5">
      <c r="A105">
        <v>156</v>
      </c>
      <c r="B105">
        <v>156</v>
      </c>
      <c r="C105" t="s">
        <v>26</v>
      </c>
      <c r="D105" s="2">
        <v>0</v>
      </c>
      <c r="E105" s="2">
        <v>392447.1</v>
      </c>
      <c r="F105" s="2">
        <v>1071192.8999999999</v>
      </c>
      <c r="G105" s="2">
        <v>0</v>
      </c>
      <c r="H105" s="2">
        <v>14908.1</v>
      </c>
      <c r="I105" s="2">
        <v>8809</v>
      </c>
      <c r="J105" s="4">
        <f t="shared" si="13"/>
        <v>1487357.1</v>
      </c>
      <c r="K105" s="17">
        <f>systems!O135</f>
        <v>1614061.2</v>
      </c>
      <c r="L105" s="13">
        <f t="shared" si="8"/>
        <v>0.92149981673557368</v>
      </c>
      <c r="Q105" s="2" t="s">
        <v>34</v>
      </c>
    </row>
    <row r="106" spans="1:17" x14ac:dyDescent="0.5">
      <c r="A106">
        <v>159</v>
      </c>
      <c r="B106">
        <v>159</v>
      </c>
      <c r="C106" t="s">
        <v>27</v>
      </c>
      <c r="D106" s="2">
        <v>1937278.9</v>
      </c>
      <c r="E106" s="2">
        <v>0</v>
      </c>
      <c r="F106" s="2">
        <v>0</v>
      </c>
      <c r="G106" s="2">
        <v>22653.3</v>
      </c>
      <c r="H106" s="2">
        <v>0</v>
      </c>
      <c r="I106" s="2">
        <v>0</v>
      </c>
      <c r="J106" s="4">
        <f t="shared" si="13"/>
        <v>1959932.2</v>
      </c>
      <c r="K106" s="17">
        <f>systems!O136</f>
        <v>2119909.1</v>
      </c>
      <c r="L106" s="13">
        <f t="shared" si="8"/>
        <v>0.92453596241461478</v>
      </c>
      <c r="Q106" s="2">
        <f>(D106+G106)</f>
        <v>1959932.2</v>
      </c>
    </row>
    <row r="107" spans="1:17" x14ac:dyDescent="0.5">
      <c r="A107">
        <v>178</v>
      </c>
      <c r="B107">
        <v>178</v>
      </c>
      <c r="C107" t="s">
        <v>56</v>
      </c>
      <c r="D107" s="2">
        <v>2755362.8</v>
      </c>
      <c r="E107" s="2">
        <v>0</v>
      </c>
      <c r="F107" s="2">
        <v>0</v>
      </c>
      <c r="G107" s="2">
        <v>6742.2</v>
      </c>
      <c r="H107" s="2">
        <v>0</v>
      </c>
      <c r="I107" s="2">
        <v>0</v>
      </c>
      <c r="J107" s="4">
        <f t="shared" si="13"/>
        <v>2762105</v>
      </c>
      <c r="K107" s="17">
        <f>systems!O137</f>
        <v>3080740.3</v>
      </c>
      <c r="L107" s="13">
        <f t="shared" si="8"/>
        <v>0.89657184021645708</v>
      </c>
      <c r="Q107" s="2" t="s">
        <v>34</v>
      </c>
    </row>
    <row r="108" spans="1:17" x14ac:dyDescent="0.5">
      <c r="A108">
        <v>179</v>
      </c>
      <c r="B108">
        <v>179</v>
      </c>
      <c r="C108" t="s">
        <v>28</v>
      </c>
      <c r="D108" s="2">
        <v>296603.7</v>
      </c>
      <c r="E108" s="2">
        <v>594828.80000000005</v>
      </c>
      <c r="F108" s="2">
        <v>0</v>
      </c>
      <c r="G108" s="2">
        <v>0</v>
      </c>
      <c r="H108" s="2">
        <v>4792.7</v>
      </c>
      <c r="I108" s="2">
        <v>0</v>
      </c>
      <c r="J108" s="4">
        <f t="shared" si="13"/>
        <v>896225.2</v>
      </c>
      <c r="K108" s="17">
        <f>systems!O138</f>
        <v>1224513.3999999999</v>
      </c>
      <c r="L108" s="13">
        <f t="shared" si="8"/>
        <v>0.73190313801384288</v>
      </c>
      <c r="Q108" s="2" t="s">
        <v>34</v>
      </c>
    </row>
    <row r="109" spans="1:17" x14ac:dyDescent="0.5">
      <c r="A109">
        <v>188</v>
      </c>
      <c r="B109">
        <v>188</v>
      </c>
      <c r="C109" t="s">
        <v>29</v>
      </c>
      <c r="D109" s="2">
        <v>3437941.5</v>
      </c>
      <c r="E109" s="2">
        <v>2201610.2999999998</v>
      </c>
      <c r="F109" s="2">
        <v>770926.1</v>
      </c>
      <c r="G109" s="2">
        <v>37677.1</v>
      </c>
      <c r="H109" s="2">
        <v>6416.1</v>
      </c>
      <c r="I109" s="2">
        <v>651.6</v>
      </c>
      <c r="J109" s="4">
        <f t="shared" si="13"/>
        <v>6455222.6999999983</v>
      </c>
      <c r="K109" s="17">
        <f>systems!O139</f>
        <v>9496320.4999999981</v>
      </c>
      <c r="L109" s="13">
        <f t="shared" si="8"/>
        <v>0.67976040825496564</v>
      </c>
      <c r="Q109" s="2" t="s">
        <v>34</v>
      </c>
    </row>
    <row r="110" spans="1:17" x14ac:dyDescent="0.5">
      <c r="A110">
        <v>189</v>
      </c>
      <c r="B110">
        <v>189</v>
      </c>
      <c r="C110" t="s">
        <v>30</v>
      </c>
      <c r="D110" s="2">
        <v>134103</v>
      </c>
      <c r="E110" s="2">
        <v>4533767.5</v>
      </c>
      <c r="F110" s="2">
        <v>811747.1</v>
      </c>
      <c r="G110" s="2">
        <v>0</v>
      </c>
      <c r="H110" s="2">
        <v>6267</v>
      </c>
      <c r="I110" s="2">
        <v>0</v>
      </c>
      <c r="J110" s="4">
        <f t="shared" si="13"/>
        <v>5485884.5999999996</v>
      </c>
      <c r="K110" s="17">
        <f>systems!O140</f>
        <v>5951851.1999999993</v>
      </c>
      <c r="L110" s="13">
        <f t="shared" si="8"/>
        <v>0.92171064357254096</v>
      </c>
      <c r="Q110" s="2" t="s">
        <v>34</v>
      </c>
    </row>
    <row r="111" spans="1:17" x14ac:dyDescent="0.5">
      <c r="A111">
        <v>203</v>
      </c>
      <c r="B111">
        <v>203</v>
      </c>
      <c r="C111" t="s">
        <v>31</v>
      </c>
      <c r="D111" s="2">
        <v>434232.6</v>
      </c>
      <c r="E111" s="2">
        <v>9703.4</v>
      </c>
      <c r="F111" s="2">
        <v>784.2</v>
      </c>
      <c r="G111" s="2">
        <v>5341.2</v>
      </c>
      <c r="H111" s="2">
        <v>0</v>
      </c>
      <c r="I111" s="2">
        <v>0</v>
      </c>
      <c r="J111" s="4">
        <f t="shared" si="13"/>
        <v>450061.4</v>
      </c>
      <c r="K111" s="17">
        <f>systems!O141</f>
        <v>1186264.3999999999</v>
      </c>
      <c r="L111" s="13">
        <f t="shared" si="8"/>
        <v>0.37939383496630269</v>
      </c>
      <c r="Q111" s="2">
        <f>(D111+G111)</f>
        <v>439573.8</v>
      </c>
    </row>
    <row r="112" spans="1:17" x14ac:dyDescent="0.5">
      <c r="A112">
        <v>204</v>
      </c>
      <c r="B112">
        <v>204</v>
      </c>
      <c r="C112" t="s">
        <v>32</v>
      </c>
      <c r="D112" s="2">
        <v>1996145.6</v>
      </c>
      <c r="E112" s="2">
        <v>2886.9</v>
      </c>
      <c r="F112" s="2">
        <v>54428.2</v>
      </c>
      <c r="G112" s="2">
        <v>15799.2</v>
      </c>
      <c r="H112" s="2">
        <v>0</v>
      </c>
      <c r="I112" s="2">
        <v>1324.2</v>
      </c>
      <c r="J112" s="4">
        <f t="shared" si="13"/>
        <v>2070584.0999999999</v>
      </c>
      <c r="K112" s="17">
        <f>systems!O142</f>
        <v>2539822.1000000006</v>
      </c>
      <c r="L112" s="13">
        <f t="shared" si="8"/>
        <v>0.81524768998584562</v>
      </c>
      <c r="Q112" s="2" t="s">
        <v>34</v>
      </c>
    </row>
    <row r="113" spans="1:27" x14ac:dyDescent="0.5">
      <c r="D113" s="4">
        <f t="shared" ref="D113:I113" si="14">SUM(D87:D112)</f>
        <v>55914703.500000007</v>
      </c>
      <c r="E113" s="4">
        <f t="shared" si="14"/>
        <v>30863317.700000003</v>
      </c>
      <c r="F113" s="4">
        <f t="shared" si="14"/>
        <v>13604313.699999999</v>
      </c>
      <c r="G113" s="4">
        <f t="shared" si="14"/>
        <v>761761.49999999988</v>
      </c>
      <c r="H113" s="4">
        <f t="shared" si="14"/>
        <v>182434.10000000003</v>
      </c>
      <c r="I113" s="4">
        <f t="shared" si="14"/>
        <v>270975.5</v>
      </c>
      <c r="J113" s="4">
        <f t="shared" si="13"/>
        <v>101597506.00000001</v>
      </c>
      <c r="K113" s="17">
        <f>systems!O143</f>
        <v>124118223.90000002</v>
      </c>
      <c r="L113" s="13">
        <f t="shared" si="8"/>
        <v>0.81855430095306092</v>
      </c>
      <c r="Q113" s="4">
        <f>SUM(Q87:Q112)</f>
        <v>20355730.100000001</v>
      </c>
    </row>
    <row r="114" spans="1:27" x14ac:dyDescent="0.5">
      <c r="A114" t="s">
        <v>48</v>
      </c>
      <c r="D114" s="2"/>
      <c r="E114" s="2"/>
      <c r="F114" s="2"/>
      <c r="G114" s="2"/>
      <c r="H114" s="2"/>
      <c r="I114" s="2"/>
      <c r="J114" s="4"/>
      <c r="K114" s="17">
        <f>systems!O144</f>
        <v>0</v>
      </c>
    </row>
    <row r="115" spans="1:27" x14ac:dyDescent="0.5">
      <c r="A115">
        <v>13</v>
      </c>
      <c r="B115">
        <v>13</v>
      </c>
      <c r="C115" t="s">
        <v>12</v>
      </c>
      <c r="D115" s="2">
        <v>0</v>
      </c>
      <c r="E115" s="2">
        <v>2249772.5</v>
      </c>
      <c r="F115" s="2">
        <v>13425044</v>
      </c>
      <c r="G115" s="2">
        <v>0</v>
      </c>
      <c r="H115" s="2">
        <v>2408.4</v>
      </c>
      <c r="I115" s="2">
        <v>245522.6</v>
      </c>
      <c r="J115" s="4">
        <f t="shared" ref="J115:J141" si="15">SUM(D115:I115)</f>
        <v>15922747.5</v>
      </c>
      <c r="K115" s="17">
        <f>systems!O145</f>
        <v>17123231.300000001</v>
      </c>
      <c r="L115" s="13">
        <f t="shared" si="8"/>
        <v>0.92989151527725955</v>
      </c>
      <c r="Q115" s="2" t="s">
        <v>34</v>
      </c>
      <c r="R115" t="s">
        <v>34</v>
      </c>
      <c r="S115" s="19" t="s">
        <v>34</v>
      </c>
      <c r="U115" s="2">
        <f>0.01*SUM(H115:M115)</f>
        <v>332939.10729891516</v>
      </c>
      <c r="V115">
        <v>0.2</v>
      </c>
      <c r="W115" s="19">
        <f>U115*(1+V115)</f>
        <v>399526.92875869817</v>
      </c>
      <c r="Z115" s="19">
        <f>U115+U133+U137+U138</f>
        <v>12759724.392934954</v>
      </c>
      <c r="AA115" t="s">
        <v>36</v>
      </c>
    </row>
    <row r="116" spans="1:27" x14ac:dyDescent="0.5">
      <c r="A116">
        <v>15</v>
      </c>
      <c r="B116">
        <v>15</v>
      </c>
      <c r="C116" t="s">
        <v>13</v>
      </c>
      <c r="D116" s="2">
        <v>19172410</v>
      </c>
      <c r="E116" s="2">
        <v>67008736</v>
      </c>
      <c r="F116" s="2">
        <v>0</v>
      </c>
      <c r="G116" s="2">
        <v>0</v>
      </c>
      <c r="H116" s="2">
        <v>199029.7</v>
      </c>
      <c r="I116" s="2">
        <v>0</v>
      </c>
      <c r="J116" s="4">
        <f t="shared" si="15"/>
        <v>86380175.700000003</v>
      </c>
      <c r="K116" s="17">
        <f>systems!O146</f>
        <v>111139048.5</v>
      </c>
      <c r="L116" s="13">
        <f t="shared" si="8"/>
        <v>0.77722615827505492</v>
      </c>
      <c r="Q116" s="2" t="s">
        <v>34</v>
      </c>
      <c r="R116" t="s">
        <v>34</v>
      </c>
      <c r="S116" s="19" t="s">
        <v>34</v>
      </c>
      <c r="U116" s="2">
        <f>0.01*(H116+K116)</f>
        <v>1113380.7820000001</v>
      </c>
      <c r="V116">
        <v>0.2</v>
      </c>
      <c r="W116" s="19">
        <f t="shared" ref="W116:W140" si="16">U116*(1+V116)</f>
        <v>1336056.9384000001</v>
      </c>
      <c r="Z116" s="19">
        <f>U116+U117+U119+U120+U123+U124+U125+U129+U131+U132+U135+U136</f>
        <v>15081579.056</v>
      </c>
      <c r="AA116" t="s">
        <v>37</v>
      </c>
    </row>
    <row r="117" spans="1:27" x14ac:dyDescent="0.5">
      <c r="A117">
        <v>16</v>
      </c>
      <c r="B117">
        <v>16</v>
      </c>
      <c r="C117" t="s">
        <v>52</v>
      </c>
      <c r="D117" s="2">
        <v>92684480</v>
      </c>
      <c r="E117" s="2">
        <v>20115.900000000001</v>
      </c>
      <c r="F117" s="2">
        <v>0</v>
      </c>
      <c r="G117" s="2">
        <v>909353.3</v>
      </c>
      <c r="H117" s="2">
        <v>0</v>
      </c>
      <c r="I117" s="2">
        <v>0</v>
      </c>
      <c r="J117" s="4">
        <f t="shared" si="15"/>
        <v>93613949.200000003</v>
      </c>
      <c r="K117" s="17">
        <f>systems!O147</f>
        <v>102224928.60000001</v>
      </c>
      <c r="L117" s="13">
        <f t="shared" si="8"/>
        <v>0.91576438821792427</v>
      </c>
      <c r="Q117" s="2" t="s">
        <v>34</v>
      </c>
      <c r="R117" t="s">
        <v>34</v>
      </c>
      <c r="S117" s="19" t="s">
        <v>34</v>
      </c>
      <c r="U117" s="2">
        <f>0.01*(H117+K117)</f>
        <v>1022249.2860000001</v>
      </c>
      <c r="V117">
        <v>0.2</v>
      </c>
      <c r="W117" s="19">
        <f t="shared" si="16"/>
        <v>1226699.1432</v>
      </c>
      <c r="Z117" s="19">
        <f>U118+U128+U130+U140</f>
        <v>6087233.0540000005</v>
      </c>
      <c r="AA117" t="s">
        <v>90</v>
      </c>
    </row>
    <row r="118" spans="1:27" x14ac:dyDescent="0.5">
      <c r="A118">
        <v>30</v>
      </c>
      <c r="B118">
        <v>30</v>
      </c>
      <c r="C118" t="s">
        <v>53</v>
      </c>
      <c r="D118" s="2">
        <v>1306485.8999999999</v>
      </c>
      <c r="E118" s="2">
        <v>0</v>
      </c>
      <c r="F118" s="2">
        <v>0</v>
      </c>
      <c r="G118" s="2">
        <v>0</v>
      </c>
      <c r="H118" s="2">
        <v>0</v>
      </c>
      <c r="I118" s="2">
        <v>0</v>
      </c>
      <c r="J118" s="4">
        <f t="shared" si="15"/>
        <v>1306485.8999999999</v>
      </c>
      <c r="K118" s="17">
        <f>systems!O148</f>
        <v>1827082.1</v>
      </c>
      <c r="L118" s="13">
        <f t="shared" si="8"/>
        <v>0.71506688177832833</v>
      </c>
      <c r="Q118" s="2" t="s">
        <v>34</v>
      </c>
      <c r="R118" t="s">
        <v>34</v>
      </c>
      <c r="S118" s="19" t="s">
        <v>34</v>
      </c>
      <c r="U118" s="2">
        <f>0.01*(H118+K118)</f>
        <v>18270.821</v>
      </c>
      <c r="V118">
        <v>0.2</v>
      </c>
      <c r="W118" s="19">
        <f t="shared" si="16"/>
        <v>21924.985199999999</v>
      </c>
      <c r="Z118" s="19">
        <f>SUM(Z115:Z117)</f>
        <v>33928536.502934955</v>
      </c>
      <c r="AA118" t="s">
        <v>91</v>
      </c>
    </row>
    <row r="119" spans="1:27" x14ac:dyDescent="0.5">
      <c r="A119">
        <v>37</v>
      </c>
      <c r="B119">
        <v>37</v>
      </c>
      <c r="C119" t="s">
        <v>14</v>
      </c>
      <c r="D119" s="2">
        <v>13187891</v>
      </c>
      <c r="E119" s="2">
        <v>45182868</v>
      </c>
      <c r="F119" s="2">
        <v>325.8</v>
      </c>
      <c r="G119" s="2">
        <v>0</v>
      </c>
      <c r="H119" s="2">
        <v>819161.2</v>
      </c>
      <c r="I119" s="2">
        <v>0</v>
      </c>
      <c r="J119" s="4">
        <f t="shared" si="15"/>
        <v>59190246</v>
      </c>
      <c r="K119" s="17">
        <f>systems!O149</f>
        <v>89019570.400000006</v>
      </c>
      <c r="L119" s="13">
        <f t="shared" si="8"/>
        <v>0.66491273473950618</v>
      </c>
      <c r="Q119" s="2" t="s">
        <v>34</v>
      </c>
      <c r="R119" t="s">
        <v>34</v>
      </c>
      <c r="S119" s="19" t="s">
        <v>34</v>
      </c>
      <c r="U119" s="2">
        <f>0.01*(H119+K119)</f>
        <v>898387.31600000011</v>
      </c>
      <c r="V119">
        <v>0.2</v>
      </c>
      <c r="W119" s="19">
        <f t="shared" si="16"/>
        <v>1078064.7792</v>
      </c>
    </row>
    <row r="120" spans="1:27" x14ac:dyDescent="0.5">
      <c r="A120">
        <v>38</v>
      </c>
      <c r="B120">
        <v>38</v>
      </c>
      <c r="C120" t="s">
        <v>54</v>
      </c>
      <c r="D120" s="2">
        <v>26162176</v>
      </c>
      <c r="E120" s="2">
        <v>16676100</v>
      </c>
      <c r="F120" s="2">
        <v>25942826</v>
      </c>
      <c r="G120" s="2">
        <v>2080995.5</v>
      </c>
      <c r="H120" s="2">
        <v>0</v>
      </c>
      <c r="I120" s="2">
        <v>0</v>
      </c>
      <c r="J120" s="4">
        <f t="shared" si="15"/>
        <v>70862097.5</v>
      </c>
      <c r="K120" s="17">
        <f>systems!O150</f>
        <v>152168972.30000001</v>
      </c>
      <c r="L120" s="13">
        <f t="shared" si="8"/>
        <v>0.46568033173212142</v>
      </c>
      <c r="Q120" s="2" t="s">
        <v>34</v>
      </c>
      <c r="R120" t="s">
        <v>34</v>
      </c>
      <c r="S120" s="19" t="s">
        <v>34</v>
      </c>
      <c r="U120" s="2">
        <f>0.01*(H120+K120)</f>
        <v>1521689.7230000002</v>
      </c>
      <c r="V120">
        <v>0.2</v>
      </c>
      <c r="W120" s="19">
        <f t="shared" si="16"/>
        <v>1826027.6676000003</v>
      </c>
    </row>
    <row r="121" spans="1:27" x14ac:dyDescent="0.5">
      <c r="A121">
        <v>60</v>
      </c>
      <c r="B121">
        <v>60</v>
      </c>
      <c r="C121" t="s">
        <v>15</v>
      </c>
      <c r="D121" s="2">
        <v>42619776</v>
      </c>
      <c r="E121" s="2">
        <v>18836408</v>
      </c>
      <c r="F121" s="2">
        <v>408259456</v>
      </c>
      <c r="G121" s="2">
        <v>4751471</v>
      </c>
      <c r="H121" s="2">
        <v>0</v>
      </c>
      <c r="I121" s="2">
        <v>8965793</v>
      </c>
      <c r="J121" s="4">
        <f t="shared" si="15"/>
        <v>483432904</v>
      </c>
      <c r="K121" s="17">
        <f>systems!O151</f>
        <v>510119939.60000002</v>
      </c>
      <c r="L121" s="13">
        <f t="shared" si="8"/>
        <v>0.94768478248286847</v>
      </c>
      <c r="Q121" s="2">
        <f>0.01*SUM(D121:I121)</f>
        <v>4834329.04</v>
      </c>
      <c r="R121">
        <v>0.2</v>
      </c>
      <c r="S121" s="19">
        <f>Q121*(1+R121)</f>
        <v>5801194.8480000002</v>
      </c>
      <c r="U121" s="2" t="s">
        <v>34</v>
      </c>
      <c r="V121" t="s">
        <v>34</v>
      </c>
      <c r="W121" s="19" t="s">
        <v>34</v>
      </c>
    </row>
    <row r="122" spans="1:27" x14ac:dyDescent="0.5">
      <c r="A122">
        <v>67</v>
      </c>
      <c r="B122">
        <v>67</v>
      </c>
      <c r="C122" t="s">
        <v>16</v>
      </c>
      <c r="D122" s="2">
        <v>19740658</v>
      </c>
      <c r="E122" s="2">
        <v>106941192</v>
      </c>
      <c r="F122" s="2">
        <v>0</v>
      </c>
      <c r="G122" s="2">
        <v>49414.7</v>
      </c>
      <c r="H122" s="2">
        <v>755085</v>
      </c>
      <c r="I122" s="2">
        <v>0</v>
      </c>
      <c r="J122" s="4">
        <f t="shared" si="15"/>
        <v>127486349.7</v>
      </c>
      <c r="K122" s="17">
        <f>systems!O152</f>
        <v>165196791.19999999</v>
      </c>
      <c r="L122" s="13">
        <f t="shared" si="8"/>
        <v>0.77172412838004334</v>
      </c>
      <c r="Q122" s="2">
        <f>0.01*(D122+G122)</f>
        <v>197900.72699999998</v>
      </c>
      <c r="R122">
        <v>0.2</v>
      </c>
      <c r="S122" s="19">
        <f>Q122*(1+R122)</f>
        <v>237480.87239999996</v>
      </c>
      <c r="U122" s="2" t="s">
        <v>34</v>
      </c>
      <c r="V122" t="s">
        <v>34</v>
      </c>
      <c r="W122" s="19" t="s">
        <v>34</v>
      </c>
    </row>
    <row r="123" spans="1:27" x14ac:dyDescent="0.5">
      <c r="A123">
        <v>69</v>
      </c>
      <c r="B123">
        <v>69</v>
      </c>
      <c r="C123" t="s">
        <v>17</v>
      </c>
      <c r="D123" s="2">
        <v>8405131</v>
      </c>
      <c r="E123" s="2">
        <v>47236132</v>
      </c>
      <c r="F123" s="2">
        <v>40562</v>
      </c>
      <c r="G123" s="2">
        <v>320883.40000000002</v>
      </c>
      <c r="H123" s="2">
        <v>266026.40000000002</v>
      </c>
      <c r="I123" s="2">
        <v>0</v>
      </c>
      <c r="J123" s="4">
        <f t="shared" si="15"/>
        <v>56268734.799999997</v>
      </c>
      <c r="K123" s="17">
        <f>systems!O153</f>
        <v>70489618.200000003</v>
      </c>
      <c r="L123" s="13">
        <f t="shared" si="8"/>
        <v>0.79825563305434377</v>
      </c>
      <c r="Q123" s="2" t="s">
        <v>34</v>
      </c>
      <c r="R123" t="s">
        <v>34</v>
      </c>
      <c r="S123" s="19" t="s">
        <v>34</v>
      </c>
      <c r="U123" s="2">
        <f>0.01*(H123+K123)</f>
        <v>707556.44600000011</v>
      </c>
      <c r="V123">
        <v>0.2</v>
      </c>
      <c r="W123" s="19">
        <f t="shared" si="16"/>
        <v>849067.73520000011</v>
      </c>
    </row>
    <row r="124" spans="1:27" x14ac:dyDescent="0.5">
      <c r="A124">
        <v>71</v>
      </c>
      <c r="B124">
        <v>71</v>
      </c>
      <c r="C124" t="s">
        <v>18</v>
      </c>
      <c r="D124" s="2">
        <v>3884937</v>
      </c>
      <c r="E124" s="2">
        <v>0</v>
      </c>
      <c r="F124" s="2">
        <v>0</v>
      </c>
      <c r="G124" s="2">
        <v>0</v>
      </c>
      <c r="H124" s="2">
        <v>0</v>
      </c>
      <c r="I124" s="2">
        <v>0</v>
      </c>
      <c r="J124" s="4">
        <f t="shared" si="15"/>
        <v>3884937</v>
      </c>
      <c r="K124" s="17">
        <f>systems!O154</f>
        <v>4200025.5999999996</v>
      </c>
      <c r="L124" s="13">
        <f t="shared" si="8"/>
        <v>0.92497936203055531</v>
      </c>
      <c r="Q124" s="2" t="s">
        <v>34</v>
      </c>
      <c r="R124" t="s">
        <v>34</v>
      </c>
      <c r="S124" s="19" t="s">
        <v>34</v>
      </c>
      <c r="U124" s="2">
        <f>0.01*(H124+K124)</f>
        <v>42000.255999999994</v>
      </c>
      <c r="V124">
        <v>0.2</v>
      </c>
      <c r="W124" s="19">
        <f t="shared" si="16"/>
        <v>50400.307199999988</v>
      </c>
    </row>
    <row r="125" spans="1:27" x14ac:dyDescent="0.5">
      <c r="A125">
        <v>72</v>
      </c>
      <c r="B125">
        <v>72</v>
      </c>
      <c r="C125" t="s">
        <v>19</v>
      </c>
      <c r="D125" s="2">
        <v>3248244.3</v>
      </c>
      <c r="E125" s="2">
        <v>62733.4</v>
      </c>
      <c r="F125" s="2">
        <v>0</v>
      </c>
      <c r="G125" s="2">
        <v>53765.9</v>
      </c>
      <c r="H125" s="2">
        <v>0</v>
      </c>
      <c r="I125" s="2">
        <v>0</v>
      </c>
      <c r="J125" s="4">
        <f t="shared" si="15"/>
        <v>3364743.5999999996</v>
      </c>
      <c r="K125" s="17">
        <f>systems!O155</f>
        <v>5279058.9000000004</v>
      </c>
      <c r="L125" s="13">
        <f t="shared" si="8"/>
        <v>0.63737565042132782</v>
      </c>
      <c r="Q125" s="2" t="s">
        <v>34</v>
      </c>
      <c r="R125" t="s">
        <v>34</v>
      </c>
      <c r="S125" s="19" t="s">
        <v>34</v>
      </c>
      <c r="U125" s="2">
        <f>0.01*(H125+K125)</f>
        <v>52790.589000000007</v>
      </c>
      <c r="V125">
        <v>0.2</v>
      </c>
      <c r="W125" s="19">
        <f t="shared" si="16"/>
        <v>63348.706800000007</v>
      </c>
    </row>
    <row r="126" spans="1:27" x14ac:dyDescent="0.5">
      <c r="A126">
        <v>96</v>
      </c>
      <c r="B126">
        <v>96</v>
      </c>
      <c r="C126" t="s">
        <v>20</v>
      </c>
      <c r="D126" s="2">
        <v>27529480</v>
      </c>
      <c r="E126" s="2">
        <v>66534516</v>
      </c>
      <c r="F126" s="2">
        <v>250594896</v>
      </c>
      <c r="G126" s="2">
        <v>2162746.5</v>
      </c>
      <c r="H126" s="2">
        <v>3903231.5</v>
      </c>
      <c r="I126" s="2">
        <v>1334456</v>
      </c>
      <c r="J126" s="4">
        <f t="shared" si="15"/>
        <v>352059326</v>
      </c>
      <c r="K126" s="17">
        <f>systems!O156</f>
        <v>410390583.19999999</v>
      </c>
      <c r="L126" s="13">
        <f t="shared" si="8"/>
        <v>0.85786404564850161</v>
      </c>
      <c r="Q126" s="2">
        <f>0.01*SUM(D126:I126)</f>
        <v>3520593.2600000002</v>
      </c>
      <c r="R126">
        <v>0.2</v>
      </c>
      <c r="S126" s="19">
        <f>Q126*(1+R126)</f>
        <v>4224711.9120000005</v>
      </c>
      <c r="U126" s="2" t="s">
        <v>34</v>
      </c>
      <c r="V126" t="s">
        <v>34</v>
      </c>
      <c r="W126" s="19" t="s">
        <v>34</v>
      </c>
    </row>
    <row r="127" spans="1:27" x14ac:dyDescent="0.5">
      <c r="A127">
        <v>121</v>
      </c>
      <c r="B127">
        <v>121</v>
      </c>
      <c r="C127" t="s">
        <v>21</v>
      </c>
      <c r="D127" s="2">
        <v>75761080</v>
      </c>
      <c r="E127" s="2">
        <v>0</v>
      </c>
      <c r="F127" s="2">
        <v>0</v>
      </c>
      <c r="G127" s="2">
        <v>17053.5</v>
      </c>
      <c r="H127" s="2">
        <v>0</v>
      </c>
      <c r="I127" s="2">
        <v>0</v>
      </c>
      <c r="J127" s="4">
        <f t="shared" si="15"/>
        <v>75778133.5</v>
      </c>
      <c r="K127" s="17">
        <f>systems!O157</f>
        <v>84128933.200000003</v>
      </c>
      <c r="L127" s="13">
        <f t="shared" si="8"/>
        <v>0.9007380768736527</v>
      </c>
      <c r="Q127" s="2">
        <f>0.01*(D127+G127)</f>
        <v>757781.33499999996</v>
      </c>
      <c r="R127">
        <v>0.2</v>
      </c>
      <c r="S127" s="19">
        <f>Q127*(1+R127)</f>
        <v>909337.60199999996</v>
      </c>
      <c r="U127" s="2" t="s">
        <v>34</v>
      </c>
      <c r="V127" t="s">
        <v>34</v>
      </c>
      <c r="W127" s="19" t="s">
        <v>34</v>
      </c>
    </row>
    <row r="128" spans="1:27" x14ac:dyDescent="0.5">
      <c r="A128">
        <v>126</v>
      </c>
      <c r="B128">
        <v>126</v>
      </c>
      <c r="C128" t="s">
        <v>22</v>
      </c>
      <c r="D128" s="2">
        <v>52192572</v>
      </c>
      <c r="E128" s="2">
        <v>22380424</v>
      </c>
      <c r="F128" s="2">
        <v>0</v>
      </c>
      <c r="G128" s="2">
        <v>2203728.7999999998</v>
      </c>
      <c r="H128" s="2">
        <v>411173.8</v>
      </c>
      <c r="I128" s="2">
        <v>0</v>
      </c>
      <c r="J128" s="4">
        <f t="shared" si="15"/>
        <v>77187898.599999994</v>
      </c>
      <c r="K128" s="17">
        <f>systems!O158</f>
        <v>159459394.69999999</v>
      </c>
      <c r="L128" s="13">
        <f t="shared" si="8"/>
        <v>0.48405989967049584</v>
      </c>
      <c r="Q128" s="2" t="s">
        <v>34</v>
      </c>
      <c r="R128" t="s">
        <v>34</v>
      </c>
      <c r="S128" s="19" t="s">
        <v>34</v>
      </c>
      <c r="U128" s="2">
        <f>0.01*(H128+K128)</f>
        <v>1598705.6850000001</v>
      </c>
      <c r="V128">
        <v>0.2</v>
      </c>
      <c r="W128" s="19">
        <f t="shared" si="16"/>
        <v>1918446.8219999999</v>
      </c>
    </row>
    <row r="129" spans="1:23" x14ac:dyDescent="0.5">
      <c r="A129">
        <v>127</v>
      </c>
      <c r="B129">
        <v>127</v>
      </c>
      <c r="C129" t="s">
        <v>55</v>
      </c>
      <c r="D129" s="2">
        <v>724281.3</v>
      </c>
      <c r="E129" s="2">
        <v>0</v>
      </c>
      <c r="F129" s="2">
        <v>0</v>
      </c>
      <c r="G129" s="2">
        <v>188966.5</v>
      </c>
      <c r="H129" s="2">
        <v>0</v>
      </c>
      <c r="I129" s="2">
        <v>0</v>
      </c>
      <c r="J129" s="4">
        <f t="shared" si="15"/>
        <v>913247.8</v>
      </c>
      <c r="K129" s="17">
        <f>systems!O159</f>
        <v>1379470.0999999999</v>
      </c>
      <c r="L129" s="13">
        <f t="shared" si="8"/>
        <v>0.66202797726460338</v>
      </c>
      <c r="Q129" s="2" t="s">
        <v>34</v>
      </c>
      <c r="R129" t="s">
        <v>34</v>
      </c>
      <c r="S129" s="19" t="s">
        <v>34</v>
      </c>
      <c r="U129" s="2">
        <f>0.01*(H129+K129)</f>
        <v>13794.700999999999</v>
      </c>
      <c r="V129">
        <v>0.2</v>
      </c>
      <c r="W129" s="19">
        <f t="shared" si="16"/>
        <v>16553.641199999998</v>
      </c>
    </row>
    <row r="130" spans="1:23" x14ac:dyDescent="0.5">
      <c r="A130">
        <v>131</v>
      </c>
      <c r="B130">
        <v>131</v>
      </c>
      <c r="C130" t="s">
        <v>23</v>
      </c>
      <c r="D130" s="2">
        <v>198954592</v>
      </c>
      <c r="E130" s="2">
        <v>29431856</v>
      </c>
      <c r="F130" s="2">
        <v>4460400.5</v>
      </c>
      <c r="G130" s="2">
        <v>464744.5</v>
      </c>
      <c r="H130" s="2">
        <v>453396.9</v>
      </c>
      <c r="I130" s="2">
        <v>0</v>
      </c>
      <c r="J130" s="4">
        <f t="shared" si="15"/>
        <v>233764989.90000001</v>
      </c>
      <c r="K130" s="17">
        <f>systems!O160</f>
        <v>254457639.40000001</v>
      </c>
      <c r="L130" s="13">
        <f t="shared" si="8"/>
        <v>0.91867939375374086</v>
      </c>
      <c r="Q130" s="2" t="s">
        <v>34</v>
      </c>
      <c r="R130" t="s">
        <v>34</v>
      </c>
      <c r="S130" s="19" t="s">
        <v>34</v>
      </c>
      <c r="U130" s="2">
        <f>0.01*(H130+K130)</f>
        <v>2549110.3630000004</v>
      </c>
      <c r="V130">
        <v>0.2</v>
      </c>
      <c r="W130" s="19">
        <f t="shared" si="16"/>
        <v>3058932.4356000004</v>
      </c>
    </row>
    <row r="131" spans="1:23" x14ac:dyDescent="0.5">
      <c r="A131">
        <v>134</v>
      </c>
      <c r="B131">
        <v>134</v>
      </c>
      <c r="C131" t="s">
        <v>24</v>
      </c>
      <c r="D131" s="2">
        <v>488527.8</v>
      </c>
      <c r="E131" s="2">
        <v>0</v>
      </c>
      <c r="F131" s="2">
        <v>0</v>
      </c>
      <c r="G131" s="2">
        <v>2568.1999999999998</v>
      </c>
      <c r="H131" s="2">
        <v>0</v>
      </c>
      <c r="I131" s="2">
        <v>0</v>
      </c>
      <c r="J131" s="4">
        <f t="shared" si="15"/>
        <v>491096</v>
      </c>
      <c r="K131" s="17">
        <f>systems!O161</f>
        <v>1128417.8</v>
      </c>
      <c r="L131" s="13">
        <f t="shared" si="8"/>
        <v>0.43520759775324352</v>
      </c>
      <c r="Q131" s="2" t="s">
        <v>34</v>
      </c>
      <c r="R131" t="s">
        <v>34</v>
      </c>
      <c r="S131" s="19" t="s">
        <v>34</v>
      </c>
      <c r="U131" s="2">
        <f>0.01*(H131+K131)</f>
        <v>11284.178</v>
      </c>
      <c r="V131">
        <v>0.2</v>
      </c>
      <c r="W131" s="19">
        <f t="shared" si="16"/>
        <v>13541.0136</v>
      </c>
    </row>
    <row r="132" spans="1:23" x14ac:dyDescent="0.5">
      <c r="A132">
        <v>135</v>
      </c>
      <c r="B132">
        <v>135</v>
      </c>
      <c r="C132" t="s">
        <v>25</v>
      </c>
      <c r="D132" s="2">
        <v>359934144</v>
      </c>
      <c r="E132" s="2">
        <v>410303136</v>
      </c>
      <c r="F132" s="2">
        <v>2356739</v>
      </c>
      <c r="G132" s="2">
        <v>4713704</v>
      </c>
      <c r="H132" s="2">
        <v>1869232.9</v>
      </c>
      <c r="I132" s="2">
        <v>0</v>
      </c>
      <c r="J132" s="4">
        <f t="shared" si="15"/>
        <v>779176955.89999998</v>
      </c>
      <c r="K132" s="17">
        <f>systems!O162</f>
        <v>869750400.79999995</v>
      </c>
      <c r="L132" s="13">
        <f t="shared" ref="L132:L195" si="17">J132/K132</f>
        <v>0.89586271553690555</v>
      </c>
      <c r="Q132" s="2" t="s">
        <v>34</v>
      </c>
      <c r="R132" t="s">
        <v>34</v>
      </c>
      <c r="S132" s="19" t="s">
        <v>34</v>
      </c>
      <c r="U132" s="2">
        <f>0.01*(H132+K132)</f>
        <v>8716196.3369999994</v>
      </c>
      <c r="V132">
        <v>0.2</v>
      </c>
      <c r="W132" s="19">
        <f t="shared" si="16"/>
        <v>10459435.6044</v>
      </c>
    </row>
    <row r="133" spans="1:23" x14ac:dyDescent="0.5">
      <c r="A133">
        <v>156</v>
      </c>
      <c r="B133">
        <v>156</v>
      </c>
      <c r="C133" t="s">
        <v>26</v>
      </c>
      <c r="D133" s="2">
        <v>0</v>
      </c>
      <c r="E133" s="2">
        <v>1400557.1</v>
      </c>
      <c r="F133" s="2">
        <v>10184829</v>
      </c>
      <c r="G133" s="2">
        <v>0</v>
      </c>
      <c r="H133" s="2">
        <v>0</v>
      </c>
      <c r="I133" s="2">
        <v>118588.8</v>
      </c>
      <c r="J133" s="4">
        <f t="shared" si="15"/>
        <v>11703974.9</v>
      </c>
      <c r="K133" s="17">
        <f>systems!O163</f>
        <v>12710281.9</v>
      </c>
      <c r="L133" s="13">
        <f t="shared" si="17"/>
        <v>0.92082732641830711</v>
      </c>
      <c r="Q133" s="2" t="s">
        <v>34</v>
      </c>
      <c r="R133" t="s">
        <v>34</v>
      </c>
      <c r="S133" s="19" t="s">
        <v>34</v>
      </c>
      <c r="U133" s="2">
        <f>0.01*SUM(H133:M133)</f>
        <v>245328.46520827326</v>
      </c>
      <c r="V133">
        <v>0.2</v>
      </c>
      <c r="W133" s="19">
        <f t="shared" si="16"/>
        <v>294394.15824992792</v>
      </c>
    </row>
    <row r="134" spans="1:23" x14ac:dyDescent="0.5">
      <c r="A134">
        <v>159</v>
      </c>
      <c r="B134">
        <v>159</v>
      </c>
      <c r="C134" t="s">
        <v>27</v>
      </c>
      <c r="D134" s="2">
        <v>39321260</v>
      </c>
      <c r="E134" s="2">
        <v>0</v>
      </c>
      <c r="F134" s="2">
        <v>0</v>
      </c>
      <c r="G134" s="2">
        <v>1100385.3999999999</v>
      </c>
      <c r="H134" s="2">
        <v>0</v>
      </c>
      <c r="I134" s="2">
        <v>0</v>
      </c>
      <c r="J134" s="4">
        <f t="shared" si="15"/>
        <v>40421645.399999999</v>
      </c>
      <c r="K134" s="17">
        <f>systems!O164</f>
        <v>45148573.799999997</v>
      </c>
      <c r="L134" s="13">
        <f t="shared" si="17"/>
        <v>0.89530281906712195</v>
      </c>
      <c r="Q134" s="2">
        <f>0.01*(D134+G134)</f>
        <v>404216.45399999997</v>
      </c>
      <c r="R134">
        <v>0.2</v>
      </c>
      <c r="S134" s="19">
        <f>Q134*(1+R134)</f>
        <v>485059.74479999993</v>
      </c>
      <c r="U134" s="2" t="s">
        <v>34</v>
      </c>
      <c r="V134" t="s">
        <v>34</v>
      </c>
      <c r="W134" s="19" t="s">
        <v>34</v>
      </c>
    </row>
    <row r="135" spans="1:23" x14ac:dyDescent="0.5">
      <c r="A135">
        <v>178</v>
      </c>
      <c r="B135">
        <v>178</v>
      </c>
      <c r="C135" t="s">
        <v>56</v>
      </c>
      <c r="D135" s="2">
        <v>19303374</v>
      </c>
      <c r="E135" s="2">
        <v>0</v>
      </c>
      <c r="F135" s="2">
        <v>0</v>
      </c>
      <c r="G135" s="2">
        <v>213119</v>
      </c>
      <c r="H135" s="2">
        <v>0</v>
      </c>
      <c r="I135" s="2">
        <v>0</v>
      </c>
      <c r="J135" s="4">
        <f t="shared" si="15"/>
        <v>19516493</v>
      </c>
      <c r="K135" s="17">
        <f>systems!O165</f>
        <v>22792408.199999999</v>
      </c>
      <c r="L135" s="13">
        <f t="shared" si="17"/>
        <v>0.85627165101404246</v>
      </c>
      <c r="Q135" s="2" t="s">
        <v>34</v>
      </c>
      <c r="R135" t="s">
        <v>34</v>
      </c>
      <c r="S135" s="19" t="s">
        <v>34</v>
      </c>
      <c r="U135" s="2">
        <f>0.01*(H135+K135)</f>
        <v>227924.08199999999</v>
      </c>
      <c r="V135">
        <v>0.2</v>
      </c>
      <c r="W135" s="19">
        <f t="shared" si="16"/>
        <v>273508.89840000001</v>
      </c>
    </row>
    <row r="136" spans="1:23" x14ac:dyDescent="0.5">
      <c r="A136">
        <v>179</v>
      </c>
      <c r="B136">
        <v>179</v>
      </c>
      <c r="C136" t="s">
        <v>28</v>
      </c>
      <c r="D136" s="2">
        <v>6380555.5</v>
      </c>
      <c r="E136" s="2">
        <v>47232408</v>
      </c>
      <c r="F136" s="2">
        <v>0</v>
      </c>
      <c r="G136" s="2">
        <v>0</v>
      </c>
      <c r="H136" s="2">
        <v>299000.8</v>
      </c>
      <c r="I136" s="2">
        <v>0</v>
      </c>
      <c r="J136" s="4">
        <f t="shared" si="15"/>
        <v>53911964.299999997</v>
      </c>
      <c r="K136" s="17">
        <f>systems!O166</f>
        <v>75133535.199999988</v>
      </c>
      <c r="L136" s="13">
        <f t="shared" si="17"/>
        <v>0.71754861735828457</v>
      </c>
      <c r="Q136" s="2" t="s">
        <v>34</v>
      </c>
      <c r="R136" t="s">
        <v>34</v>
      </c>
      <c r="S136" s="19" t="s">
        <v>34</v>
      </c>
      <c r="U136" s="2">
        <f>0.01*(H136+K136)</f>
        <v>754325.35999999987</v>
      </c>
      <c r="V136">
        <v>0.2</v>
      </c>
      <c r="W136" s="19">
        <f t="shared" si="16"/>
        <v>905190.4319999998</v>
      </c>
    </row>
    <row r="137" spans="1:23" x14ac:dyDescent="0.5">
      <c r="A137">
        <v>188</v>
      </c>
      <c r="B137">
        <v>188</v>
      </c>
      <c r="C137" t="s">
        <v>29</v>
      </c>
      <c r="D137" s="2">
        <v>180837760</v>
      </c>
      <c r="E137" s="2">
        <v>114172664</v>
      </c>
      <c r="F137" s="2">
        <v>74297872</v>
      </c>
      <c r="G137" s="2">
        <v>3602844.5</v>
      </c>
      <c r="H137" s="2">
        <v>1067000.1000000001</v>
      </c>
      <c r="I137" s="2">
        <v>213309.4</v>
      </c>
      <c r="J137" s="4">
        <f t="shared" si="15"/>
        <v>374191450</v>
      </c>
      <c r="K137" s="17">
        <f>systems!O167</f>
        <v>521511911.5</v>
      </c>
      <c r="L137" s="13">
        <f t="shared" si="17"/>
        <v>0.71751275809545911</v>
      </c>
      <c r="Q137" s="2" t="s">
        <v>34</v>
      </c>
      <c r="R137" t="s">
        <v>34</v>
      </c>
      <c r="S137" s="19" t="s">
        <v>34</v>
      </c>
      <c r="U137" s="2">
        <f>0.01*SUM(H137:M137)</f>
        <v>8969836.7171751279</v>
      </c>
      <c r="V137">
        <v>0.2</v>
      </c>
      <c r="W137" s="19">
        <f t="shared" si="16"/>
        <v>10763804.060610153</v>
      </c>
    </row>
    <row r="138" spans="1:23" x14ac:dyDescent="0.5">
      <c r="A138">
        <v>189</v>
      </c>
      <c r="B138">
        <v>189</v>
      </c>
      <c r="C138" t="s">
        <v>30</v>
      </c>
      <c r="D138" s="2">
        <v>2733807.3</v>
      </c>
      <c r="E138" s="2">
        <v>137759632</v>
      </c>
      <c r="F138" s="2">
        <v>13427859</v>
      </c>
      <c r="G138" s="2">
        <v>0</v>
      </c>
      <c r="H138" s="2">
        <v>287833.40000000002</v>
      </c>
      <c r="I138" s="2">
        <v>0</v>
      </c>
      <c r="J138" s="4">
        <f t="shared" si="15"/>
        <v>154209131.70000002</v>
      </c>
      <c r="K138" s="17">
        <f>systems!O168</f>
        <v>166665044.30000001</v>
      </c>
      <c r="L138" s="13">
        <f t="shared" si="17"/>
        <v>0.92526379690285188</v>
      </c>
      <c r="Q138" s="2" t="s">
        <v>34</v>
      </c>
      <c r="R138" t="s">
        <v>34</v>
      </c>
      <c r="S138" s="19" t="s">
        <v>34</v>
      </c>
      <c r="U138" s="2">
        <f>0.01*SUM(H138:M138)</f>
        <v>3211620.1032526386</v>
      </c>
      <c r="V138">
        <v>0.2</v>
      </c>
      <c r="W138" s="19">
        <f t="shared" si="16"/>
        <v>3853944.123903166</v>
      </c>
    </row>
    <row r="139" spans="1:23" x14ac:dyDescent="0.5">
      <c r="A139">
        <v>203</v>
      </c>
      <c r="B139">
        <v>203</v>
      </c>
      <c r="C139" t="s">
        <v>31</v>
      </c>
      <c r="D139" s="2">
        <v>68513568</v>
      </c>
      <c r="E139" s="2">
        <v>949049.1</v>
      </c>
      <c r="F139" s="2">
        <v>50409.8</v>
      </c>
      <c r="G139" s="2">
        <v>541067.19999999995</v>
      </c>
      <c r="H139" s="2">
        <v>0</v>
      </c>
      <c r="I139" s="2">
        <v>0</v>
      </c>
      <c r="J139" s="4">
        <f t="shared" si="15"/>
        <v>70054094.099999994</v>
      </c>
      <c r="K139" s="17">
        <f>systems!O169</f>
        <v>164587375.79999998</v>
      </c>
      <c r="L139" s="13">
        <f t="shared" si="17"/>
        <v>0.42563467434541841</v>
      </c>
      <c r="Q139" s="2">
        <f>0.01*(D139+G139)</f>
        <v>690546.35200000007</v>
      </c>
      <c r="R139">
        <v>0.2</v>
      </c>
      <c r="S139" s="19">
        <f>Q139*(1+R139)</f>
        <v>828655.62240000011</v>
      </c>
      <c r="U139" s="2" t="s">
        <v>34</v>
      </c>
      <c r="V139" t="s">
        <v>34</v>
      </c>
      <c r="W139" s="19" t="s">
        <v>34</v>
      </c>
    </row>
    <row r="140" spans="1:23" x14ac:dyDescent="0.5">
      <c r="A140">
        <v>204</v>
      </c>
      <c r="B140">
        <v>204</v>
      </c>
      <c r="C140" t="s">
        <v>32</v>
      </c>
      <c r="D140" s="2">
        <v>156295888</v>
      </c>
      <c r="E140" s="2">
        <v>566.5</v>
      </c>
      <c r="F140" s="2">
        <v>3861419.3</v>
      </c>
      <c r="G140" s="2">
        <v>859803.8</v>
      </c>
      <c r="H140" s="2">
        <v>0</v>
      </c>
      <c r="I140" s="2">
        <v>71521.600000000006</v>
      </c>
      <c r="J140" s="4">
        <f t="shared" si="15"/>
        <v>161089199.20000002</v>
      </c>
      <c r="K140" s="17">
        <f>systems!O170</f>
        <v>192114618.50000003</v>
      </c>
      <c r="L140" s="13">
        <f t="shared" si="17"/>
        <v>0.8385056819608967</v>
      </c>
      <c r="Q140" s="2" t="s">
        <v>34</v>
      </c>
      <c r="R140" t="s">
        <v>34</v>
      </c>
      <c r="S140" s="19" t="s">
        <v>34</v>
      </c>
      <c r="U140" s="2">
        <f>0.01*(H140+K140)</f>
        <v>1921146.1850000003</v>
      </c>
      <c r="V140">
        <v>0.2</v>
      </c>
      <c r="W140" s="19">
        <f t="shared" si="16"/>
        <v>2305375.4220000003</v>
      </c>
    </row>
    <row r="141" spans="1:23" x14ac:dyDescent="0.5">
      <c r="D141" s="4">
        <f t="shared" ref="D141:I141" si="18">SUM(D115:D140)</f>
        <v>1419383079.0999999</v>
      </c>
      <c r="E141" s="4">
        <f t="shared" si="18"/>
        <v>1134378866.5</v>
      </c>
      <c r="F141" s="4">
        <f t="shared" si="18"/>
        <v>806902638.39999986</v>
      </c>
      <c r="G141" s="4">
        <f t="shared" si="18"/>
        <v>24236615.699999999</v>
      </c>
      <c r="H141" s="4">
        <f t="shared" si="18"/>
        <v>10332580.1</v>
      </c>
      <c r="I141" s="4">
        <f t="shared" si="18"/>
        <v>10949191.4</v>
      </c>
      <c r="J141" s="4">
        <f t="shared" si="15"/>
        <v>3406182971.1999998</v>
      </c>
      <c r="K141" s="17">
        <f>systems!O171</f>
        <v>4210146855.0999994</v>
      </c>
      <c r="L141" s="13">
        <f t="shared" si="17"/>
        <v>0.8090413680163886</v>
      </c>
      <c r="P141" s="4"/>
      <c r="Q141" s="4">
        <f t="shared" ref="Q141:W141" si="19">SUM(Q115:Q140)</f>
        <v>10405367.168</v>
      </c>
      <c r="R141" s="8"/>
      <c r="S141" s="4">
        <f t="shared" si="19"/>
        <v>12486440.601600001</v>
      </c>
      <c r="T141" s="8"/>
      <c r="U141" s="4">
        <f t="shared" si="19"/>
        <v>33928536.502934948</v>
      </c>
      <c r="V141" s="8"/>
      <c r="W141" s="4">
        <f t="shared" si="19"/>
        <v>40714243.803521946</v>
      </c>
    </row>
    <row r="142" spans="1:23" x14ac:dyDescent="0.5">
      <c r="A142" t="s">
        <v>49</v>
      </c>
      <c r="D142" s="2"/>
      <c r="E142" s="2"/>
      <c r="F142" s="2"/>
      <c r="G142" s="2"/>
      <c r="H142" s="2"/>
      <c r="I142" s="2"/>
      <c r="J142" s="4"/>
      <c r="K142" s="17"/>
    </row>
    <row r="143" spans="1:23" x14ac:dyDescent="0.5">
      <c r="A143">
        <v>13</v>
      </c>
      <c r="B143">
        <v>13</v>
      </c>
      <c r="C143" t="s">
        <v>12</v>
      </c>
      <c r="D143" s="2">
        <v>0</v>
      </c>
      <c r="E143" s="2">
        <v>14653.5</v>
      </c>
      <c r="F143" s="2">
        <v>88569.4</v>
      </c>
      <c r="G143" s="2">
        <v>0</v>
      </c>
      <c r="H143" s="2">
        <v>14.9</v>
      </c>
      <c r="I143" s="2">
        <v>1545.3</v>
      </c>
      <c r="J143" s="4">
        <f t="shared" ref="J143:J169" si="20">SUM(D143:I143)</f>
        <v>104783.09999999999</v>
      </c>
      <c r="K143" s="17">
        <f>systems!O173</f>
        <v>112897.9</v>
      </c>
      <c r="L143" s="13">
        <f t="shared" si="17"/>
        <v>0.92812266658635811</v>
      </c>
      <c r="Q143" s="2" t="s">
        <v>34</v>
      </c>
      <c r="U143" s="2">
        <f>SUM(H143:M143)</f>
        <v>219242.12812266656</v>
      </c>
    </row>
    <row r="144" spans="1:23" x14ac:dyDescent="0.5">
      <c r="A144">
        <v>15</v>
      </c>
      <c r="B144">
        <v>15</v>
      </c>
      <c r="C144" t="s">
        <v>13</v>
      </c>
      <c r="D144" s="2">
        <v>99993.7</v>
      </c>
      <c r="E144" s="2">
        <v>446677.3</v>
      </c>
      <c r="F144" s="2">
        <v>0</v>
      </c>
      <c r="G144" s="2">
        <v>0</v>
      </c>
      <c r="H144" s="2">
        <v>1629.8</v>
      </c>
      <c r="I144" s="2">
        <v>0</v>
      </c>
      <c r="J144" s="4">
        <f t="shared" si="20"/>
        <v>548300.80000000005</v>
      </c>
      <c r="K144" s="17">
        <f>systems!O174</f>
        <v>680638.9</v>
      </c>
      <c r="L144" s="13">
        <f t="shared" si="17"/>
        <v>0.80556782752205325</v>
      </c>
      <c r="Q144" s="2" t="s">
        <v>34</v>
      </c>
      <c r="U144" s="2">
        <f>(H144+K144)</f>
        <v>682268.70000000007</v>
      </c>
    </row>
    <row r="145" spans="1:21" x14ac:dyDescent="0.5">
      <c r="A145">
        <v>16</v>
      </c>
      <c r="B145">
        <v>16</v>
      </c>
      <c r="C145" t="s">
        <v>52</v>
      </c>
      <c r="D145" s="2">
        <v>389648.1</v>
      </c>
      <c r="E145" s="2">
        <v>116.6</v>
      </c>
      <c r="F145" s="2">
        <v>0</v>
      </c>
      <c r="G145" s="2">
        <v>2480.5</v>
      </c>
      <c r="H145" s="2">
        <v>0</v>
      </c>
      <c r="I145" s="2">
        <v>0</v>
      </c>
      <c r="J145" s="4">
        <f t="shared" si="20"/>
        <v>392245.19999999995</v>
      </c>
      <c r="K145" s="17">
        <f>systems!O175</f>
        <v>425214.89999999991</v>
      </c>
      <c r="L145" s="13">
        <f t="shared" si="17"/>
        <v>0.9224634414269115</v>
      </c>
      <c r="Q145" s="2" t="s">
        <v>34</v>
      </c>
      <c r="U145" s="2">
        <f>(H145+K145)</f>
        <v>425214.89999999991</v>
      </c>
    </row>
    <row r="146" spans="1:21" x14ac:dyDescent="0.5">
      <c r="A146">
        <v>30</v>
      </c>
      <c r="B146">
        <v>30</v>
      </c>
      <c r="C146" t="s">
        <v>53</v>
      </c>
      <c r="D146" s="2">
        <v>41559.1</v>
      </c>
      <c r="E146" s="2">
        <v>0</v>
      </c>
      <c r="F146" s="2">
        <v>0</v>
      </c>
      <c r="G146" s="2">
        <v>0</v>
      </c>
      <c r="H146" s="2">
        <v>0</v>
      </c>
      <c r="I146" s="2">
        <v>0</v>
      </c>
      <c r="J146" s="4">
        <f t="shared" si="20"/>
        <v>41559.1</v>
      </c>
      <c r="K146" s="17">
        <f>systems!O176</f>
        <v>57250.5</v>
      </c>
      <c r="L146" s="13">
        <f t="shared" si="17"/>
        <v>0.72591680422005045</v>
      </c>
      <c r="Q146" s="2" t="s">
        <v>34</v>
      </c>
      <c r="U146" s="2">
        <f>(H146+K146)</f>
        <v>57250.5</v>
      </c>
    </row>
    <row r="147" spans="1:21" x14ac:dyDescent="0.5">
      <c r="A147">
        <v>37</v>
      </c>
      <c r="B147">
        <v>37</v>
      </c>
      <c r="C147" t="s">
        <v>14</v>
      </c>
      <c r="D147" s="2">
        <v>42593.8</v>
      </c>
      <c r="E147" s="2">
        <v>139125.70000000001</v>
      </c>
      <c r="F147" s="2">
        <v>2.2000000000000002</v>
      </c>
      <c r="G147" s="2">
        <v>0</v>
      </c>
      <c r="H147" s="2">
        <v>2686.3</v>
      </c>
      <c r="I147" s="2">
        <v>0</v>
      </c>
      <c r="J147" s="4">
        <f t="shared" si="20"/>
        <v>184408</v>
      </c>
      <c r="K147" s="17">
        <f>systems!O177</f>
        <v>280790.40000000002</v>
      </c>
      <c r="L147" s="13">
        <f t="shared" si="17"/>
        <v>0.65674609958175201</v>
      </c>
      <c r="Q147" s="2" t="s">
        <v>34</v>
      </c>
      <c r="U147" s="2">
        <f>(H147+K147)</f>
        <v>283476.7</v>
      </c>
    </row>
    <row r="148" spans="1:21" x14ac:dyDescent="0.5">
      <c r="A148">
        <v>38</v>
      </c>
      <c r="B148">
        <v>38</v>
      </c>
      <c r="C148" t="s">
        <v>54</v>
      </c>
      <c r="D148" s="2">
        <v>95952.1</v>
      </c>
      <c r="E148" s="2">
        <v>56551.7</v>
      </c>
      <c r="F148" s="2">
        <v>86122.8</v>
      </c>
      <c r="G148" s="2">
        <v>3727.4</v>
      </c>
      <c r="H148" s="2">
        <v>0</v>
      </c>
      <c r="I148" s="2">
        <v>0</v>
      </c>
      <c r="J148" s="4">
        <f t="shared" si="20"/>
        <v>242353.99999999997</v>
      </c>
      <c r="K148" s="17">
        <f>systems!O178</f>
        <v>514061.39999999997</v>
      </c>
      <c r="L148" s="13">
        <f t="shared" si="17"/>
        <v>0.47144951945429087</v>
      </c>
      <c r="Q148" s="2" t="s">
        <v>34</v>
      </c>
      <c r="U148" s="2">
        <f>(H148+K148)</f>
        <v>514061.39999999997</v>
      </c>
    </row>
    <row r="149" spans="1:21" x14ac:dyDescent="0.5">
      <c r="A149">
        <v>60</v>
      </c>
      <c r="B149">
        <v>60</v>
      </c>
      <c r="C149" t="s">
        <v>15</v>
      </c>
      <c r="D149" s="2">
        <v>148682.70000000001</v>
      </c>
      <c r="E149" s="2">
        <v>68192.100000000006</v>
      </c>
      <c r="F149" s="2">
        <v>1407888.8</v>
      </c>
      <c r="G149" s="2">
        <v>12312.9</v>
      </c>
      <c r="H149" s="2">
        <v>0</v>
      </c>
      <c r="I149" s="2">
        <v>24657.8</v>
      </c>
      <c r="J149" s="4">
        <f t="shared" si="20"/>
        <v>1661734.3</v>
      </c>
      <c r="K149" s="17">
        <f>systems!O179</f>
        <v>1754189.5</v>
      </c>
      <c r="L149" s="13">
        <f t="shared" si="17"/>
        <v>0.94729463378956491</v>
      </c>
      <c r="Q149" s="2">
        <f>SUM(D149:I149)</f>
        <v>1661734.3</v>
      </c>
      <c r="U149" s="2" t="s">
        <v>34</v>
      </c>
    </row>
    <row r="150" spans="1:21" x14ac:dyDescent="0.5">
      <c r="A150">
        <v>67</v>
      </c>
      <c r="B150">
        <v>67</v>
      </c>
      <c r="C150" t="s">
        <v>16</v>
      </c>
      <c r="D150" s="2">
        <v>76577.100000000006</v>
      </c>
      <c r="E150" s="2">
        <v>505235.6</v>
      </c>
      <c r="F150" s="2">
        <v>0</v>
      </c>
      <c r="G150" s="2">
        <v>228.4</v>
      </c>
      <c r="H150" s="2">
        <v>3079</v>
      </c>
      <c r="I150" s="2">
        <v>0</v>
      </c>
      <c r="J150" s="4">
        <f t="shared" si="20"/>
        <v>585120.1</v>
      </c>
      <c r="K150" s="17">
        <f>systems!O180</f>
        <v>752364.79999999993</v>
      </c>
      <c r="L150" s="13">
        <f t="shared" si="17"/>
        <v>0.77770796826220479</v>
      </c>
      <c r="Q150" s="2">
        <f>(D150+G150)</f>
        <v>76805.5</v>
      </c>
      <c r="U150" s="2" t="s">
        <v>34</v>
      </c>
    </row>
    <row r="151" spans="1:21" x14ac:dyDescent="0.5">
      <c r="A151">
        <v>69</v>
      </c>
      <c r="B151">
        <v>69</v>
      </c>
      <c r="C151" t="s">
        <v>17</v>
      </c>
      <c r="D151" s="2">
        <v>38207.5</v>
      </c>
      <c r="E151" s="2">
        <v>215002.3</v>
      </c>
      <c r="F151" s="2">
        <v>320.5</v>
      </c>
      <c r="G151" s="2">
        <v>1300.8</v>
      </c>
      <c r="H151" s="2">
        <v>1322.2</v>
      </c>
      <c r="I151" s="2">
        <v>0</v>
      </c>
      <c r="J151" s="4">
        <f t="shared" si="20"/>
        <v>256153.3</v>
      </c>
      <c r="K151" s="17">
        <f>systems!O181</f>
        <v>322966.89999999997</v>
      </c>
      <c r="L151" s="13">
        <f t="shared" si="17"/>
        <v>0.79312554939840585</v>
      </c>
      <c r="Q151" s="2" t="s">
        <v>34</v>
      </c>
      <c r="U151" s="2">
        <f>(H151+K151)</f>
        <v>324289.09999999998</v>
      </c>
    </row>
    <row r="152" spans="1:21" x14ac:dyDescent="0.5">
      <c r="A152">
        <v>71</v>
      </c>
      <c r="B152">
        <v>71</v>
      </c>
      <c r="C152" t="s">
        <v>18</v>
      </c>
      <c r="D152" s="2">
        <v>25575.200000000001</v>
      </c>
      <c r="E152" s="2">
        <v>0</v>
      </c>
      <c r="F152" s="2">
        <v>0</v>
      </c>
      <c r="G152" s="2">
        <v>0</v>
      </c>
      <c r="H152" s="2">
        <v>0</v>
      </c>
      <c r="I152" s="2">
        <v>0</v>
      </c>
      <c r="J152" s="4">
        <f t="shared" si="20"/>
        <v>25575.200000000001</v>
      </c>
      <c r="K152" s="17">
        <f>systems!O182</f>
        <v>27622.9</v>
      </c>
      <c r="L152" s="13">
        <f t="shared" si="17"/>
        <v>0.92586947786076046</v>
      </c>
      <c r="Q152" s="2" t="s">
        <v>34</v>
      </c>
      <c r="U152" s="2">
        <f>(H152+K152)</f>
        <v>27622.9</v>
      </c>
    </row>
    <row r="153" spans="1:21" x14ac:dyDescent="0.5">
      <c r="A153">
        <v>72</v>
      </c>
      <c r="B153">
        <v>72</v>
      </c>
      <c r="C153" t="s">
        <v>19</v>
      </c>
      <c r="D153" s="2">
        <v>9239.7999999999993</v>
      </c>
      <c r="E153" s="2">
        <v>203.8</v>
      </c>
      <c r="F153" s="2">
        <v>0</v>
      </c>
      <c r="G153" s="2">
        <v>147.80000000000001</v>
      </c>
      <c r="H153" s="2">
        <v>0</v>
      </c>
      <c r="I153" s="2">
        <v>0</v>
      </c>
      <c r="J153" s="4">
        <f t="shared" si="20"/>
        <v>9591.3999999999978</v>
      </c>
      <c r="K153" s="17">
        <f>systems!O183</f>
        <v>15060.299999999997</v>
      </c>
      <c r="L153" s="13">
        <f t="shared" si="17"/>
        <v>0.6368664634834631</v>
      </c>
      <c r="Q153" s="2" t="s">
        <v>34</v>
      </c>
      <c r="U153" s="2">
        <f>(H153+K153)</f>
        <v>15060.299999999997</v>
      </c>
    </row>
    <row r="154" spans="1:21" x14ac:dyDescent="0.5">
      <c r="A154">
        <v>96</v>
      </c>
      <c r="B154">
        <v>96</v>
      </c>
      <c r="C154" t="s">
        <v>20</v>
      </c>
      <c r="D154" s="2">
        <v>362343</v>
      </c>
      <c r="E154" s="2">
        <v>229760.9</v>
      </c>
      <c r="F154" s="2">
        <v>689797.7</v>
      </c>
      <c r="G154" s="2">
        <v>13418.4</v>
      </c>
      <c r="H154" s="2">
        <v>12208.1</v>
      </c>
      <c r="I154" s="2">
        <v>4274.8999999999996</v>
      </c>
      <c r="J154" s="4">
        <f t="shared" si="20"/>
        <v>1311803</v>
      </c>
      <c r="K154" s="17">
        <f>systems!O184</f>
        <v>1653292.9000000001</v>
      </c>
      <c r="L154" s="13">
        <f t="shared" si="17"/>
        <v>0.79344863816931643</v>
      </c>
      <c r="Q154" s="2">
        <f>SUM(D154:I154)</f>
        <v>1311803</v>
      </c>
      <c r="U154" s="2" t="s">
        <v>34</v>
      </c>
    </row>
    <row r="155" spans="1:21" x14ac:dyDescent="0.5">
      <c r="A155">
        <v>121</v>
      </c>
      <c r="B155">
        <v>121</v>
      </c>
      <c r="C155" t="s">
        <v>21</v>
      </c>
      <c r="D155" s="2">
        <v>345933.7</v>
      </c>
      <c r="E155" s="2">
        <v>0</v>
      </c>
      <c r="F155" s="2">
        <v>0</v>
      </c>
      <c r="G155" s="2">
        <v>90.5</v>
      </c>
      <c r="H155" s="2">
        <v>0</v>
      </c>
      <c r="I155" s="2">
        <v>0</v>
      </c>
      <c r="J155" s="4">
        <f t="shared" si="20"/>
        <v>346024.2</v>
      </c>
      <c r="K155" s="17">
        <f>systems!O185</f>
        <v>389853.89999999997</v>
      </c>
      <c r="L155" s="13">
        <f t="shared" si="17"/>
        <v>0.88757403735091545</v>
      </c>
      <c r="Q155" s="2">
        <f>(D155+G155)</f>
        <v>346024.2</v>
      </c>
      <c r="U155" s="2" t="s">
        <v>34</v>
      </c>
    </row>
    <row r="156" spans="1:21" x14ac:dyDescent="0.5">
      <c r="A156">
        <v>126</v>
      </c>
      <c r="B156">
        <v>126</v>
      </c>
      <c r="C156" t="s">
        <v>22</v>
      </c>
      <c r="D156" s="2">
        <v>509640.6</v>
      </c>
      <c r="E156" s="2">
        <v>216512.7</v>
      </c>
      <c r="F156" s="2">
        <v>0</v>
      </c>
      <c r="G156" s="2">
        <v>11900.2</v>
      </c>
      <c r="H156" s="2">
        <v>2626.9</v>
      </c>
      <c r="I156" s="2">
        <v>0</v>
      </c>
      <c r="J156" s="4">
        <f t="shared" si="20"/>
        <v>740680.4</v>
      </c>
      <c r="K156" s="17">
        <f>systems!O186</f>
        <v>1578462.4999999998</v>
      </c>
      <c r="L156" s="13">
        <f t="shared" si="17"/>
        <v>0.46924168296681112</v>
      </c>
      <c r="Q156" s="2" t="s">
        <v>34</v>
      </c>
      <c r="U156" s="2">
        <f>(H156+K156)</f>
        <v>1581089.3999999997</v>
      </c>
    </row>
    <row r="157" spans="1:21" x14ac:dyDescent="0.5">
      <c r="A157">
        <v>127</v>
      </c>
      <c r="B157">
        <v>127</v>
      </c>
      <c r="C157" t="s">
        <v>55</v>
      </c>
      <c r="D157" s="2">
        <v>9068.6</v>
      </c>
      <c r="E157" s="2">
        <v>0</v>
      </c>
      <c r="F157" s="2">
        <v>0</v>
      </c>
      <c r="G157" s="2">
        <v>1822.2</v>
      </c>
      <c r="H157" s="2">
        <v>0</v>
      </c>
      <c r="I157" s="2">
        <v>0</v>
      </c>
      <c r="J157" s="4">
        <f t="shared" si="20"/>
        <v>10890.800000000001</v>
      </c>
      <c r="K157" s="17">
        <f>systems!O187</f>
        <v>15656.2</v>
      </c>
      <c r="L157" s="13">
        <f t="shared" si="17"/>
        <v>0.69562218162772582</v>
      </c>
      <c r="Q157" s="2" t="s">
        <v>34</v>
      </c>
      <c r="U157" s="2">
        <f>(H157+K157)</f>
        <v>15656.2</v>
      </c>
    </row>
    <row r="158" spans="1:21" x14ac:dyDescent="0.5">
      <c r="A158">
        <v>131</v>
      </c>
      <c r="B158">
        <v>131</v>
      </c>
      <c r="C158" t="s">
        <v>23</v>
      </c>
      <c r="D158" s="2">
        <v>1212043.3</v>
      </c>
      <c r="E158" s="2">
        <v>192900.2</v>
      </c>
      <c r="F158" s="2">
        <v>38541.1</v>
      </c>
      <c r="G158" s="2">
        <v>3272</v>
      </c>
      <c r="H158" s="2">
        <v>3185.5</v>
      </c>
      <c r="I158" s="2">
        <v>0</v>
      </c>
      <c r="J158" s="4">
        <f t="shared" si="20"/>
        <v>1449942.1</v>
      </c>
      <c r="K158" s="17">
        <f>systems!O188</f>
        <v>1592212.7000000002</v>
      </c>
      <c r="L158" s="13">
        <f t="shared" si="17"/>
        <v>0.91064598341666281</v>
      </c>
      <c r="Q158" s="2" t="s">
        <v>34</v>
      </c>
      <c r="U158" s="2">
        <f>(H158+K158)</f>
        <v>1595398.2000000002</v>
      </c>
    </row>
    <row r="159" spans="1:21" x14ac:dyDescent="0.5">
      <c r="A159">
        <v>134</v>
      </c>
      <c r="B159">
        <v>134</v>
      </c>
      <c r="C159" t="s">
        <v>24</v>
      </c>
      <c r="D159" s="2">
        <v>2608.8000000000002</v>
      </c>
      <c r="E159" s="2">
        <v>0</v>
      </c>
      <c r="F159" s="2">
        <v>0</v>
      </c>
      <c r="G159" s="2">
        <v>10.4</v>
      </c>
      <c r="H159" s="2">
        <v>0</v>
      </c>
      <c r="I159" s="2">
        <v>0</v>
      </c>
      <c r="J159" s="4">
        <f t="shared" si="20"/>
        <v>2619.2000000000003</v>
      </c>
      <c r="K159" s="17">
        <f>systems!O189</f>
        <v>7759.2</v>
      </c>
      <c r="L159" s="13">
        <f t="shared" si="17"/>
        <v>0.33756057325497479</v>
      </c>
      <c r="Q159" s="2" t="s">
        <v>34</v>
      </c>
      <c r="U159" s="2">
        <f>(H159+K159)</f>
        <v>7759.2</v>
      </c>
    </row>
    <row r="160" spans="1:21" x14ac:dyDescent="0.5">
      <c r="A160">
        <v>135</v>
      </c>
      <c r="B160">
        <v>135</v>
      </c>
      <c r="C160" t="s">
        <v>25</v>
      </c>
      <c r="D160" s="2">
        <v>1591629.6</v>
      </c>
      <c r="E160" s="2">
        <v>1610082</v>
      </c>
      <c r="F160" s="2">
        <v>10191</v>
      </c>
      <c r="G160" s="2">
        <v>18784.400000000001</v>
      </c>
      <c r="H160" s="2">
        <v>6267.1</v>
      </c>
      <c r="I160" s="2">
        <v>0</v>
      </c>
      <c r="J160" s="4">
        <f t="shared" si="20"/>
        <v>3236954.1</v>
      </c>
      <c r="K160" s="17">
        <f>systems!O190</f>
        <v>3613392.4000000004</v>
      </c>
      <c r="L160" s="13">
        <f t="shared" si="17"/>
        <v>0.89582136166556381</v>
      </c>
      <c r="Q160" s="2" t="s">
        <v>34</v>
      </c>
      <c r="U160" s="2">
        <f>(H160+K160)</f>
        <v>3619659.5000000005</v>
      </c>
    </row>
    <row r="161" spans="1:21" x14ac:dyDescent="0.5">
      <c r="A161">
        <v>156</v>
      </c>
      <c r="B161">
        <v>156</v>
      </c>
      <c r="C161" t="s">
        <v>26</v>
      </c>
      <c r="D161" s="2">
        <v>0</v>
      </c>
      <c r="E161" s="2">
        <v>11993.2</v>
      </c>
      <c r="F161" s="2">
        <v>84711.2</v>
      </c>
      <c r="G161" s="2">
        <v>0</v>
      </c>
      <c r="H161" s="2">
        <v>0</v>
      </c>
      <c r="I161" s="2">
        <v>955.9</v>
      </c>
      <c r="J161" s="4">
        <f t="shared" si="20"/>
        <v>97660.299999999988</v>
      </c>
      <c r="K161" s="17">
        <f>systems!O191</f>
        <v>105942.09999999999</v>
      </c>
      <c r="L161" s="13">
        <f t="shared" si="17"/>
        <v>0.92182711122396099</v>
      </c>
      <c r="Q161" s="2" t="s">
        <v>34</v>
      </c>
      <c r="U161" s="2">
        <f>SUM(H161:M161)</f>
        <v>204559.22182711121</v>
      </c>
    </row>
    <row r="162" spans="1:21" x14ac:dyDescent="0.5">
      <c r="A162">
        <v>159</v>
      </c>
      <c r="B162">
        <v>159</v>
      </c>
      <c r="C162" t="s">
        <v>27</v>
      </c>
      <c r="D162" s="2">
        <v>118664.7</v>
      </c>
      <c r="E162" s="2">
        <v>0</v>
      </c>
      <c r="F162" s="2">
        <v>0</v>
      </c>
      <c r="G162" s="2">
        <v>2548.3000000000002</v>
      </c>
      <c r="H162" s="2">
        <v>0</v>
      </c>
      <c r="I162" s="2">
        <v>0</v>
      </c>
      <c r="J162" s="4">
        <f t="shared" si="20"/>
        <v>121213</v>
      </c>
      <c r="K162" s="17">
        <f>systems!O192</f>
        <v>137555.19999999998</v>
      </c>
      <c r="L162" s="13">
        <f t="shared" si="17"/>
        <v>0.88119533103801251</v>
      </c>
      <c r="Q162" s="2">
        <f>(D162+G162)</f>
        <v>121213</v>
      </c>
      <c r="U162" s="2" t="s">
        <v>34</v>
      </c>
    </row>
    <row r="163" spans="1:21" x14ac:dyDescent="0.5">
      <c r="A163">
        <v>178</v>
      </c>
      <c r="B163">
        <v>178</v>
      </c>
      <c r="C163" t="s">
        <v>56</v>
      </c>
      <c r="D163" s="2">
        <v>139073.79999999999</v>
      </c>
      <c r="E163" s="2">
        <v>0</v>
      </c>
      <c r="F163" s="2">
        <v>0</v>
      </c>
      <c r="G163" s="2">
        <v>990.3</v>
      </c>
      <c r="H163" s="2">
        <v>0</v>
      </c>
      <c r="I163" s="2">
        <v>0</v>
      </c>
      <c r="J163" s="4">
        <f t="shared" si="20"/>
        <v>140064.09999999998</v>
      </c>
      <c r="K163" s="17">
        <f>systems!O193</f>
        <v>158565.59999999998</v>
      </c>
      <c r="L163" s="13">
        <f t="shared" si="17"/>
        <v>0.88331958508024433</v>
      </c>
      <c r="Q163" s="2" t="s">
        <v>34</v>
      </c>
      <c r="U163" s="2">
        <f>(H163+K163)</f>
        <v>158565.59999999998</v>
      </c>
    </row>
    <row r="164" spans="1:21" x14ac:dyDescent="0.5">
      <c r="A164">
        <v>179</v>
      </c>
      <c r="B164">
        <v>179</v>
      </c>
      <c r="C164" t="s">
        <v>28</v>
      </c>
      <c r="D164" s="2">
        <v>41172.199999999997</v>
      </c>
      <c r="E164" s="2">
        <v>293471</v>
      </c>
      <c r="F164" s="2">
        <v>0</v>
      </c>
      <c r="G164" s="2">
        <v>0</v>
      </c>
      <c r="H164" s="2">
        <v>2624.6</v>
      </c>
      <c r="I164" s="2">
        <v>0</v>
      </c>
      <c r="J164" s="4">
        <f t="shared" si="20"/>
        <v>337267.8</v>
      </c>
      <c r="K164" s="17">
        <f>systems!O194</f>
        <v>467532.79999999999</v>
      </c>
      <c r="L164" s="13">
        <f t="shared" si="17"/>
        <v>0.72137783702020475</v>
      </c>
      <c r="Q164" s="2" t="s">
        <v>34</v>
      </c>
      <c r="U164" s="2">
        <f>(H164+K164)</f>
        <v>470157.39999999997</v>
      </c>
    </row>
    <row r="165" spans="1:21" x14ac:dyDescent="0.5">
      <c r="A165">
        <v>188</v>
      </c>
      <c r="B165">
        <v>188</v>
      </c>
      <c r="C165" t="s">
        <v>29</v>
      </c>
      <c r="D165" s="2">
        <v>1198150.8</v>
      </c>
      <c r="E165" s="2">
        <v>614589.80000000005</v>
      </c>
      <c r="F165" s="2">
        <v>300584.3</v>
      </c>
      <c r="G165" s="2">
        <v>16068.7</v>
      </c>
      <c r="H165" s="2">
        <v>2899.7</v>
      </c>
      <c r="I165" s="2">
        <v>355.3</v>
      </c>
      <c r="J165" s="4">
        <f t="shared" si="20"/>
        <v>2132648.6</v>
      </c>
      <c r="K165" s="17">
        <f>systems!O195</f>
        <v>2906801.8000000003</v>
      </c>
      <c r="L165" s="13">
        <f t="shared" si="17"/>
        <v>0.73367527156478296</v>
      </c>
      <c r="Q165" s="2" t="s">
        <v>34</v>
      </c>
      <c r="U165" s="2">
        <f>SUM(H165:M165)</f>
        <v>5042706.1336752716</v>
      </c>
    </row>
    <row r="166" spans="1:21" x14ac:dyDescent="0.5">
      <c r="A166">
        <v>189</v>
      </c>
      <c r="B166">
        <v>189</v>
      </c>
      <c r="C166" t="s">
        <v>30</v>
      </c>
      <c r="D166" s="2">
        <v>16532.599999999999</v>
      </c>
      <c r="E166" s="2">
        <v>635355.4</v>
      </c>
      <c r="F166" s="2">
        <v>56586.9</v>
      </c>
      <c r="G166" s="2">
        <v>0</v>
      </c>
      <c r="H166" s="2">
        <v>1589.2</v>
      </c>
      <c r="I166" s="2">
        <v>0</v>
      </c>
      <c r="J166" s="4">
        <f t="shared" si="20"/>
        <v>710064.1</v>
      </c>
      <c r="K166" s="17">
        <f>systems!O196</f>
        <v>769207.4</v>
      </c>
      <c r="L166" s="13">
        <f t="shared" si="17"/>
        <v>0.92311137412354582</v>
      </c>
      <c r="Q166" s="2" t="s">
        <v>34</v>
      </c>
      <c r="U166" s="2">
        <f>SUM(H166:M166)</f>
        <v>1480861.623111374</v>
      </c>
    </row>
    <row r="167" spans="1:21" x14ac:dyDescent="0.5">
      <c r="A167">
        <v>203</v>
      </c>
      <c r="B167">
        <v>203</v>
      </c>
      <c r="C167" t="s">
        <v>31</v>
      </c>
      <c r="D167" s="2">
        <v>248478.7</v>
      </c>
      <c r="E167" s="2">
        <v>3387.9</v>
      </c>
      <c r="F167" s="2">
        <v>254.9</v>
      </c>
      <c r="G167" s="2">
        <v>1992.5</v>
      </c>
      <c r="H167" s="2">
        <v>0</v>
      </c>
      <c r="I167" s="2">
        <v>0</v>
      </c>
      <c r="J167" s="4">
        <f t="shared" si="20"/>
        <v>254114</v>
      </c>
      <c r="K167" s="17">
        <f>systems!O197</f>
        <v>611657.9</v>
      </c>
      <c r="L167" s="13">
        <f t="shared" si="17"/>
        <v>0.41545118603062264</v>
      </c>
      <c r="Q167" s="2">
        <f>(D167+G167)</f>
        <v>250471.2</v>
      </c>
      <c r="U167" s="2" t="s">
        <v>34</v>
      </c>
    </row>
    <row r="168" spans="1:21" x14ac:dyDescent="0.5">
      <c r="A168">
        <v>204</v>
      </c>
      <c r="B168">
        <v>204</v>
      </c>
      <c r="C168" t="s">
        <v>32</v>
      </c>
      <c r="D168" s="2">
        <v>1340550.1000000001</v>
      </c>
      <c r="E168" s="2">
        <v>14.4</v>
      </c>
      <c r="F168" s="2">
        <v>33326</v>
      </c>
      <c r="G168" s="2">
        <v>3855</v>
      </c>
      <c r="H168" s="2">
        <v>0</v>
      </c>
      <c r="I168" s="2">
        <v>436.3</v>
      </c>
      <c r="J168" s="4">
        <f t="shared" si="20"/>
        <v>1378181.8</v>
      </c>
      <c r="K168" s="17">
        <f>systems!O198</f>
        <v>1637959.9000000001</v>
      </c>
      <c r="L168" s="13">
        <f t="shared" si="17"/>
        <v>0.84140142869187451</v>
      </c>
      <c r="Q168" s="2" t="s">
        <v>34</v>
      </c>
      <c r="U168" s="2">
        <f>(H168+K168)</f>
        <v>1637959.9000000001</v>
      </c>
    </row>
    <row r="169" spans="1:21" x14ac:dyDescent="0.5">
      <c r="D169" s="4">
        <f t="shared" ref="D169:I169" si="21">SUM(D143:D168)</f>
        <v>8103919.5999999996</v>
      </c>
      <c r="E169" s="4">
        <f t="shared" si="21"/>
        <v>5253826.1000000015</v>
      </c>
      <c r="F169" s="4">
        <f t="shared" si="21"/>
        <v>2796896.8</v>
      </c>
      <c r="G169" s="4">
        <f t="shared" si="21"/>
        <v>94950.7</v>
      </c>
      <c r="H169" s="4">
        <f t="shared" si="21"/>
        <v>40133.299999999996</v>
      </c>
      <c r="I169" s="4">
        <f t="shared" si="21"/>
        <v>32225.5</v>
      </c>
      <c r="J169" s="4">
        <f t="shared" si="20"/>
        <v>16321952</v>
      </c>
      <c r="K169" s="17">
        <f>systems!O199</f>
        <v>20588910.900000002</v>
      </c>
      <c r="L169" s="13">
        <f t="shared" si="17"/>
        <v>0.79275451136174468</v>
      </c>
      <c r="Q169" s="4">
        <f>SUM(Q143:Q168)</f>
        <v>3768051.2</v>
      </c>
      <c r="U169" s="4">
        <f>SUM(U143:U168)</f>
        <v>18362859.006736424</v>
      </c>
    </row>
    <row r="170" spans="1:21" x14ac:dyDescent="0.5">
      <c r="A170" t="s">
        <v>50</v>
      </c>
      <c r="D170" s="2"/>
      <c r="E170" s="2"/>
      <c r="F170" s="2"/>
      <c r="G170" s="2"/>
      <c r="H170" s="2"/>
      <c r="I170" s="2"/>
      <c r="J170" s="4"/>
      <c r="K170" s="17"/>
    </row>
    <row r="171" spans="1:21" x14ac:dyDescent="0.5">
      <c r="A171">
        <v>13</v>
      </c>
      <c r="B171">
        <v>13</v>
      </c>
      <c r="C171" t="s">
        <v>12</v>
      </c>
      <c r="D171" s="2">
        <v>0</v>
      </c>
      <c r="E171" s="2">
        <v>15880.9</v>
      </c>
      <c r="F171" s="2">
        <v>94765</v>
      </c>
      <c r="G171" s="2">
        <v>0</v>
      </c>
      <c r="H171" s="2">
        <v>17</v>
      </c>
      <c r="I171" s="2">
        <v>1733.1</v>
      </c>
      <c r="J171" s="4">
        <f t="shared" ref="J171:J197" si="22">SUM(D171:I171)</f>
        <v>112396</v>
      </c>
      <c r="K171" s="17">
        <f>systems!O201</f>
        <v>120870</v>
      </c>
      <c r="L171" s="13">
        <f t="shared" si="17"/>
        <v>0.92989161909489537</v>
      </c>
      <c r="Q171" s="2" t="s">
        <v>34</v>
      </c>
      <c r="U171" s="2">
        <f>SUM(H171:M171)</f>
        <v>235017.02989161911</v>
      </c>
    </row>
    <row r="172" spans="1:21" x14ac:dyDescent="0.5">
      <c r="A172">
        <v>15</v>
      </c>
      <c r="B172">
        <v>15</v>
      </c>
      <c r="C172" t="s">
        <v>13</v>
      </c>
      <c r="D172" s="2">
        <v>135323.5</v>
      </c>
      <c r="E172" s="2">
        <v>472963.9</v>
      </c>
      <c r="F172" s="2">
        <v>0</v>
      </c>
      <c r="G172" s="2">
        <v>0</v>
      </c>
      <c r="H172" s="2">
        <v>1404.8</v>
      </c>
      <c r="I172" s="2">
        <v>0</v>
      </c>
      <c r="J172" s="4">
        <f t="shared" si="22"/>
        <v>609692.20000000007</v>
      </c>
      <c r="K172" s="17">
        <f>systems!O202</f>
        <v>784446.3</v>
      </c>
      <c r="L172" s="13">
        <f t="shared" si="17"/>
        <v>0.77722617851598008</v>
      </c>
      <c r="Q172" s="2" t="s">
        <v>34</v>
      </c>
      <c r="U172" s="2">
        <f>(H172+K172)</f>
        <v>785851.10000000009</v>
      </c>
    </row>
    <row r="173" spans="1:21" x14ac:dyDescent="0.5">
      <c r="A173">
        <v>16</v>
      </c>
      <c r="B173">
        <v>16</v>
      </c>
      <c r="C173" t="s">
        <v>52</v>
      </c>
      <c r="D173" s="2">
        <v>654268.80000000005</v>
      </c>
      <c r="E173" s="2">
        <v>142</v>
      </c>
      <c r="F173" s="2">
        <v>0</v>
      </c>
      <c r="G173" s="2">
        <v>6419.2</v>
      </c>
      <c r="H173" s="2">
        <v>0</v>
      </c>
      <c r="I173" s="2">
        <v>0</v>
      </c>
      <c r="J173" s="4">
        <f t="shared" si="22"/>
        <v>660830</v>
      </c>
      <c r="K173" s="17">
        <f>systems!O203</f>
        <v>721615.50000000012</v>
      </c>
      <c r="L173" s="13">
        <f t="shared" si="17"/>
        <v>0.91576469740464261</v>
      </c>
      <c r="Q173" s="2" t="s">
        <v>34</v>
      </c>
      <c r="U173" s="2">
        <f>(H173+K173)</f>
        <v>721615.50000000012</v>
      </c>
    </row>
    <row r="174" spans="1:21" x14ac:dyDescent="0.5">
      <c r="A174">
        <v>30</v>
      </c>
      <c r="B174">
        <v>30</v>
      </c>
      <c r="C174" t="s">
        <v>53</v>
      </c>
      <c r="D174" s="2">
        <v>9206.2000000000007</v>
      </c>
      <c r="E174" s="2">
        <v>0</v>
      </c>
      <c r="F174" s="2">
        <v>0</v>
      </c>
      <c r="G174" s="2">
        <v>0</v>
      </c>
      <c r="H174" s="2">
        <v>0</v>
      </c>
      <c r="I174" s="2">
        <v>0</v>
      </c>
      <c r="J174" s="4">
        <f t="shared" si="22"/>
        <v>9206.2000000000007</v>
      </c>
      <c r="K174" s="17">
        <f>systems!O204</f>
        <v>12874.6</v>
      </c>
      <c r="L174" s="13">
        <f t="shared" si="17"/>
        <v>0.71506687586410456</v>
      </c>
      <c r="Q174" s="2" t="s">
        <v>34</v>
      </c>
      <c r="U174" s="2">
        <f>(H174+K174)</f>
        <v>12874.6</v>
      </c>
    </row>
    <row r="175" spans="1:21" x14ac:dyDescent="0.5">
      <c r="A175">
        <v>37</v>
      </c>
      <c r="B175">
        <v>37</v>
      </c>
      <c r="C175" t="s">
        <v>14</v>
      </c>
      <c r="D175" s="2">
        <v>93089.3</v>
      </c>
      <c r="E175" s="2">
        <v>318931.40000000002</v>
      </c>
      <c r="F175" s="2">
        <v>2.2999999999999998</v>
      </c>
      <c r="G175" s="2">
        <v>0</v>
      </c>
      <c r="H175" s="2">
        <v>5782.2</v>
      </c>
      <c r="I175" s="2">
        <v>0</v>
      </c>
      <c r="J175" s="4">
        <f t="shared" si="22"/>
        <v>417805.2</v>
      </c>
      <c r="K175" s="17">
        <f>systems!O205</f>
        <v>628361.19999999995</v>
      </c>
      <c r="L175" s="13">
        <f t="shared" si="17"/>
        <v>0.66491247390831909</v>
      </c>
      <c r="Q175" s="2" t="s">
        <v>34</v>
      </c>
      <c r="U175" s="2">
        <f>(H175+K175)</f>
        <v>634143.39999999991</v>
      </c>
    </row>
    <row r="176" spans="1:21" x14ac:dyDescent="0.5">
      <c r="A176">
        <v>38</v>
      </c>
      <c r="B176">
        <v>38</v>
      </c>
      <c r="C176" t="s">
        <v>54</v>
      </c>
      <c r="D176" s="2">
        <v>184633.9</v>
      </c>
      <c r="E176" s="2">
        <v>117687.4</v>
      </c>
      <c r="F176" s="2">
        <v>183084.9</v>
      </c>
      <c r="G176" s="2">
        <v>14686.1</v>
      </c>
      <c r="H176" s="2">
        <v>0</v>
      </c>
      <c r="I176" s="2">
        <v>0</v>
      </c>
      <c r="J176" s="4">
        <f t="shared" si="22"/>
        <v>500092.29999999993</v>
      </c>
      <c r="K176" s="17">
        <f>systems!O206</f>
        <v>1073895</v>
      </c>
      <c r="L176" s="13">
        <f t="shared" si="17"/>
        <v>0.46568081609468331</v>
      </c>
      <c r="Q176" s="2" t="s">
        <v>34</v>
      </c>
      <c r="U176" s="2">
        <f>(H176+K176)</f>
        <v>1073895</v>
      </c>
    </row>
    <row r="177" spans="1:21" x14ac:dyDescent="0.5">
      <c r="A177">
        <v>60</v>
      </c>
      <c r="B177">
        <v>60</v>
      </c>
      <c r="C177" t="s">
        <v>15</v>
      </c>
      <c r="D177" s="2">
        <v>300834.8</v>
      </c>
      <c r="E177" s="2">
        <v>132958.20000000001</v>
      </c>
      <c r="F177" s="2">
        <v>2881735.8</v>
      </c>
      <c r="G177" s="2">
        <v>33538.6</v>
      </c>
      <c r="H177" s="2">
        <v>0</v>
      </c>
      <c r="I177" s="2">
        <v>63285.7</v>
      </c>
      <c r="J177" s="4">
        <f t="shared" si="22"/>
        <v>3412353.1</v>
      </c>
      <c r="K177" s="17">
        <f>systems!O207</f>
        <v>3600725.5000000005</v>
      </c>
      <c r="L177" s="13">
        <f t="shared" si="17"/>
        <v>0.94768487628395992</v>
      </c>
      <c r="Q177" s="2">
        <f>SUM(D177:I177)</f>
        <v>3412353.1</v>
      </c>
      <c r="U177" s="2" t="s">
        <v>34</v>
      </c>
    </row>
    <row r="178" spans="1:21" x14ac:dyDescent="0.5">
      <c r="A178">
        <v>67</v>
      </c>
      <c r="B178">
        <v>67</v>
      </c>
      <c r="C178" t="s">
        <v>16</v>
      </c>
      <c r="D178" s="2">
        <v>139381.9</v>
      </c>
      <c r="E178" s="2">
        <v>755076.3</v>
      </c>
      <c r="F178" s="2">
        <v>0</v>
      </c>
      <c r="G178" s="2">
        <v>348.9</v>
      </c>
      <c r="H178" s="2">
        <v>5331.4</v>
      </c>
      <c r="I178" s="2">
        <v>0</v>
      </c>
      <c r="J178" s="4">
        <f t="shared" si="22"/>
        <v>900138.50000000012</v>
      </c>
      <c r="K178" s="17">
        <f>systems!O208</f>
        <v>1166399.1999999997</v>
      </c>
      <c r="L178" s="13">
        <f t="shared" si="17"/>
        <v>0.77172420900151539</v>
      </c>
      <c r="Q178" s="2">
        <f>(D178+G178)</f>
        <v>139730.79999999999</v>
      </c>
      <c r="U178" s="2" t="s">
        <v>34</v>
      </c>
    </row>
    <row r="179" spans="1:21" x14ac:dyDescent="0.5">
      <c r="A179">
        <v>69</v>
      </c>
      <c r="B179">
        <v>69</v>
      </c>
      <c r="C179" t="s">
        <v>17</v>
      </c>
      <c r="D179" s="2">
        <v>59326.3</v>
      </c>
      <c r="E179" s="2">
        <v>333408</v>
      </c>
      <c r="F179" s="2">
        <v>286.3</v>
      </c>
      <c r="G179" s="2">
        <v>2264.9</v>
      </c>
      <c r="H179" s="2">
        <v>1877.7</v>
      </c>
      <c r="I179" s="2">
        <v>0</v>
      </c>
      <c r="J179" s="4">
        <f t="shared" si="22"/>
        <v>397163.2</v>
      </c>
      <c r="K179" s="17">
        <f>systems!O209</f>
        <v>497538.9</v>
      </c>
      <c r="L179" s="13">
        <f t="shared" si="17"/>
        <v>0.79825557358429666</v>
      </c>
      <c r="Q179" s="2" t="s">
        <v>34</v>
      </c>
      <c r="U179" s="2">
        <f>(H179+K179)</f>
        <v>499416.60000000003</v>
      </c>
    </row>
    <row r="180" spans="1:21" x14ac:dyDescent="0.5">
      <c r="A180">
        <v>71</v>
      </c>
      <c r="B180">
        <v>71</v>
      </c>
      <c r="C180" t="s">
        <v>18</v>
      </c>
      <c r="D180" s="2">
        <v>27418.799999999999</v>
      </c>
      <c r="E180" s="2">
        <v>0</v>
      </c>
      <c r="F180" s="2">
        <v>0</v>
      </c>
      <c r="G180" s="2">
        <v>0</v>
      </c>
      <c r="H180" s="2">
        <v>0</v>
      </c>
      <c r="I180" s="2">
        <v>0</v>
      </c>
      <c r="J180" s="4">
        <f t="shared" si="22"/>
        <v>27418.799999999999</v>
      </c>
      <c r="K180" s="17">
        <f>systems!O210</f>
        <v>29642.6</v>
      </c>
      <c r="L180" s="13">
        <f t="shared" si="17"/>
        <v>0.92497959018439679</v>
      </c>
      <c r="Q180" s="2" t="s">
        <v>34</v>
      </c>
      <c r="U180" s="2">
        <f>(H180+K180)</f>
        <v>29642.6</v>
      </c>
    </row>
    <row r="181" spans="1:21" x14ac:dyDescent="0.5">
      <c r="A181">
        <v>72</v>
      </c>
      <c r="B181">
        <v>72</v>
      </c>
      <c r="C181" t="s">
        <v>19</v>
      </c>
      <c r="D181" s="2">
        <v>22927.4</v>
      </c>
      <c r="E181" s="2">
        <v>442.8</v>
      </c>
      <c r="F181" s="2">
        <v>0</v>
      </c>
      <c r="G181" s="2">
        <v>379.5</v>
      </c>
      <c r="H181" s="2">
        <v>0</v>
      </c>
      <c r="I181" s="2">
        <v>0</v>
      </c>
      <c r="J181" s="4">
        <f t="shared" si="22"/>
        <v>23749.7</v>
      </c>
      <c r="K181" s="17">
        <f>systems!O211</f>
        <v>37261.700000000004</v>
      </c>
      <c r="L181" s="13">
        <f t="shared" si="17"/>
        <v>0.63737564308660088</v>
      </c>
      <c r="Q181" s="2" t="s">
        <v>34</v>
      </c>
      <c r="U181" s="2">
        <f>(H181+K181)</f>
        <v>37261.700000000004</v>
      </c>
    </row>
    <row r="182" spans="1:21" x14ac:dyDescent="0.5">
      <c r="A182">
        <v>96</v>
      </c>
      <c r="B182">
        <v>96</v>
      </c>
      <c r="C182" t="s">
        <v>20</v>
      </c>
      <c r="D182" s="2">
        <v>194340.4</v>
      </c>
      <c r="E182" s="2">
        <v>469690.6</v>
      </c>
      <c r="F182" s="2">
        <v>1769039.3</v>
      </c>
      <c r="G182" s="2">
        <v>15267.6</v>
      </c>
      <c r="H182" s="2">
        <v>27554.3</v>
      </c>
      <c r="I182" s="2">
        <v>9420.4</v>
      </c>
      <c r="J182" s="4">
        <f t="shared" si="22"/>
        <v>2485312.5999999996</v>
      </c>
      <c r="K182" s="17">
        <f>systems!O212</f>
        <v>2897093.5999999996</v>
      </c>
      <c r="L182" s="13">
        <f t="shared" si="17"/>
        <v>0.8578641021470621</v>
      </c>
      <c r="Q182" s="2">
        <f>SUM(D182:I182)</f>
        <v>2485312.5999999996</v>
      </c>
      <c r="U182" s="2" t="s">
        <v>34</v>
      </c>
    </row>
    <row r="183" spans="1:21" x14ac:dyDescent="0.5">
      <c r="A183">
        <v>121</v>
      </c>
      <c r="B183">
        <v>121</v>
      </c>
      <c r="C183" t="s">
        <v>21</v>
      </c>
      <c r="D183" s="2">
        <v>534877.80000000005</v>
      </c>
      <c r="E183" s="2">
        <v>0</v>
      </c>
      <c r="F183" s="2">
        <v>0</v>
      </c>
      <c r="G183" s="2">
        <v>120.4</v>
      </c>
      <c r="H183" s="2">
        <v>0</v>
      </c>
      <c r="I183" s="2">
        <v>0</v>
      </c>
      <c r="J183" s="4">
        <f t="shared" si="22"/>
        <v>534998.20000000007</v>
      </c>
      <c r="K183" s="17">
        <f>systems!O213</f>
        <v>593954.50000000012</v>
      </c>
      <c r="L183" s="13">
        <f t="shared" si="17"/>
        <v>0.90073936639927799</v>
      </c>
      <c r="Q183" s="2">
        <f>(D183+G183)</f>
        <v>534998.20000000007</v>
      </c>
      <c r="U183" s="2" t="s">
        <v>34</v>
      </c>
    </row>
    <row r="184" spans="1:21" x14ac:dyDescent="0.5">
      <c r="A184">
        <v>126</v>
      </c>
      <c r="B184">
        <v>126</v>
      </c>
      <c r="C184" t="s">
        <v>22</v>
      </c>
      <c r="D184" s="2">
        <v>368169.1</v>
      </c>
      <c r="E184" s="2">
        <v>157870.6</v>
      </c>
      <c r="F184" s="2">
        <v>0</v>
      </c>
      <c r="G184" s="2">
        <v>15545</v>
      </c>
      <c r="H184" s="2">
        <v>2900.4</v>
      </c>
      <c r="I184" s="2">
        <v>0</v>
      </c>
      <c r="J184" s="4">
        <f t="shared" si="22"/>
        <v>544485.1</v>
      </c>
      <c r="K184" s="17">
        <f>systems!O214</f>
        <v>1124824.3</v>
      </c>
      <c r="L184" s="13">
        <f t="shared" si="17"/>
        <v>0.48406235533851816</v>
      </c>
      <c r="Q184" s="2" t="s">
        <v>34</v>
      </c>
      <c r="U184" s="2">
        <f>(H184+K184)</f>
        <v>1127724.7</v>
      </c>
    </row>
    <row r="185" spans="1:21" x14ac:dyDescent="0.5">
      <c r="A185">
        <v>127</v>
      </c>
      <c r="B185">
        <v>127</v>
      </c>
      <c r="C185" t="s">
        <v>55</v>
      </c>
      <c r="D185" s="2">
        <v>5115.7</v>
      </c>
      <c r="E185" s="2">
        <v>0</v>
      </c>
      <c r="F185" s="2">
        <v>0</v>
      </c>
      <c r="G185" s="2">
        <v>1334.7</v>
      </c>
      <c r="H185" s="2">
        <v>0</v>
      </c>
      <c r="I185" s="2">
        <v>0</v>
      </c>
      <c r="J185" s="4">
        <f t="shared" si="22"/>
        <v>6450.4</v>
      </c>
      <c r="K185" s="17">
        <f>systems!O215</f>
        <v>9743.4000000000015</v>
      </c>
      <c r="L185" s="13">
        <f t="shared" si="17"/>
        <v>0.66202762895909006</v>
      </c>
      <c r="Q185" s="2" t="s">
        <v>34</v>
      </c>
      <c r="U185" s="2">
        <f>(H185+K185)</f>
        <v>9743.4000000000015</v>
      </c>
    </row>
    <row r="186" spans="1:21" x14ac:dyDescent="0.5">
      <c r="A186">
        <v>131</v>
      </c>
      <c r="B186">
        <v>131</v>
      </c>
      <c r="C186" t="s">
        <v>23</v>
      </c>
      <c r="D186" s="2">
        <v>1404363.1</v>
      </c>
      <c r="E186" s="2">
        <v>207751.1</v>
      </c>
      <c r="F186" s="2">
        <v>31484.7</v>
      </c>
      <c r="G186" s="2">
        <v>3280.5</v>
      </c>
      <c r="H186" s="2">
        <v>3200.4</v>
      </c>
      <c r="I186" s="2">
        <v>0</v>
      </c>
      <c r="J186" s="4">
        <f t="shared" si="22"/>
        <v>1650079.8</v>
      </c>
      <c r="K186" s="17">
        <f>systems!O216</f>
        <v>1796143.0999999999</v>
      </c>
      <c r="L186" s="13">
        <f t="shared" si="17"/>
        <v>0.91867947492602353</v>
      </c>
      <c r="Q186" s="2" t="s">
        <v>34</v>
      </c>
      <c r="U186" s="2">
        <f>(H186+K186)</f>
        <v>1799343.4999999998</v>
      </c>
    </row>
    <row r="187" spans="1:21" x14ac:dyDescent="0.5">
      <c r="A187">
        <v>134</v>
      </c>
      <c r="B187">
        <v>134</v>
      </c>
      <c r="C187" t="s">
        <v>24</v>
      </c>
      <c r="D187" s="2">
        <v>3443</v>
      </c>
      <c r="E187" s="2">
        <v>0</v>
      </c>
      <c r="F187" s="2">
        <v>0</v>
      </c>
      <c r="G187" s="2">
        <v>18.100000000000001</v>
      </c>
      <c r="H187" s="2">
        <v>0</v>
      </c>
      <c r="I187" s="2">
        <v>0</v>
      </c>
      <c r="J187" s="4">
        <f t="shared" si="22"/>
        <v>3461.1</v>
      </c>
      <c r="K187" s="17">
        <f>systems!O217</f>
        <v>7952.8</v>
      </c>
      <c r="L187" s="13">
        <f t="shared" si="17"/>
        <v>0.43520521074338597</v>
      </c>
      <c r="Q187" s="2" t="s">
        <v>34</v>
      </c>
      <c r="U187" s="2">
        <f>(H187+K187)</f>
        <v>7952.8</v>
      </c>
    </row>
    <row r="188" spans="1:21" x14ac:dyDescent="0.5">
      <c r="A188">
        <v>135</v>
      </c>
      <c r="B188">
        <v>135</v>
      </c>
      <c r="C188" t="s">
        <v>25</v>
      </c>
      <c r="D188" s="2">
        <v>2540768.2999999998</v>
      </c>
      <c r="E188" s="2">
        <v>2896325.3</v>
      </c>
      <c r="F188" s="2">
        <v>16636.2</v>
      </c>
      <c r="G188" s="2">
        <v>33274</v>
      </c>
      <c r="H188" s="2">
        <v>13194.9</v>
      </c>
      <c r="I188" s="2">
        <v>0</v>
      </c>
      <c r="J188" s="4">
        <f t="shared" si="22"/>
        <v>5500198.7000000002</v>
      </c>
      <c r="K188" s="17">
        <f>systems!O218</f>
        <v>6139555.7999999998</v>
      </c>
      <c r="L188" s="13">
        <f t="shared" si="17"/>
        <v>0.8958626453073365</v>
      </c>
      <c r="Q188" s="2" t="s">
        <v>34</v>
      </c>
      <c r="U188" s="2">
        <f>(H188+K188)</f>
        <v>6152750.7000000002</v>
      </c>
    </row>
    <row r="189" spans="1:21" x14ac:dyDescent="0.5">
      <c r="A189">
        <v>156</v>
      </c>
      <c r="B189">
        <v>156</v>
      </c>
      <c r="C189" t="s">
        <v>26</v>
      </c>
      <c r="D189" s="2">
        <v>0</v>
      </c>
      <c r="E189" s="2">
        <v>9881.6</v>
      </c>
      <c r="F189" s="2">
        <v>71859.199999999997</v>
      </c>
      <c r="G189" s="2">
        <v>0</v>
      </c>
      <c r="H189" s="2">
        <v>0</v>
      </c>
      <c r="I189" s="2">
        <v>836.7</v>
      </c>
      <c r="J189" s="4">
        <f t="shared" si="22"/>
        <v>82577.5</v>
      </c>
      <c r="K189" s="17">
        <f>systems!O219</f>
        <v>89677.7</v>
      </c>
      <c r="L189" s="13">
        <f t="shared" si="17"/>
        <v>0.92082535569043367</v>
      </c>
      <c r="Q189" s="2" t="s">
        <v>34</v>
      </c>
      <c r="U189" s="2">
        <f>SUM(H189:M189)</f>
        <v>173092.82082535568</v>
      </c>
    </row>
    <row r="190" spans="1:21" x14ac:dyDescent="0.5">
      <c r="A190">
        <v>159</v>
      </c>
      <c r="B190">
        <v>159</v>
      </c>
      <c r="C190" t="s">
        <v>27</v>
      </c>
      <c r="D190" s="2">
        <v>277532.5</v>
      </c>
      <c r="E190" s="2">
        <v>0</v>
      </c>
      <c r="F190" s="2">
        <v>0</v>
      </c>
      <c r="G190" s="2">
        <v>7766.6</v>
      </c>
      <c r="H190" s="2">
        <v>0</v>
      </c>
      <c r="I190" s="2">
        <v>0</v>
      </c>
      <c r="J190" s="4">
        <f t="shared" si="22"/>
        <v>285299.09999999998</v>
      </c>
      <c r="K190" s="17">
        <f>systems!O220</f>
        <v>318662.3</v>
      </c>
      <c r="L190" s="13">
        <f t="shared" si="17"/>
        <v>0.8953023310256657</v>
      </c>
      <c r="Q190" s="2">
        <f>(D190+G190)</f>
        <v>285299.09999999998</v>
      </c>
      <c r="U190" s="2" t="s">
        <v>34</v>
      </c>
    </row>
    <row r="191" spans="1:21" x14ac:dyDescent="0.5">
      <c r="A191">
        <v>178</v>
      </c>
      <c r="B191">
        <v>178</v>
      </c>
      <c r="C191" t="s">
        <v>56</v>
      </c>
      <c r="D191" s="2">
        <v>136307.20000000001</v>
      </c>
      <c r="E191" s="2">
        <v>0</v>
      </c>
      <c r="F191" s="2">
        <v>0</v>
      </c>
      <c r="G191" s="2">
        <v>1504.9</v>
      </c>
      <c r="H191" s="2">
        <v>0</v>
      </c>
      <c r="I191" s="2">
        <v>0</v>
      </c>
      <c r="J191" s="4">
        <f t="shared" si="22"/>
        <v>137812.1</v>
      </c>
      <c r="K191" s="17">
        <f>systems!O221</f>
        <v>160944.4</v>
      </c>
      <c r="L191" s="13">
        <f t="shared" si="17"/>
        <v>0.85627148257410646</v>
      </c>
      <c r="Q191" s="2" t="s">
        <v>34</v>
      </c>
      <c r="U191" s="2">
        <f>(H191+K191)</f>
        <v>160944.4</v>
      </c>
    </row>
    <row r="192" spans="1:21" x14ac:dyDescent="0.5">
      <c r="A192">
        <v>179</v>
      </c>
      <c r="B192">
        <v>179</v>
      </c>
      <c r="C192" t="s">
        <v>28</v>
      </c>
      <c r="D192" s="2">
        <v>45033</v>
      </c>
      <c r="E192" s="2">
        <v>333358.7</v>
      </c>
      <c r="F192" s="2">
        <v>0</v>
      </c>
      <c r="G192" s="2">
        <v>0</v>
      </c>
      <c r="H192" s="2">
        <v>2110.3000000000002</v>
      </c>
      <c r="I192" s="2">
        <v>0</v>
      </c>
      <c r="J192" s="4">
        <f t="shared" si="22"/>
        <v>380502</v>
      </c>
      <c r="K192" s="17">
        <f>systems!O222</f>
        <v>530280.9</v>
      </c>
      <c r="L192" s="13">
        <f t="shared" si="17"/>
        <v>0.71754800144602604</v>
      </c>
      <c r="Q192" s="2" t="s">
        <v>34</v>
      </c>
      <c r="U192" s="2">
        <f>(H192+K192)</f>
        <v>532391.20000000007</v>
      </c>
    </row>
    <row r="193" spans="1:21" x14ac:dyDescent="0.5">
      <c r="A193">
        <v>188</v>
      </c>
      <c r="B193">
        <v>188</v>
      </c>
      <c r="C193" t="s">
        <v>29</v>
      </c>
      <c r="D193" s="2">
        <v>1276660.6000000001</v>
      </c>
      <c r="E193" s="2">
        <v>806024.8</v>
      </c>
      <c r="F193" s="2">
        <v>524520.80000000005</v>
      </c>
      <c r="G193" s="2">
        <v>25435</v>
      </c>
      <c r="H193" s="2">
        <v>7532.7</v>
      </c>
      <c r="I193" s="2">
        <v>1505.9</v>
      </c>
      <c r="J193" s="4">
        <f t="shared" si="22"/>
        <v>2641679.8000000003</v>
      </c>
      <c r="K193" s="17">
        <f>systems!O223</f>
        <v>3681717.3</v>
      </c>
      <c r="L193" s="13">
        <f t="shared" si="17"/>
        <v>0.71751293886687073</v>
      </c>
      <c r="Q193" s="2" t="s">
        <v>34</v>
      </c>
      <c r="U193" s="2">
        <f>SUM(H193:M193)</f>
        <v>6332436.4175129393</v>
      </c>
    </row>
    <row r="194" spans="1:21" x14ac:dyDescent="0.5">
      <c r="A194">
        <v>189</v>
      </c>
      <c r="B194">
        <v>189</v>
      </c>
      <c r="C194" t="s">
        <v>30</v>
      </c>
      <c r="D194" s="2">
        <v>19297.8</v>
      </c>
      <c r="E194" s="2">
        <v>972438.2</v>
      </c>
      <c r="F194" s="2">
        <v>94786.5</v>
      </c>
      <c r="G194" s="2">
        <v>0</v>
      </c>
      <c r="H194" s="2">
        <v>2031.8</v>
      </c>
      <c r="I194" s="2">
        <v>0</v>
      </c>
      <c r="J194" s="4">
        <f t="shared" si="22"/>
        <v>1088554.3</v>
      </c>
      <c r="K194" s="17">
        <f>systems!O224</f>
        <v>1176479.9000000001</v>
      </c>
      <c r="L194" s="13">
        <f t="shared" si="17"/>
        <v>0.92526383153677327</v>
      </c>
      <c r="Q194" s="2" t="s">
        <v>34</v>
      </c>
      <c r="U194" s="2">
        <f>SUM(H194:M194)</f>
        <v>2267066.9252638314</v>
      </c>
    </row>
    <row r="195" spans="1:21" x14ac:dyDescent="0.5">
      <c r="A195">
        <v>203</v>
      </c>
      <c r="B195">
        <v>203</v>
      </c>
      <c r="C195" t="s">
        <v>31</v>
      </c>
      <c r="D195" s="2">
        <v>483714</v>
      </c>
      <c r="E195" s="2">
        <v>6700.4</v>
      </c>
      <c r="F195" s="2">
        <v>355.9</v>
      </c>
      <c r="G195" s="2">
        <v>3820</v>
      </c>
      <c r="H195" s="2">
        <v>0</v>
      </c>
      <c r="I195" s="2">
        <v>0</v>
      </c>
      <c r="J195" s="4">
        <f t="shared" si="22"/>
        <v>494590.30000000005</v>
      </c>
      <c r="K195" s="17">
        <f>systems!O225</f>
        <v>1162005.6999999997</v>
      </c>
      <c r="L195" s="13">
        <f t="shared" si="17"/>
        <v>0.42563500333948462</v>
      </c>
      <c r="Q195" s="2">
        <f>(D195+G195)</f>
        <v>487534</v>
      </c>
      <c r="U195" s="2" t="s">
        <v>34</v>
      </c>
    </row>
    <row r="196" spans="1:21" x14ac:dyDescent="0.5">
      <c r="A196">
        <v>204</v>
      </c>
      <c r="B196">
        <v>204</v>
      </c>
      <c r="C196" t="s">
        <v>32</v>
      </c>
      <c r="D196" s="2">
        <v>1103573.8999999999</v>
      </c>
      <c r="E196" s="2">
        <v>4</v>
      </c>
      <c r="F196" s="2">
        <v>27264.7</v>
      </c>
      <c r="G196" s="2">
        <v>6070.9</v>
      </c>
      <c r="H196" s="2">
        <v>0</v>
      </c>
      <c r="I196" s="2">
        <v>505</v>
      </c>
      <c r="J196" s="4">
        <f t="shared" si="22"/>
        <v>1137418.4999999998</v>
      </c>
      <c r="K196" s="17">
        <f>systems!O226</f>
        <v>1356481.5999999996</v>
      </c>
      <c r="L196" s="13">
        <f t="shared" ref="L196:L259" si="23">J196/K196</f>
        <v>0.83850639772776869</v>
      </c>
      <c r="Q196" s="2" t="s">
        <v>34</v>
      </c>
      <c r="U196" s="2">
        <f>(H196+K196)</f>
        <v>1356481.5999999996</v>
      </c>
    </row>
    <row r="197" spans="1:21" x14ac:dyDescent="0.5">
      <c r="D197" s="4">
        <f t="shared" ref="D197:I197" si="24">SUM(D171:D196)</f>
        <v>10019607.300000001</v>
      </c>
      <c r="E197" s="4">
        <f t="shared" si="24"/>
        <v>8007536.2000000002</v>
      </c>
      <c r="F197" s="4">
        <f t="shared" si="24"/>
        <v>5695821.6000000006</v>
      </c>
      <c r="G197" s="4">
        <f t="shared" si="24"/>
        <v>171074.9</v>
      </c>
      <c r="H197" s="4">
        <f t="shared" si="24"/>
        <v>72937.900000000009</v>
      </c>
      <c r="I197" s="4">
        <f t="shared" si="24"/>
        <v>77286.799999999988</v>
      </c>
      <c r="J197" s="4">
        <f t="shared" si="22"/>
        <v>24044264.699999999</v>
      </c>
      <c r="K197" s="17">
        <f>systems!O227</f>
        <v>29719147.800000001</v>
      </c>
      <c r="L197" s="13">
        <f t="shared" si="23"/>
        <v>0.80904960202122611</v>
      </c>
      <c r="Q197" s="4">
        <f>SUM(Q171:Q196)</f>
        <v>7345227.7999999998</v>
      </c>
      <c r="U197" s="4">
        <f>SUM(U171:U196)</f>
        <v>23949645.993493743</v>
      </c>
    </row>
    <row r="198" spans="1:21" x14ac:dyDescent="0.5">
      <c r="A198" t="s">
        <v>51</v>
      </c>
      <c r="D198" s="2"/>
      <c r="E198" s="2"/>
      <c r="F198" s="2"/>
      <c r="G198" s="2"/>
      <c r="H198" s="2"/>
      <c r="I198" s="2"/>
      <c r="J198" s="4"/>
      <c r="K198" s="17"/>
    </row>
    <row r="199" spans="1:21" x14ac:dyDescent="0.5">
      <c r="A199">
        <v>13</v>
      </c>
      <c r="B199">
        <v>13</v>
      </c>
      <c r="C199" t="s">
        <v>12</v>
      </c>
      <c r="D199" s="2">
        <v>0</v>
      </c>
      <c r="E199" s="2">
        <v>1046.9000000000001</v>
      </c>
      <c r="F199" s="2">
        <v>1008.5</v>
      </c>
      <c r="G199" s="2">
        <v>0</v>
      </c>
      <c r="H199" s="2">
        <v>380.1</v>
      </c>
      <c r="I199" s="2">
        <v>1121.5999999999999</v>
      </c>
      <c r="J199" s="4">
        <f t="shared" ref="J199:J225" si="25">SUM(D199:I199)</f>
        <v>3557.1</v>
      </c>
      <c r="K199" s="17">
        <f>systems!O229</f>
        <v>5546</v>
      </c>
      <c r="L199" s="13">
        <f t="shared" si="23"/>
        <v>0.64138117562206998</v>
      </c>
    </row>
    <row r="200" spans="1:21" x14ac:dyDescent="0.5">
      <c r="A200">
        <v>15</v>
      </c>
      <c r="B200">
        <v>15</v>
      </c>
      <c r="C200" t="s">
        <v>13</v>
      </c>
      <c r="D200" s="2">
        <v>1051.4000000000001</v>
      </c>
      <c r="E200" s="2">
        <v>920.3</v>
      </c>
      <c r="F200" s="2">
        <v>0</v>
      </c>
      <c r="G200" s="2">
        <v>0</v>
      </c>
      <c r="H200" s="2">
        <v>911.6</v>
      </c>
      <c r="I200" s="2">
        <v>0</v>
      </c>
      <c r="J200" s="4">
        <f t="shared" si="25"/>
        <v>2883.3</v>
      </c>
      <c r="K200" s="17">
        <f>systems!O230</f>
        <v>7109.9000000000005</v>
      </c>
      <c r="L200" s="13">
        <f t="shared" si="23"/>
        <v>0.40553312986117945</v>
      </c>
    </row>
    <row r="201" spans="1:21" x14ac:dyDescent="0.5">
      <c r="A201">
        <v>16</v>
      </c>
      <c r="B201">
        <v>16</v>
      </c>
      <c r="C201" t="s">
        <v>52</v>
      </c>
      <c r="D201" s="2">
        <v>995.8</v>
      </c>
      <c r="E201" s="2">
        <v>243.5</v>
      </c>
      <c r="F201" s="2">
        <v>0</v>
      </c>
      <c r="G201" s="2">
        <v>2587.8000000000002</v>
      </c>
      <c r="H201" s="2">
        <v>0</v>
      </c>
      <c r="I201" s="2">
        <v>0</v>
      </c>
      <c r="J201" s="4">
        <f t="shared" si="25"/>
        <v>3827.1000000000004</v>
      </c>
      <c r="K201" s="17">
        <f>systems!O231</f>
        <v>7052.8000000000011</v>
      </c>
      <c r="L201" s="13">
        <f t="shared" si="23"/>
        <v>0.54263554900181488</v>
      </c>
    </row>
    <row r="202" spans="1:21" x14ac:dyDescent="0.5">
      <c r="A202">
        <v>30</v>
      </c>
      <c r="B202">
        <v>30</v>
      </c>
      <c r="C202" t="s">
        <v>53</v>
      </c>
      <c r="D202" s="2">
        <v>48.2</v>
      </c>
      <c r="E202" s="2">
        <v>0</v>
      </c>
      <c r="F202" s="2">
        <v>0</v>
      </c>
      <c r="G202" s="2">
        <v>0</v>
      </c>
      <c r="H202" s="2">
        <v>0</v>
      </c>
      <c r="I202" s="2">
        <v>0</v>
      </c>
      <c r="J202" s="4">
        <f t="shared" si="25"/>
        <v>48.2</v>
      </c>
      <c r="K202" s="17">
        <f>systems!O232</f>
        <v>142.5</v>
      </c>
      <c r="L202" s="13">
        <f t="shared" si="23"/>
        <v>0.33824561403508774</v>
      </c>
    </row>
    <row r="203" spans="1:21" x14ac:dyDescent="0.5">
      <c r="A203">
        <v>37</v>
      </c>
      <c r="B203">
        <v>37</v>
      </c>
      <c r="C203" t="s">
        <v>14</v>
      </c>
      <c r="D203" s="2">
        <v>2118.6999999999998</v>
      </c>
      <c r="E203" s="2">
        <v>2173.1</v>
      </c>
      <c r="F203" s="2">
        <v>1046.2</v>
      </c>
      <c r="G203" s="2">
        <v>0</v>
      </c>
      <c r="H203" s="2">
        <v>2235.6999999999998</v>
      </c>
      <c r="I203" s="2">
        <v>0</v>
      </c>
      <c r="J203" s="4">
        <f t="shared" si="25"/>
        <v>7573.6999999999989</v>
      </c>
      <c r="K203" s="17">
        <f>systems!O233</f>
        <v>14858.400000000001</v>
      </c>
      <c r="L203" s="13">
        <f t="shared" si="23"/>
        <v>0.50972513864211477</v>
      </c>
    </row>
    <row r="204" spans="1:21" x14ac:dyDescent="0.5">
      <c r="A204">
        <v>38</v>
      </c>
      <c r="B204">
        <v>38</v>
      </c>
      <c r="C204" t="s">
        <v>54</v>
      </c>
      <c r="D204" s="2">
        <v>1917</v>
      </c>
      <c r="E204" s="2">
        <v>1672.9</v>
      </c>
      <c r="F204" s="2">
        <v>1912.6</v>
      </c>
      <c r="G204" s="2">
        <v>3811.5</v>
      </c>
      <c r="H204" s="2">
        <v>0</v>
      </c>
      <c r="I204" s="2">
        <v>0</v>
      </c>
      <c r="J204" s="4">
        <f t="shared" si="25"/>
        <v>9314</v>
      </c>
      <c r="K204" s="17">
        <f>systems!O234</f>
        <v>16754.300000000003</v>
      </c>
      <c r="L204" s="13">
        <f t="shared" si="23"/>
        <v>0.55591698847460047</v>
      </c>
    </row>
    <row r="205" spans="1:21" x14ac:dyDescent="0.5">
      <c r="A205">
        <v>60</v>
      </c>
      <c r="B205">
        <v>60</v>
      </c>
      <c r="C205" t="s">
        <v>15</v>
      </c>
      <c r="D205" s="2">
        <v>422.8</v>
      </c>
      <c r="E205" s="2">
        <v>470.6</v>
      </c>
      <c r="F205" s="2">
        <v>1089.4000000000001</v>
      </c>
      <c r="G205" s="2">
        <v>1862</v>
      </c>
      <c r="H205" s="2">
        <v>0</v>
      </c>
      <c r="I205" s="2">
        <v>2069.1999999999998</v>
      </c>
      <c r="J205" s="4">
        <f t="shared" si="25"/>
        <v>5914</v>
      </c>
      <c r="K205" s="17">
        <f>systems!O235</f>
        <v>8455.4000000000015</v>
      </c>
      <c r="L205" s="13">
        <f t="shared" si="23"/>
        <v>0.69943468079570437</v>
      </c>
    </row>
    <row r="206" spans="1:21" x14ac:dyDescent="0.5">
      <c r="A206">
        <v>67</v>
      </c>
      <c r="B206">
        <v>67</v>
      </c>
      <c r="C206" t="s">
        <v>16</v>
      </c>
      <c r="D206" s="2">
        <v>1693.7</v>
      </c>
      <c r="E206" s="2">
        <v>1451.7</v>
      </c>
      <c r="F206" s="2">
        <v>0</v>
      </c>
      <c r="G206" s="2">
        <v>1527.9</v>
      </c>
      <c r="H206" s="2">
        <v>1731.6</v>
      </c>
      <c r="I206" s="2">
        <v>0</v>
      </c>
      <c r="J206" s="4">
        <f t="shared" si="25"/>
        <v>6404.9</v>
      </c>
      <c r="K206" s="17">
        <f>systems!O236</f>
        <v>11684.4</v>
      </c>
      <c r="L206" s="13">
        <f t="shared" si="23"/>
        <v>0.5481582280647701</v>
      </c>
    </row>
    <row r="207" spans="1:21" x14ac:dyDescent="0.5">
      <c r="A207">
        <v>69</v>
      </c>
      <c r="B207">
        <v>69</v>
      </c>
      <c r="C207" t="s">
        <v>17</v>
      </c>
      <c r="D207" s="2">
        <v>657.8</v>
      </c>
      <c r="E207" s="2">
        <v>870.3</v>
      </c>
      <c r="F207" s="2">
        <v>893.1</v>
      </c>
      <c r="G207" s="2">
        <v>1730.6</v>
      </c>
      <c r="H207" s="2">
        <v>1136.9000000000001</v>
      </c>
      <c r="I207" s="2">
        <v>0</v>
      </c>
      <c r="J207" s="4">
        <f t="shared" si="25"/>
        <v>5288.6999999999989</v>
      </c>
      <c r="K207" s="17">
        <f>systems!O237</f>
        <v>7962.0999999999985</v>
      </c>
      <c r="L207" s="13">
        <f t="shared" si="23"/>
        <v>0.6642343100438326</v>
      </c>
    </row>
    <row r="208" spans="1:21" x14ac:dyDescent="0.5">
      <c r="A208">
        <v>71</v>
      </c>
      <c r="B208">
        <v>71</v>
      </c>
      <c r="C208" t="s">
        <v>18</v>
      </c>
      <c r="D208" s="2">
        <v>843</v>
      </c>
      <c r="E208" s="2">
        <v>0</v>
      </c>
      <c r="F208" s="2">
        <v>0</v>
      </c>
      <c r="G208" s="2">
        <v>0</v>
      </c>
      <c r="H208" s="2">
        <v>0</v>
      </c>
      <c r="I208" s="2">
        <v>0</v>
      </c>
      <c r="J208" s="4">
        <f t="shared" si="25"/>
        <v>843</v>
      </c>
      <c r="K208" s="17">
        <f>systems!O238</f>
        <v>1973.4</v>
      </c>
      <c r="L208" s="13">
        <f t="shared" si="23"/>
        <v>0.42718151413803584</v>
      </c>
    </row>
    <row r="209" spans="1:12" x14ac:dyDescent="0.5">
      <c r="A209">
        <v>72</v>
      </c>
      <c r="B209">
        <v>72</v>
      </c>
      <c r="C209" t="s">
        <v>19</v>
      </c>
      <c r="D209" s="2">
        <v>2420.1999999999998</v>
      </c>
      <c r="E209" s="2">
        <v>1999.9</v>
      </c>
      <c r="F209" s="2">
        <v>0</v>
      </c>
      <c r="G209" s="2">
        <v>2512.3000000000002</v>
      </c>
      <c r="H209" s="2">
        <v>0</v>
      </c>
      <c r="I209" s="2">
        <v>0</v>
      </c>
      <c r="J209" s="4">
        <f t="shared" si="25"/>
        <v>6932.4000000000005</v>
      </c>
      <c r="K209" s="17">
        <f>systems!O239</f>
        <v>12828.400000000001</v>
      </c>
      <c r="L209" s="13">
        <f t="shared" si="23"/>
        <v>0.54039474915032271</v>
      </c>
    </row>
    <row r="210" spans="1:12" x14ac:dyDescent="0.5">
      <c r="A210">
        <v>96</v>
      </c>
      <c r="B210">
        <v>96</v>
      </c>
      <c r="C210" t="s">
        <v>20</v>
      </c>
      <c r="D210" s="2">
        <v>315.60000000000002</v>
      </c>
      <c r="E210" s="2">
        <v>1727.9</v>
      </c>
      <c r="F210" s="2">
        <v>1454.2</v>
      </c>
      <c r="G210" s="2">
        <v>1044.5</v>
      </c>
      <c r="H210" s="2">
        <v>2432.6999999999998</v>
      </c>
      <c r="I210" s="2">
        <v>1451.2</v>
      </c>
      <c r="J210" s="4">
        <f t="shared" si="25"/>
        <v>8426.1</v>
      </c>
      <c r="K210" s="17">
        <f>systems!O240</f>
        <v>10693.300000000001</v>
      </c>
      <c r="L210" s="13">
        <f t="shared" si="23"/>
        <v>0.78797938896318254</v>
      </c>
    </row>
    <row r="211" spans="1:12" x14ac:dyDescent="0.5">
      <c r="A211">
        <v>121</v>
      </c>
      <c r="B211">
        <v>121</v>
      </c>
      <c r="C211" t="s">
        <v>21</v>
      </c>
      <c r="D211" s="2">
        <v>1216.7</v>
      </c>
      <c r="E211" s="2">
        <v>0</v>
      </c>
      <c r="F211" s="2">
        <v>0</v>
      </c>
      <c r="G211" s="2">
        <v>803</v>
      </c>
      <c r="H211" s="2">
        <v>0</v>
      </c>
      <c r="I211" s="2">
        <v>0</v>
      </c>
      <c r="J211" s="4">
        <f t="shared" si="25"/>
        <v>2019.7</v>
      </c>
      <c r="K211" s="17">
        <f>systems!O241</f>
        <v>3969.5</v>
      </c>
      <c r="L211" s="13">
        <f t="shared" si="23"/>
        <v>0.50880463534450182</v>
      </c>
    </row>
    <row r="212" spans="1:12" x14ac:dyDescent="0.5">
      <c r="A212">
        <v>126</v>
      </c>
      <c r="B212">
        <v>126</v>
      </c>
      <c r="C212" t="s">
        <v>22</v>
      </c>
      <c r="D212" s="2">
        <v>527</v>
      </c>
      <c r="E212" s="2">
        <v>632.4</v>
      </c>
      <c r="F212" s="2">
        <v>0</v>
      </c>
      <c r="G212" s="2">
        <v>1235.2</v>
      </c>
      <c r="H212" s="2">
        <v>1124.2</v>
      </c>
      <c r="I212" s="2">
        <v>0</v>
      </c>
      <c r="J212" s="4">
        <f t="shared" si="25"/>
        <v>3518.8</v>
      </c>
      <c r="K212" s="17">
        <f>systems!O242</f>
        <v>5999.2999999999993</v>
      </c>
      <c r="L212" s="13">
        <f t="shared" si="23"/>
        <v>0.58653509576117224</v>
      </c>
    </row>
    <row r="213" spans="1:12" x14ac:dyDescent="0.5">
      <c r="A213">
        <v>127</v>
      </c>
      <c r="B213">
        <v>127</v>
      </c>
      <c r="C213" t="s">
        <v>55</v>
      </c>
      <c r="D213" s="2">
        <v>310.39999999999998</v>
      </c>
      <c r="E213" s="2">
        <v>0</v>
      </c>
      <c r="F213" s="2">
        <v>0</v>
      </c>
      <c r="G213" s="2">
        <v>424</v>
      </c>
      <c r="H213" s="2">
        <v>0</v>
      </c>
      <c r="I213" s="2">
        <v>0</v>
      </c>
      <c r="J213" s="4">
        <f t="shared" si="25"/>
        <v>734.4</v>
      </c>
      <c r="K213" s="17">
        <f>systems!O243</f>
        <v>800.80000000000007</v>
      </c>
      <c r="L213" s="13">
        <f t="shared" si="23"/>
        <v>0.917082917082917</v>
      </c>
    </row>
    <row r="214" spans="1:12" x14ac:dyDescent="0.5">
      <c r="A214">
        <v>131</v>
      </c>
      <c r="B214">
        <v>131</v>
      </c>
      <c r="C214" t="s">
        <v>23</v>
      </c>
      <c r="D214" s="2">
        <v>996.5</v>
      </c>
      <c r="E214" s="2">
        <v>948.9</v>
      </c>
      <c r="F214" s="2">
        <v>548.6</v>
      </c>
      <c r="G214" s="2">
        <v>1002.6</v>
      </c>
      <c r="H214" s="2">
        <v>1004.6</v>
      </c>
      <c r="I214" s="2">
        <v>0</v>
      </c>
      <c r="J214" s="4">
        <f t="shared" si="25"/>
        <v>4501.2</v>
      </c>
      <c r="K214" s="17">
        <f>systems!O244</f>
        <v>5719.9000000000005</v>
      </c>
      <c r="L214" s="13">
        <f t="shared" si="23"/>
        <v>0.7869368345600446</v>
      </c>
    </row>
    <row r="215" spans="1:12" x14ac:dyDescent="0.5">
      <c r="A215">
        <v>134</v>
      </c>
      <c r="B215">
        <v>134</v>
      </c>
      <c r="C215" t="s">
        <v>24</v>
      </c>
      <c r="D215" s="2">
        <v>1134.5999999999999</v>
      </c>
      <c r="E215" s="2">
        <v>0</v>
      </c>
      <c r="F215" s="2">
        <v>0</v>
      </c>
      <c r="G215" s="2">
        <v>1897.6</v>
      </c>
      <c r="H215" s="2">
        <v>0</v>
      </c>
      <c r="I215" s="2">
        <v>0</v>
      </c>
      <c r="J215" s="4">
        <f t="shared" si="25"/>
        <v>3032.2</v>
      </c>
      <c r="K215" s="17">
        <f>systems!O245</f>
        <v>4227.3</v>
      </c>
      <c r="L215" s="13">
        <f t="shared" si="23"/>
        <v>0.7172899959785205</v>
      </c>
    </row>
    <row r="216" spans="1:12" x14ac:dyDescent="0.5">
      <c r="A216">
        <v>135</v>
      </c>
      <c r="B216">
        <v>135</v>
      </c>
      <c r="C216" t="s">
        <v>25</v>
      </c>
      <c r="D216" s="2">
        <v>1221.7</v>
      </c>
      <c r="E216" s="2">
        <v>1553.4</v>
      </c>
      <c r="F216" s="2">
        <v>1509.9</v>
      </c>
      <c r="G216" s="2">
        <v>1640</v>
      </c>
      <c r="H216" s="2">
        <v>2130.9</v>
      </c>
      <c r="I216" s="2">
        <v>0</v>
      </c>
      <c r="J216" s="4">
        <f t="shared" si="25"/>
        <v>8055.9</v>
      </c>
      <c r="K216" s="17">
        <f>systems!O246</f>
        <v>13887.299999999997</v>
      </c>
      <c r="L216" s="13">
        <f t="shared" si="23"/>
        <v>0.58009116242898195</v>
      </c>
    </row>
    <row r="217" spans="1:12" x14ac:dyDescent="0.5">
      <c r="A217">
        <v>156</v>
      </c>
      <c r="B217">
        <v>156</v>
      </c>
      <c r="C217" t="s">
        <v>26</v>
      </c>
      <c r="D217" s="2">
        <v>0</v>
      </c>
      <c r="E217" s="2">
        <v>419.9</v>
      </c>
      <c r="F217" s="2">
        <v>699.1</v>
      </c>
      <c r="G217" s="2">
        <v>0</v>
      </c>
      <c r="H217" s="2">
        <v>0</v>
      </c>
      <c r="I217" s="2">
        <v>875.3</v>
      </c>
      <c r="J217" s="4">
        <f t="shared" si="25"/>
        <v>1994.3</v>
      </c>
      <c r="K217" s="17">
        <f>systems!O247</f>
        <v>2517</v>
      </c>
      <c r="L217" s="13">
        <f t="shared" si="23"/>
        <v>0.79233214143822006</v>
      </c>
    </row>
    <row r="218" spans="1:12" x14ac:dyDescent="0.5">
      <c r="A218">
        <v>159</v>
      </c>
      <c r="B218">
        <v>159</v>
      </c>
      <c r="C218" t="s">
        <v>27</v>
      </c>
      <c r="D218" s="2">
        <v>1105.9000000000001</v>
      </c>
      <c r="E218" s="2">
        <v>0</v>
      </c>
      <c r="F218" s="2">
        <v>0</v>
      </c>
      <c r="G218" s="2">
        <v>3135.7</v>
      </c>
      <c r="H218" s="2">
        <v>0</v>
      </c>
      <c r="I218" s="2">
        <v>0</v>
      </c>
      <c r="J218" s="4">
        <f t="shared" si="25"/>
        <v>4241.6000000000004</v>
      </c>
      <c r="K218" s="17">
        <f>systems!O248</f>
        <v>6647.4000000000005</v>
      </c>
      <c r="L218" s="13">
        <f t="shared" si="23"/>
        <v>0.63808406294190212</v>
      </c>
    </row>
    <row r="219" spans="1:12" x14ac:dyDescent="0.5">
      <c r="A219">
        <v>178</v>
      </c>
      <c r="B219">
        <v>178</v>
      </c>
      <c r="C219" t="s">
        <v>56</v>
      </c>
      <c r="D219" s="2">
        <v>517.29999999999995</v>
      </c>
      <c r="E219" s="2">
        <v>0</v>
      </c>
      <c r="F219" s="2">
        <v>0</v>
      </c>
      <c r="G219" s="2">
        <v>1642.2</v>
      </c>
      <c r="H219" s="2">
        <v>0</v>
      </c>
      <c r="I219" s="2">
        <v>0</v>
      </c>
      <c r="J219" s="4">
        <f t="shared" si="25"/>
        <v>2159.5</v>
      </c>
      <c r="K219" s="17">
        <f>systems!O249</f>
        <v>3551.5000000000005</v>
      </c>
      <c r="L219" s="13">
        <f t="shared" si="23"/>
        <v>0.60805293537941707</v>
      </c>
    </row>
    <row r="220" spans="1:12" x14ac:dyDescent="0.5">
      <c r="A220">
        <v>179</v>
      </c>
      <c r="B220">
        <v>179</v>
      </c>
      <c r="C220" t="s">
        <v>28</v>
      </c>
      <c r="D220" s="2">
        <v>1040.5</v>
      </c>
      <c r="E220" s="2">
        <v>831.6</v>
      </c>
      <c r="F220" s="2">
        <v>0</v>
      </c>
      <c r="G220" s="2">
        <v>0</v>
      </c>
      <c r="H220" s="2">
        <v>796.8</v>
      </c>
      <c r="I220" s="2">
        <v>0</v>
      </c>
      <c r="J220" s="4">
        <f t="shared" si="25"/>
        <v>2668.8999999999996</v>
      </c>
      <c r="K220" s="17">
        <f>systems!O250</f>
        <v>5244.6</v>
      </c>
      <c r="L220" s="13">
        <f t="shared" si="23"/>
        <v>0.50888532967242484</v>
      </c>
    </row>
    <row r="221" spans="1:12" x14ac:dyDescent="0.5">
      <c r="A221">
        <v>188</v>
      </c>
      <c r="B221">
        <v>188</v>
      </c>
      <c r="C221" t="s">
        <v>29</v>
      </c>
      <c r="D221" s="2">
        <v>469.7</v>
      </c>
      <c r="E221" s="2">
        <v>564.6</v>
      </c>
      <c r="F221" s="2">
        <v>1024.9000000000001</v>
      </c>
      <c r="G221" s="2">
        <v>1761.4</v>
      </c>
      <c r="H221" s="2">
        <v>2064.3000000000002</v>
      </c>
      <c r="I221" s="2">
        <v>2119</v>
      </c>
      <c r="J221" s="4">
        <f t="shared" si="25"/>
        <v>8003.9</v>
      </c>
      <c r="K221" s="17">
        <f>systems!O251</f>
        <v>10428.4</v>
      </c>
      <c r="L221" s="13">
        <f t="shared" si="23"/>
        <v>0.7675098768746883</v>
      </c>
    </row>
    <row r="222" spans="1:12" x14ac:dyDescent="0.5">
      <c r="A222">
        <v>189</v>
      </c>
      <c r="B222">
        <v>189</v>
      </c>
      <c r="C222" t="s">
        <v>30</v>
      </c>
      <c r="D222" s="2">
        <v>433.1</v>
      </c>
      <c r="E222" s="2">
        <v>935.7</v>
      </c>
      <c r="F222" s="2">
        <v>774.4</v>
      </c>
      <c r="G222" s="2">
        <v>0</v>
      </c>
      <c r="H222" s="2">
        <v>1278.4000000000001</v>
      </c>
      <c r="I222" s="2">
        <v>0</v>
      </c>
      <c r="J222" s="4">
        <f t="shared" si="25"/>
        <v>3421.6000000000004</v>
      </c>
      <c r="K222" s="17">
        <f>systems!O252</f>
        <v>5624.2999999999993</v>
      </c>
      <c r="L222" s="13">
        <f t="shared" si="23"/>
        <v>0.60836015148551836</v>
      </c>
    </row>
    <row r="223" spans="1:12" x14ac:dyDescent="0.5">
      <c r="A223">
        <v>203</v>
      </c>
      <c r="B223">
        <v>203</v>
      </c>
      <c r="C223" t="s">
        <v>31</v>
      </c>
      <c r="D223" s="2">
        <v>1745</v>
      </c>
      <c r="E223" s="2">
        <v>1410.8</v>
      </c>
      <c r="F223" s="2">
        <v>1123.9000000000001</v>
      </c>
      <c r="G223" s="2">
        <v>1904</v>
      </c>
      <c r="H223" s="2">
        <v>0</v>
      </c>
      <c r="I223" s="2">
        <v>0</v>
      </c>
      <c r="J223" s="4">
        <f t="shared" si="25"/>
        <v>6183.7000000000007</v>
      </c>
      <c r="K223" s="17">
        <f>systems!O253</f>
        <v>11530.9</v>
      </c>
      <c r="L223" s="13">
        <f t="shared" si="23"/>
        <v>0.53627210365192668</v>
      </c>
    </row>
    <row r="224" spans="1:12" x14ac:dyDescent="0.5">
      <c r="A224">
        <v>204</v>
      </c>
      <c r="B224">
        <v>204</v>
      </c>
      <c r="C224" t="s">
        <v>32</v>
      </c>
      <c r="D224" s="2">
        <v>690.8</v>
      </c>
      <c r="E224" s="2">
        <v>350.6</v>
      </c>
      <c r="F224" s="2">
        <v>788.4</v>
      </c>
      <c r="G224" s="2">
        <v>1665.8</v>
      </c>
      <c r="H224" s="2">
        <v>0</v>
      </c>
      <c r="I224" s="2">
        <v>1394</v>
      </c>
      <c r="J224" s="4">
        <f t="shared" si="25"/>
        <v>4889.6000000000004</v>
      </c>
      <c r="K224" s="17">
        <f>systems!O254</f>
        <v>6582.9</v>
      </c>
      <c r="L224" s="13">
        <f t="shared" si="23"/>
        <v>0.74277294201643662</v>
      </c>
    </row>
    <row r="225" spans="1:27" x14ac:dyDescent="0.5">
      <c r="D225" s="4">
        <f t="shared" ref="D225:I225" si="26">SUM(D199:D224)</f>
        <v>23893.399999999998</v>
      </c>
      <c r="E225" s="4">
        <f t="shared" si="26"/>
        <v>20224.999999999993</v>
      </c>
      <c r="F225" s="4">
        <f t="shared" si="26"/>
        <v>13873.199999999999</v>
      </c>
      <c r="G225" s="4">
        <f t="shared" si="26"/>
        <v>32188.1</v>
      </c>
      <c r="H225" s="4">
        <f t="shared" si="26"/>
        <v>17227.8</v>
      </c>
      <c r="I225" s="4">
        <f t="shared" si="26"/>
        <v>9030.2999999999993</v>
      </c>
      <c r="J225" s="4">
        <f t="shared" si="25"/>
        <v>116437.79999999999</v>
      </c>
      <c r="K225" s="17">
        <f>systems!O255</f>
        <v>191791.99999999997</v>
      </c>
      <c r="L225" s="13">
        <f t="shared" si="23"/>
        <v>0.60710457161925424</v>
      </c>
      <c r="Q225" s="4"/>
    </row>
    <row r="226" spans="1:27" x14ac:dyDescent="0.5">
      <c r="A226" t="s">
        <v>44</v>
      </c>
      <c r="D226" s="2"/>
      <c r="E226" s="2"/>
      <c r="F226" s="2"/>
      <c r="G226" s="2"/>
      <c r="H226" s="2"/>
      <c r="I226" s="2"/>
      <c r="J226" s="4"/>
      <c r="K226" s="17"/>
    </row>
    <row r="227" spans="1:27" x14ac:dyDescent="0.5">
      <c r="A227">
        <v>13</v>
      </c>
      <c r="B227">
        <v>13</v>
      </c>
      <c r="C227" t="s">
        <v>12</v>
      </c>
      <c r="D227" s="2">
        <v>0</v>
      </c>
      <c r="E227" s="2">
        <v>2180646.5</v>
      </c>
      <c r="F227" s="2">
        <v>9745165</v>
      </c>
      <c r="G227" s="2">
        <v>0</v>
      </c>
      <c r="H227" s="2">
        <v>172549.2</v>
      </c>
      <c r="I227" s="2">
        <v>56780.3</v>
      </c>
      <c r="J227" s="4">
        <f t="shared" ref="J227:J253" si="27">SUM(D227:I227)</f>
        <v>12155141</v>
      </c>
      <c r="K227" s="17">
        <f>systems!O257</f>
        <v>12789305.5</v>
      </c>
      <c r="L227" s="13">
        <f t="shared" si="23"/>
        <v>0.950414469339246</v>
      </c>
      <c r="Q227" s="2" t="s">
        <v>34</v>
      </c>
      <c r="R227" t="s">
        <v>34</v>
      </c>
      <c r="S227" s="19" t="s">
        <v>34</v>
      </c>
      <c r="U227" s="2">
        <f>0.01*SUM(H227:M227)</f>
        <v>251737.76950414467</v>
      </c>
      <c r="V227">
        <v>0.2</v>
      </c>
      <c r="W227" s="19">
        <f t="shared" ref="W227:W232" si="28">U227*(1+V227)</f>
        <v>302085.32340497361</v>
      </c>
      <c r="Z227" s="19">
        <f>U227+U245+U249+U250</f>
        <v>8477344.8910136092</v>
      </c>
      <c r="AA227" t="s">
        <v>36</v>
      </c>
    </row>
    <row r="228" spans="1:27" x14ac:dyDescent="0.5">
      <c r="A228">
        <v>15</v>
      </c>
      <c r="B228">
        <v>15</v>
      </c>
      <c r="C228" t="s">
        <v>13</v>
      </c>
      <c r="D228" s="2">
        <v>12222407</v>
      </c>
      <c r="E228" s="2">
        <v>13917421</v>
      </c>
      <c r="F228" s="2">
        <v>0</v>
      </c>
      <c r="G228" s="2">
        <v>0</v>
      </c>
      <c r="H228" s="2">
        <v>137932.20000000001</v>
      </c>
      <c r="I228" s="2">
        <v>0</v>
      </c>
      <c r="J228" s="4">
        <f t="shared" si="27"/>
        <v>26277760.199999999</v>
      </c>
      <c r="K228" s="17">
        <f>systems!O258</f>
        <v>32591093.099999998</v>
      </c>
      <c r="L228" s="13">
        <f t="shared" si="23"/>
        <v>0.80628655563565621</v>
      </c>
      <c r="Q228" s="2" t="s">
        <v>34</v>
      </c>
      <c r="R228" t="s">
        <v>34</v>
      </c>
      <c r="S228" s="19" t="s">
        <v>34</v>
      </c>
      <c r="U228" s="2">
        <f>0.01*(H228+K228)</f>
        <v>327290.25299999997</v>
      </c>
      <c r="V228">
        <v>0.2</v>
      </c>
      <c r="W228" s="19">
        <f t="shared" si="28"/>
        <v>392748.30359999993</v>
      </c>
      <c r="Z228" s="19">
        <f>U228+U229+U231+U232+U235+U236+U237+U241+U243+U244+U247+U248</f>
        <v>13183694.272000002</v>
      </c>
      <c r="AA228" t="s">
        <v>37</v>
      </c>
    </row>
    <row r="229" spans="1:27" x14ac:dyDescent="0.5">
      <c r="A229">
        <v>16</v>
      </c>
      <c r="B229">
        <v>16</v>
      </c>
      <c r="C229" t="s">
        <v>52</v>
      </c>
      <c r="D229" s="2">
        <v>136663504</v>
      </c>
      <c r="E229" s="2">
        <v>454723.7</v>
      </c>
      <c r="F229" s="2">
        <v>0</v>
      </c>
      <c r="G229" s="2">
        <v>22499.5</v>
      </c>
      <c r="H229" s="2">
        <v>0</v>
      </c>
      <c r="I229" s="2">
        <v>0</v>
      </c>
      <c r="J229" s="4">
        <f t="shared" si="27"/>
        <v>137140727.19999999</v>
      </c>
      <c r="K229" s="17">
        <f>systems!O259</f>
        <v>151023254.80000001</v>
      </c>
      <c r="L229" s="13">
        <f t="shared" si="23"/>
        <v>0.90807688777212059</v>
      </c>
      <c r="Q229" s="2" t="s">
        <v>34</v>
      </c>
      <c r="R229" t="s">
        <v>34</v>
      </c>
      <c r="S229" s="19" t="s">
        <v>34</v>
      </c>
      <c r="U229" s="2">
        <f>0.01*(H229+K229)</f>
        <v>1510232.5480000002</v>
      </c>
      <c r="V229">
        <v>0.2</v>
      </c>
      <c r="W229" s="19">
        <f t="shared" si="28"/>
        <v>1812279.0576000002</v>
      </c>
      <c r="Z229" s="19">
        <f>U230+U240+U242+U252</f>
        <v>1802046.0959999999</v>
      </c>
      <c r="AA229" t="s">
        <v>90</v>
      </c>
    </row>
    <row r="230" spans="1:27" x14ac:dyDescent="0.5">
      <c r="A230">
        <v>30</v>
      </c>
      <c r="B230">
        <v>30</v>
      </c>
      <c r="C230" t="s">
        <v>53</v>
      </c>
      <c r="D230" s="2">
        <v>3500289.5</v>
      </c>
      <c r="E230" s="2">
        <v>0</v>
      </c>
      <c r="F230" s="2">
        <v>0</v>
      </c>
      <c r="G230" s="2">
        <v>0</v>
      </c>
      <c r="H230" s="2">
        <v>0</v>
      </c>
      <c r="I230" s="2">
        <v>0</v>
      </c>
      <c r="J230" s="4">
        <f t="shared" si="27"/>
        <v>3500289.5</v>
      </c>
      <c r="K230" s="17">
        <f>systems!O260</f>
        <v>16490033.299999999</v>
      </c>
      <c r="L230" s="13">
        <f t="shared" si="23"/>
        <v>0.21226697583442722</v>
      </c>
      <c r="Q230" s="2" t="s">
        <v>34</v>
      </c>
      <c r="R230" t="s">
        <v>34</v>
      </c>
      <c r="S230" s="19" t="s">
        <v>34</v>
      </c>
      <c r="U230" s="2">
        <f>0.01*(H230+K230)</f>
        <v>164900.33299999998</v>
      </c>
      <c r="V230">
        <v>0.2</v>
      </c>
      <c r="W230" s="19">
        <f t="shared" si="28"/>
        <v>197880.39959999998</v>
      </c>
      <c r="Z230" s="19">
        <f>SUM(Z227:Z229)</f>
        <v>23463085.259013612</v>
      </c>
      <c r="AA230" t="s">
        <v>91</v>
      </c>
    </row>
    <row r="231" spans="1:27" x14ac:dyDescent="0.5">
      <c r="A231">
        <v>37</v>
      </c>
      <c r="B231">
        <v>37</v>
      </c>
      <c r="C231" t="s">
        <v>14</v>
      </c>
      <c r="D231" s="2">
        <v>4461473.5</v>
      </c>
      <c r="E231" s="2">
        <v>19972056</v>
      </c>
      <c r="F231" s="2">
        <v>0</v>
      </c>
      <c r="G231" s="2">
        <v>0</v>
      </c>
      <c r="H231" s="2">
        <v>409809.1</v>
      </c>
      <c r="I231" s="2">
        <v>0</v>
      </c>
      <c r="J231" s="4">
        <f t="shared" si="27"/>
        <v>24843338.600000001</v>
      </c>
      <c r="K231" s="17">
        <f>systems!O261</f>
        <v>29894710.099999998</v>
      </c>
      <c r="L231" s="13">
        <f t="shared" si="23"/>
        <v>0.83102791486845706</v>
      </c>
      <c r="Q231" s="2" t="s">
        <v>34</v>
      </c>
      <c r="R231" t="s">
        <v>34</v>
      </c>
      <c r="S231" s="19" t="s">
        <v>34</v>
      </c>
      <c r="U231" s="2">
        <f>0.01*(H231+K231)</f>
        <v>303045.19199999998</v>
      </c>
      <c r="V231">
        <v>0.2</v>
      </c>
      <c r="W231" s="19">
        <f t="shared" si="28"/>
        <v>363654.23039999994</v>
      </c>
    </row>
    <row r="232" spans="1:27" x14ac:dyDescent="0.5">
      <c r="A232">
        <v>38</v>
      </c>
      <c r="B232">
        <v>38</v>
      </c>
      <c r="C232" t="s">
        <v>54</v>
      </c>
      <c r="D232" s="2">
        <v>51902728</v>
      </c>
      <c r="E232" s="2">
        <v>23061676</v>
      </c>
      <c r="F232" s="2">
        <v>22409188</v>
      </c>
      <c r="G232" s="2">
        <v>510469.4</v>
      </c>
      <c r="H232" s="2">
        <v>0</v>
      </c>
      <c r="I232" s="2">
        <v>0</v>
      </c>
      <c r="J232" s="4">
        <f t="shared" si="27"/>
        <v>97884061.400000006</v>
      </c>
      <c r="K232" s="17">
        <f>systems!O262</f>
        <v>186114179.90000001</v>
      </c>
      <c r="L232" s="13">
        <f t="shared" si="23"/>
        <v>0.52593553834852114</v>
      </c>
      <c r="Q232" s="2" t="s">
        <v>34</v>
      </c>
      <c r="R232" t="s">
        <v>34</v>
      </c>
      <c r="S232" s="19" t="s">
        <v>34</v>
      </c>
      <c r="U232" s="2">
        <f>0.01*(H232+K232)</f>
        <v>1861141.7990000001</v>
      </c>
      <c r="V232">
        <v>0.2</v>
      </c>
      <c r="W232" s="19">
        <f t="shared" si="28"/>
        <v>2233370.1587999999</v>
      </c>
    </row>
    <row r="233" spans="1:27" x14ac:dyDescent="0.5">
      <c r="A233">
        <v>60</v>
      </c>
      <c r="B233">
        <v>60</v>
      </c>
      <c r="C233" t="s">
        <v>15</v>
      </c>
      <c r="D233" s="2">
        <v>53234784</v>
      </c>
      <c r="E233" s="2">
        <v>83358280</v>
      </c>
      <c r="F233" s="2">
        <v>803086592</v>
      </c>
      <c r="G233" s="2">
        <v>1209101.5</v>
      </c>
      <c r="H233" s="2">
        <v>309352.2</v>
      </c>
      <c r="I233" s="2">
        <v>18157596</v>
      </c>
      <c r="J233" s="4">
        <f t="shared" si="27"/>
        <v>959355705.70000005</v>
      </c>
      <c r="K233" s="17">
        <f>systems!O263</f>
        <v>1024517016.7</v>
      </c>
      <c r="L233" s="13">
        <f t="shared" si="23"/>
        <v>0.93639801981046</v>
      </c>
      <c r="Q233" s="2">
        <f>0.01*SUM(D233:I233)</f>
        <v>9593557.057</v>
      </c>
      <c r="R233">
        <v>0.2</v>
      </c>
      <c r="S233" s="19">
        <f>Q233*(1+R233)</f>
        <v>11512268.4684</v>
      </c>
      <c r="U233" s="2" t="s">
        <v>34</v>
      </c>
      <c r="V233" t="s">
        <v>34</v>
      </c>
      <c r="W233" s="19" t="s">
        <v>34</v>
      </c>
    </row>
    <row r="234" spans="1:27" x14ac:dyDescent="0.5">
      <c r="A234">
        <v>67</v>
      </c>
      <c r="B234">
        <v>67</v>
      </c>
      <c r="C234" t="s">
        <v>16</v>
      </c>
      <c r="D234" s="2">
        <v>11815492</v>
      </c>
      <c r="E234" s="2">
        <v>29489090</v>
      </c>
      <c r="F234" s="2">
        <v>0</v>
      </c>
      <c r="G234" s="2">
        <v>57583.3</v>
      </c>
      <c r="H234" s="2">
        <v>0</v>
      </c>
      <c r="I234" s="2">
        <v>0</v>
      </c>
      <c r="J234" s="4">
        <f t="shared" si="27"/>
        <v>41362165.299999997</v>
      </c>
      <c r="K234" s="17">
        <f>systems!O264</f>
        <v>48494025.199999996</v>
      </c>
      <c r="L234" s="13">
        <f t="shared" si="23"/>
        <v>0.85293322485426515</v>
      </c>
      <c r="Q234" s="2">
        <f>0.01*(D234+G234)</f>
        <v>118730.75300000001</v>
      </c>
      <c r="R234">
        <v>0.2</v>
      </c>
      <c r="S234" s="19">
        <f>Q234*(1+R234)</f>
        <v>142476.90360000002</v>
      </c>
      <c r="U234" s="2" t="s">
        <v>34</v>
      </c>
      <c r="V234" t="s">
        <v>34</v>
      </c>
      <c r="W234" s="19" t="s">
        <v>34</v>
      </c>
    </row>
    <row r="235" spans="1:27" x14ac:dyDescent="0.5">
      <c r="A235">
        <v>69</v>
      </c>
      <c r="B235">
        <v>69</v>
      </c>
      <c r="C235" t="s">
        <v>17</v>
      </c>
      <c r="D235" s="2">
        <v>8129060</v>
      </c>
      <c r="E235" s="2">
        <v>87938968</v>
      </c>
      <c r="F235" s="2">
        <v>0</v>
      </c>
      <c r="G235" s="2">
        <v>78599.600000000006</v>
      </c>
      <c r="H235" s="2">
        <v>95405.3</v>
      </c>
      <c r="I235" s="2">
        <v>0</v>
      </c>
      <c r="J235" s="4">
        <f t="shared" si="27"/>
        <v>96242032.899999991</v>
      </c>
      <c r="K235" s="17">
        <f>systems!O265</f>
        <v>111488542.8</v>
      </c>
      <c r="L235" s="13">
        <f t="shared" si="23"/>
        <v>0.86324594871285731</v>
      </c>
      <c r="Q235" s="2" t="s">
        <v>34</v>
      </c>
      <c r="R235" t="s">
        <v>34</v>
      </c>
      <c r="S235" s="19" t="s">
        <v>34</v>
      </c>
      <c r="U235" s="2">
        <f>0.01*(H235+K235)</f>
        <v>1115839.4809999999</v>
      </c>
      <c r="V235">
        <v>0.2</v>
      </c>
      <c r="W235" s="19">
        <f>U235*(1+V235)</f>
        <v>1339007.3771999998</v>
      </c>
    </row>
    <row r="236" spans="1:27" x14ac:dyDescent="0.5">
      <c r="A236">
        <v>71</v>
      </c>
      <c r="B236">
        <v>71</v>
      </c>
      <c r="C236" t="s">
        <v>18</v>
      </c>
      <c r="D236" s="2">
        <v>6900243.5</v>
      </c>
      <c r="E236" s="2">
        <v>0</v>
      </c>
      <c r="F236" s="2">
        <v>0</v>
      </c>
      <c r="G236" s="2">
        <v>0</v>
      </c>
      <c r="H236" s="2">
        <v>0</v>
      </c>
      <c r="I236" s="2">
        <v>0</v>
      </c>
      <c r="J236" s="4">
        <f t="shared" si="27"/>
        <v>6900243.5</v>
      </c>
      <c r="K236" s="17">
        <f>systems!O266</f>
        <v>7831057.7000000002</v>
      </c>
      <c r="L236" s="13">
        <f t="shared" si="23"/>
        <v>0.88113812518582257</v>
      </c>
      <c r="Q236" s="2" t="s">
        <v>34</v>
      </c>
      <c r="R236" t="s">
        <v>34</v>
      </c>
      <c r="S236" s="19" t="s">
        <v>34</v>
      </c>
      <c r="U236" s="2">
        <f>0.01*(H236+K236)</f>
        <v>78310.577000000005</v>
      </c>
      <c r="V236">
        <v>0.2</v>
      </c>
      <c r="W236" s="19">
        <f>U236*(1+V236)</f>
        <v>93972.6924</v>
      </c>
    </row>
    <row r="237" spans="1:27" x14ac:dyDescent="0.5">
      <c r="A237">
        <v>72</v>
      </c>
      <c r="B237">
        <v>72</v>
      </c>
      <c r="C237" t="s">
        <v>19</v>
      </c>
      <c r="D237" s="2">
        <v>5309104</v>
      </c>
      <c r="E237" s="2">
        <v>325534.7</v>
      </c>
      <c r="F237" s="2">
        <v>0</v>
      </c>
      <c r="G237" s="2">
        <v>193445.1</v>
      </c>
      <c r="H237" s="2">
        <v>0</v>
      </c>
      <c r="I237" s="2">
        <v>0</v>
      </c>
      <c r="J237" s="4">
        <f t="shared" si="27"/>
        <v>5828083.7999999998</v>
      </c>
      <c r="K237" s="17">
        <f>systems!O267</f>
        <v>8800372.8000000007</v>
      </c>
      <c r="L237" s="13">
        <f t="shared" si="23"/>
        <v>0.66225419450412371</v>
      </c>
      <c r="Q237" s="2" t="s">
        <v>34</v>
      </c>
      <c r="R237" t="s">
        <v>34</v>
      </c>
      <c r="S237" s="19" t="s">
        <v>34</v>
      </c>
      <c r="U237" s="2">
        <f>0.01*(H237+K237)</f>
        <v>88003.728000000003</v>
      </c>
      <c r="V237">
        <v>0.2</v>
      </c>
      <c r="W237" s="19">
        <f>U237*(1+V237)</f>
        <v>105604.4736</v>
      </c>
    </row>
    <row r="238" spans="1:27" x14ac:dyDescent="0.5">
      <c r="A238">
        <v>96</v>
      </c>
      <c r="B238">
        <v>96</v>
      </c>
      <c r="C238" t="s">
        <v>20</v>
      </c>
      <c r="D238" s="2">
        <v>8707013</v>
      </c>
      <c r="E238" s="2">
        <v>43958168</v>
      </c>
      <c r="F238" s="2">
        <v>159983600</v>
      </c>
      <c r="G238" s="2">
        <v>1003996.2</v>
      </c>
      <c r="H238" s="2">
        <v>3994643.8</v>
      </c>
      <c r="I238" s="2">
        <v>2351657.2999999998</v>
      </c>
      <c r="J238" s="4">
        <f t="shared" si="27"/>
        <v>219999078.30000001</v>
      </c>
      <c r="K238" s="17">
        <f>systems!O268</f>
        <v>318375805.80000001</v>
      </c>
      <c r="L238" s="13">
        <f t="shared" si="23"/>
        <v>0.69100438630126593</v>
      </c>
      <c r="Q238" s="2">
        <f>0.01*SUM(D238:I238)</f>
        <v>2199990.7830000003</v>
      </c>
      <c r="R238">
        <v>0.2</v>
      </c>
      <c r="S238" s="19">
        <f>Q238*(1+R238)</f>
        <v>2639988.9396000002</v>
      </c>
      <c r="U238" s="2" t="s">
        <v>34</v>
      </c>
      <c r="V238" t="s">
        <v>34</v>
      </c>
      <c r="W238" s="19" t="s">
        <v>34</v>
      </c>
    </row>
    <row r="239" spans="1:27" x14ac:dyDescent="0.5">
      <c r="A239">
        <v>121</v>
      </c>
      <c r="B239">
        <v>121</v>
      </c>
      <c r="C239" t="s">
        <v>21</v>
      </c>
      <c r="D239" s="2">
        <v>78503232</v>
      </c>
      <c r="E239" s="2">
        <v>0</v>
      </c>
      <c r="F239" s="2">
        <v>0</v>
      </c>
      <c r="G239" s="2">
        <v>735946.1</v>
      </c>
      <c r="H239" s="2">
        <v>0</v>
      </c>
      <c r="I239" s="2">
        <v>0</v>
      </c>
      <c r="J239" s="4">
        <f t="shared" si="27"/>
        <v>79239178.099999994</v>
      </c>
      <c r="K239" s="17">
        <f>systems!O269</f>
        <v>99854459.200000003</v>
      </c>
      <c r="L239" s="13">
        <f t="shared" si="23"/>
        <v>0.79354671523773068</v>
      </c>
      <c r="Q239" s="2">
        <f>0.01*(D239+G239)</f>
        <v>792391.78099999996</v>
      </c>
      <c r="R239">
        <v>0.2</v>
      </c>
      <c r="S239" s="19">
        <f>Q239*(1+R239)</f>
        <v>950870.13719999988</v>
      </c>
      <c r="U239" s="2" t="s">
        <v>34</v>
      </c>
      <c r="V239" t="s">
        <v>34</v>
      </c>
      <c r="W239" s="19" t="s">
        <v>34</v>
      </c>
    </row>
    <row r="240" spans="1:27" x14ac:dyDescent="0.5">
      <c r="A240">
        <v>126</v>
      </c>
      <c r="B240">
        <v>126</v>
      </c>
      <c r="C240" t="s">
        <v>22</v>
      </c>
      <c r="D240" s="2">
        <v>2814820.3</v>
      </c>
      <c r="E240" s="2">
        <v>3258467.8</v>
      </c>
      <c r="F240" s="2">
        <v>0</v>
      </c>
      <c r="G240" s="2">
        <v>57715.199999999997</v>
      </c>
      <c r="H240" s="2">
        <v>109682.2</v>
      </c>
      <c r="I240" s="2">
        <v>0</v>
      </c>
      <c r="J240" s="4">
        <f t="shared" si="27"/>
        <v>6240685.5</v>
      </c>
      <c r="K240" s="17">
        <f>systems!O270</f>
        <v>23235468.899999999</v>
      </c>
      <c r="L240" s="13">
        <f t="shared" si="23"/>
        <v>0.26858444418997718</v>
      </c>
      <c r="Q240" s="2" t="s">
        <v>34</v>
      </c>
      <c r="R240" t="s">
        <v>34</v>
      </c>
      <c r="S240" s="19" t="s">
        <v>34</v>
      </c>
      <c r="U240" s="2">
        <f>0.01*(H240+K240)</f>
        <v>233451.51099999997</v>
      </c>
      <c r="V240">
        <v>0.2</v>
      </c>
      <c r="W240" s="19">
        <f t="shared" ref="W240:W245" si="29">U240*(1+V240)</f>
        <v>280141.81319999998</v>
      </c>
    </row>
    <row r="241" spans="1:26" x14ac:dyDescent="0.5">
      <c r="A241">
        <v>127</v>
      </c>
      <c r="B241">
        <v>127</v>
      </c>
      <c r="C241" t="s">
        <v>55</v>
      </c>
      <c r="D241" s="2">
        <v>11951274</v>
      </c>
      <c r="E241" s="2">
        <v>0</v>
      </c>
      <c r="F241" s="2">
        <v>0</v>
      </c>
      <c r="G241" s="2">
        <v>330405.09999999998</v>
      </c>
      <c r="H241" s="2">
        <v>0</v>
      </c>
      <c r="I241" s="2">
        <v>0</v>
      </c>
      <c r="J241" s="4">
        <f t="shared" si="27"/>
        <v>12281679.1</v>
      </c>
      <c r="K241" s="17">
        <f>systems!O271</f>
        <v>20325243.300000001</v>
      </c>
      <c r="L241" s="13">
        <f t="shared" si="23"/>
        <v>0.60425742111534764</v>
      </c>
      <c r="Q241" s="2" t="s">
        <v>34</v>
      </c>
      <c r="R241" t="s">
        <v>34</v>
      </c>
      <c r="S241" s="19" t="s">
        <v>34</v>
      </c>
      <c r="U241" s="2">
        <f>0.01*(H241+K241)</f>
        <v>203252.43300000002</v>
      </c>
      <c r="V241">
        <v>0.2</v>
      </c>
      <c r="W241" s="19">
        <f t="shared" si="29"/>
        <v>243902.91960000002</v>
      </c>
    </row>
    <row r="242" spans="1:26" x14ac:dyDescent="0.5">
      <c r="A242">
        <v>131</v>
      </c>
      <c r="B242">
        <v>131</v>
      </c>
      <c r="C242" t="s">
        <v>23</v>
      </c>
      <c r="D242" s="2">
        <v>4400315</v>
      </c>
      <c r="E242" s="2">
        <v>5609846.5</v>
      </c>
      <c r="F242" s="2">
        <v>1773475.3</v>
      </c>
      <c r="G242" s="2">
        <v>4242.2</v>
      </c>
      <c r="H242" s="2">
        <v>57452.4</v>
      </c>
      <c r="I242" s="2">
        <v>0</v>
      </c>
      <c r="J242" s="4">
        <f t="shared" si="27"/>
        <v>11845331.4</v>
      </c>
      <c r="K242" s="17">
        <f>systems!O272</f>
        <v>23675898.700000003</v>
      </c>
      <c r="L242" s="13">
        <f t="shared" si="23"/>
        <v>0.50031179597841402</v>
      </c>
      <c r="Q242" s="2" t="s">
        <v>34</v>
      </c>
      <c r="R242" t="s">
        <v>34</v>
      </c>
      <c r="S242" s="19" t="s">
        <v>34</v>
      </c>
      <c r="U242" s="2">
        <f>0.01*(H242+K242)</f>
        <v>237333.51100000003</v>
      </c>
      <c r="V242">
        <v>0.2</v>
      </c>
      <c r="W242" s="19">
        <f t="shared" si="29"/>
        <v>284800.2132</v>
      </c>
    </row>
    <row r="243" spans="1:26" x14ac:dyDescent="0.5">
      <c r="A243">
        <v>134</v>
      </c>
      <c r="B243">
        <v>134</v>
      </c>
      <c r="C243" t="s">
        <v>24</v>
      </c>
      <c r="D243" s="2">
        <v>44059944</v>
      </c>
      <c r="E243" s="2">
        <v>0</v>
      </c>
      <c r="F243" s="2">
        <v>0</v>
      </c>
      <c r="G243" s="2">
        <v>147408.1</v>
      </c>
      <c r="H243" s="2">
        <v>0</v>
      </c>
      <c r="I243" s="2">
        <v>0</v>
      </c>
      <c r="J243" s="4">
        <f t="shared" si="27"/>
        <v>44207352.100000001</v>
      </c>
      <c r="K243" s="17">
        <f>systems!O273</f>
        <v>70162313.699999988</v>
      </c>
      <c r="L243" s="13">
        <f t="shared" si="23"/>
        <v>0.63007260976343782</v>
      </c>
      <c r="Q243" s="2" t="s">
        <v>34</v>
      </c>
      <c r="R243" t="s">
        <v>34</v>
      </c>
      <c r="S243" s="19" t="s">
        <v>34</v>
      </c>
      <c r="U243" s="2">
        <f>0.01*(H243+K243)</f>
        <v>701623.13699999987</v>
      </c>
      <c r="V243">
        <v>0.2</v>
      </c>
      <c r="W243" s="19">
        <f t="shared" si="29"/>
        <v>841947.76439999987</v>
      </c>
    </row>
    <row r="244" spans="1:26" x14ac:dyDescent="0.5">
      <c r="A244">
        <v>135</v>
      </c>
      <c r="B244">
        <v>135</v>
      </c>
      <c r="C244" t="s">
        <v>25</v>
      </c>
      <c r="D244" s="2">
        <v>263870336</v>
      </c>
      <c r="E244" s="2">
        <v>219282576</v>
      </c>
      <c r="F244" s="2">
        <v>13594408</v>
      </c>
      <c r="G244" s="2">
        <v>4608183</v>
      </c>
      <c r="H244" s="2">
        <v>877706.9</v>
      </c>
      <c r="I244" s="2">
        <v>0</v>
      </c>
      <c r="J244" s="4">
        <f t="shared" si="27"/>
        <v>502233209.89999998</v>
      </c>
      <c r="K244" s="17">
        <f>systems!O274</f>
        <v>522840028.89999998</v>
      </c>
      <c r="L244" s="13">
        <f t="shared" si="23"/>
        <v>0.96058676103404983</v>
      </c>
      <c r="Q244" s="2" t="s">
        <v>34</v>
      </c>
      <c r="R244" t="s">
        <v>34</v>
      </c>
      <c r="S244" s="19" t="s">
        <v>34</v>
      </c>
      <c r="U244" s="2">
        <f>0.01*(H244+K244)</f>
        <v>5237177.358</v>
      </c>
      <c r="V244">
        <v>0.2</v>
      </c>
      <c r="W244" s="19">
        <f t="shared" si="29"/>
        <v>6284612.8295999998</v>
      </c>
    </row>
    <row r="245" spans="1:26" x14ac:dyDescent="0.5">
      <c r="A245">
        <v>156</v>
      </c>
      <c r="B245">
        <v>156</v>
      </c>
      <c r="C245" t="s">
        <v>26</v>
      </c>
      <c r="D245" s="2">
        <v>0</v>
      </c>
      <c r="E245" s="2">
        <v>9468351</v>
      </c>
      <c r="F245" s="2">
        <v>18599764</v>
      </c>
      <c r="G245" s="2">
        <v>0</v>
      </c>
      <c r="H245" s="2">
        <v>235594.9</v>
      </c>
      <c r="I245" s="2">
        <v>120191.8</v>
      </c>
      <c r="J245" s="4">
        <f t="shared" si="27"/>
        <v>28423901.699999999</v>
      </c>
      <c r="K245" s="17">
        <f>systems!O275</f>
        <v>29597920.699999999</v>
      </c>
      <c r="L245" s="13">
        <f t="shared" si="23"/>
        <v>0.96033440957222371</v>
      </c>
      <c r="Q245" s="2" t="s">
        <v>34</v>
      </c>
      <c r="R245" t="s">
        <v>34</v>
      </c>
      <c r="S245" s="19" t="s">
        <v>34</v>
      </c>
      <c r="U245" s="2">
        <f>0.01*SUM(H245:M245)</f>
        <v>583776.10060334404</v>
      </c>
      <c r="V245">
        <v>0.2</v>
      </c>
      <c r="W245" s="19">
        <f t="shared" si="29"/>
        <v>700531.3207240128</v>
      </c>
    </row>
    <row r="246" spans="1:26" x14ac:dyDescent="0.5">
      <c r="A246">
        <v>159</v>
      </c>
      <c r="B246">
        <v>159</v>
      </c>
      <c r="C246" t="s">
        <v>27</v>
      </c>
      <c r="D246" s="2">
        <v>54143148</v>
      </c>
      <c r="E246" s="2">
        <v>0</v>
      </c>
      <c r="F246" s="2">
        <v>0</v>
      </c>
      <c r="G246" s="2">
        <v>429618.2</v>
      </c>
      <c r="H246" s="2">
        <v>0</v>
      </c>
      <c r="I246" s="2">
        <v>0</v>
      </c>
      <c r="J246" s="4">
        <f t="shared" si="27"/>
        <v>54572766.200000003</v>
      </c>
      <c r="K246" s="17">
        <f>systems!O276</f>
        <v>61255094.600000009</v>
      </c>
      <c r="L246" s="13">
        <f t="shared" si="23"/>
        <v>0.89090983462459616</v>
      </c>
      <c r="Q246" s="2">
        <f>0.01*(D246+G246)</f>
        <v>545727.66200000001</v>
      </c>
      <c r="R246">
        <v>0.2</v>
      </c>
      <c r="S246" s="19">
        <f>Q246*(1+R246)</f>
        <v>654873.19440000004</v>
      </c>
      <c r="U246" s="2" t="s">
        <v>34</v>
      </c>
      <c r="V246" t="s">
        <v>34</v>
      </c>
      <c r="W246" s="19" t="s">
        <v>34</v>
      </c>
    </row>
    <row r="247" spans="1:26" x14ac:dyDescent="0.5">
      <c r="A247">
        <v>178</v>
      </c>
      <c r="B247">
        <v>178</v>
      </c>
      <c r="C247" t="s">
        <v>56</v>
      </c>
      <c r="D247" s="2">
        <v>90998232</v>
      </c>
      <c r="E247" s="2">
        <v>0</v>
      </c>
      <c r="F247" s="2">
        <v>0</v>
      </c>
      <c r="G247" s="2">
        <v>140194.1</v>
      </c>
      <c r="H247" s="2">
        <v>0</v>
      </c>
      <c r="I247" s="2">
        <v>0</v>
      </c>
      <c r="J247" s="4">
        <f t="shared" si="27"/>
        <v>91138426.099999994</v>
      </c>
      <c r="K247" s="17">
        <f>systems!O277</f>
        <v>161023600.00000003</v>
      </c>
      <c r="L247" s="13">
        <f t="shared" si="23"/>
        <v>0.56599421513368209</v>
      </c>
      <c r="Q247" s="2" t="s">
        <v>34</v>
      </c>
      <c r="R247" t="s">
        <v>34</v>
      </c>
      <c r="S247" s="19" t="s">
        <v>34</v>
      </c>
      <c r="U247" s="2">
        <f>0.01*(H247+K247)</f>
        <v>1610236.0000000002</v>
      </c>
      <c r="V247">
        <v>0.2</v>
      </c>
      <c r="W247" s="19">
        <f>U247*(1+V247)</f>
        <v>1932283.2000000002</v>
      </c>
    </row>
    <row r="248" spans="1:26" x14ac:dyDescent="0.5">
      <c r="A248">
        <v>179</v>
      </c>
      <c r="B248">
        <v>179</v>
      </c>
      <c r="C248" t="s">
        <v>28</v>
      </c>
      <c r="D248" s="2">
        <v>3775132.8</v>
      </c>
      <c r="E248" s="2">
        <v>8263686.5</v>
      </c>
      <c r="F248" s="2">
        <v>0</v>
      </c>
      <c r="G248" s="2">
        <v>0</v>
      </c>
      <c r="H248" s="2">
        <v>51366</v>
      </c>
      <c r="I248" s="2">
        <v>0</v>
      </c>
      <c r="J248" s="4">
        <f t="shared" si="27"/>
        <v>12090185.300000001</v>
      </c>
      <c r="K248" s="17">
        <f>systems!O278</f>
        <v>14702810.6</v>
      </c>
      <c r="L248" s="13">
        <f t="shared" si="23"/>
        <v>0.82230436267743268</v>
      </c>
      <c r="Q248" s="2" t="s">
        <v>34</v>
      </c>
      <c r="R248" t="s">
        <v>34</v>
      </c>
      <c r="S248" s="19" t="s">
        <v>34</v>
      </c>
      <c r="U248" s="2">
        <f>0.01*(H248+K248)</f>
        <v>147541.766</v>
      </c>
      <c r="V248">
        <v>0.2</v>
      </c>
      <c r="W248" s="19">
        <f>U248*(1+V248)</f>
        <v>177050.11919999999</v>
      </c>
    </row>
    <row r="249" spans="1:26" x14ac:dyDescent="0.5">
      <c r="A249">
        <v>188</v>
      </c>
      <c r="B249">
        <v>188</v>
      </c>
      <c r="C249" t="s">
        <v>29</v>
      </c>
      <c r="D249" s="2">
        <v>33155904</v>
      </c>
      <c r="E249" s="2">
        <v>120093664</v>
      </c>
      <c r="F249" s="2">
        <v>22263232</v>
      </c>
      <c r="G249" s="2">
        <v>281975.59999999998</v>
      </c>
      <c r="H249" s="2">
        <v>67943.3</v>
      </c>
      <c r="I249" s="2">
        <v>18748.5</v>
      </c>
      <c r="J249" s="4">
        <f t="shared" si="27"/>
        <v>175881467.40000001</v>
      </c>
      <c r="K249" s="17">
        <f>systems!O279</f>
        <v>244276710.10000002</v>
      </c>
      <c r="L249" s="13">
        <f t="shared" si="23"/>
        <v>0.72000915407776322</v>
      </c>
      <c r="Q249" s="2" t="s">
        <v>34</v>
      </c>
      <c r="R249" t="s">
        <v>34</v>
      </c>
      <c r="S249" s="19" t="s">
        <v>34</v>
      </c>
      <c r="U249" s="2">
        <f>0.01*SUM(H249:M249)</f>
        <v>4202448.700200092</v>
      </c>
      <c r="V249">
        <v>0.2</v>
      </c>
      <c r="W249" s="19">
        <f>U249*(1+V249)</f>
        <v>5042938.4402401103</v>
      </c>
    </row>
    <row r="250" spans="1:26" x14ac:dyDescent="0.5">
      <c r="A250">
        <v>189</v>
      </c>
      <c r="B250">
        <v>189</v>
      </c>
      <c r="C250" t="s">
        <v>30</v>
      </c>
      <c r="D250" s="2">
        <v>786835.2</v>
      </c>
      <c r="E250" s="2">
        <v>117840992</v>
      </c>
      <c r="F250" s="2">
        <v>41286912</v>
      </c>
      <c r="G250" s="2">
        <v>0</v>
      </c>
      <c r="H250" s="2">
        <v>108218.6</v>
      </c>
      <c r="I250" s="2">
        <v>0</v>
      </c>
      <c r="J250" s="4">
        <f t="shared" si="27"/>
        <v>160022957.79999998</v>
      </c>
      <c r="K250" s="17">
        <f>systems!O280</f>
        <v>183807054.80000001</v>
      </c>
      <c r="L250" s="13">
        <f t="shared" si="23"/>
        <v>0.87060291550898605</v>
      </c>
      <c r="Q250" s="2" t="s">
        <v>34</v>
      </c>
      <c r="R250" t="s">
        <v>34</v>
      </c>
      <c r="S250" s="19" t="s">
        <v>34</v>
      </c>
      <c r="U250" s="2">
        <f>0.01*SUM(H250:M250)</f>
        <v>3439382.320706029</v>
      </c>
      <c r="V250">
        <v>0.2</v>
      </c>
      <c r="W250" s="19">
        <f>U250*(1+V250)</f>
        <v>4127258.7848472344</v>
      </c>
    </row>
    <row r="251" spans="1:26" x14ac:dyDescent="0.5">
      <c r="A251">
        <v>203</v>
      </c>
      <c r="B251">
        <v>203</v>
      </c>
      <c r="C251" t="s">
        <v>31</v>
      </c>
      <c r="D251" s="2">
        <v>4354334</v>
      </c>
      <c r="E251" s="2">
        <v>147210.70000000001</v>
      </c>
      <c r="F251" s="2">
        <v>0</v>
      </c>
      <c r="G251" s="2">
        <v>42420.3</v>
      </c>
      <c r="H251" s="2">
        <v>0</v>
      </c>
      <c r="I251" s="2">
        <v>0</v>
      </c>
      <c r="J251" s="4">
        <f t="shared" si="27"/>
        <v>4543965</v>
      </c>
      <c r="K251" s="17">
        <f>systems!O281</f>
        <v>39474213.200000003</v>
      </c>
      <c r="L251" s="13">
        <f t="shared" si="23"/>
        <v>0.1151122373732328</v>
      </c>
      <c r="Q251" s="2">
        <f>0.01*(D251+G251)</f>
        <v>43967.542999999998</v>
      </c>
      <c r="R251">
        <v>0.2</v>
      </c>
      <c r="S251" s="19">
        <f>Q251*(1+R251)</f>
        <v>52761.051599999999</v>
      </c>
      <c r="U251" s="2" t="s">
        <v>34</v>
      </c>
      <c r="V251" t="s">
        <v>34</v>
      </c>
      <c r="W251" s="19" t="s">
        <v>34</v>
      </c>
    </row>
    <row r="252" spans="1:26" x14ac:dyDescent="0.5">
      <c r="A252">
        <v>204</v>
      </c>
      <c r="B252">
        <v>204</v>
      </c>
      <c r="C252" t="s">
        <v>32</v>
      </c>
      <c r="D252" s="2">
        <v>37993192</v>
      </c>
      <c r="E252" s="2">
        <v>733443.6</v>
      </c>
      <c r="F252" s="2">
        <v>31092940</v>
      </c>
      <c r="G252" s="2">
        <v>213579.3</v>
      </c>
      <c r="H252" s="2">
        <v>0</v>
      </c>
      <c r="I252" s="2">
        <v>778799.2</v>
      </c>
      <c r="J252" s="4">
        <f t="shared" si="27"/>
        <v>70811954.099999994</v>
      </c>
      <c r="K252" s="17">
        <f>systems!O282</f>
        <v>116636074.09999999</v>
      </c>
      <c r="L252" s="13">
        <f t="shared" si="23"/>
        <v>0.6071188064791011</v>
      </c>
      <c r="Q252" s="2" t="s">
        <v>34</v>
      </c>
      <c r="R252" t="s">
        <v>34</v>
      </c>
      <c r="S252" s="19" t="s">
        <v>34</v>
      </c>
      <c r="U252" s="2">
        <f>0.01*(H252+K252)</f>
        <v>1166360.7409999999</v>
      </c>
      <c r="V252">
        <v>0.2</v>
      </c>
      <c r="W252" s="19">
        <f>U252*(1+V252)</f>
        <v>1399632.8891999999</v>
      </c>
    </row>
    <row r="253" spans="1:26" x14ac:dyDescent="0.5">
      <c r="D253" s="4">
        <f t="shared" ref="D253:I253" si="30">SUM(D227:D252)</f>
        <v>933652797.79999995</v>
      </c>
      <c r="E253" s="4">
        <f t="shared" si="30"/>
        <v>789354802.00000012</v>
      </c>
      <c r="F253" s="4">
        <f t="shared" si="30"/>
        <v>1123835276.3</v>
      </c>
      <c r="G253" s="4">
        <f t="shared" si="30"/>
        <v>10067381.800000001</v>
      </c>
      <c r="H253" s="4">
        <f t="shared" si="30"/>
        <v>6627656.1000000006</v>
      </c>
      <c r="I253" s="4">
        <f t="shared" si="30"/>
        <v>21483773.100000001</v>
      </c>
      <c r="J253" s="4">
        <f t="shared" si="27"/>
        <v>2885021687.1000004</v>
      </c>
      <c r="K253" s="17">
        <f>systems!O283</f>
        <v>3559276288.4999995</v>
      </c>
      <c r="L253" s="13">
        <f t="shared" si="23"/>
        <v>0.81056412968599489</v>
      </c>
      <c r="Q253" s="4">
        <f>SUM(Q227:Q252)</f>
        <v>13294365.579</v>
      </c>
      <c r="R253" s="8"/>
      <c r="S253" s="4">
        <f>SUM(S227:S252)</f>
        <v>15953238.694799999</v>
      </c>
      <c r="T253" s="8"/>
      <c r="U253" s="4">
        <f>SUM(U227:U252)</f>
        <v>23463085.259013608</v>
      </c>
      <c r="V253" s="8"/>
      <c r="W253" s="4">
        <f>SUM(W227:W252)</f>
        <v>28155702.310816329</v>
      </c>
    </row>
    <row r="254" spans="1:26" x14ac:dyDescent="0.5">
      <c r="A254" t="s">
        <v>45</v>
      </c>
      <c r="D254" s="2"/>
      <c r="E254" s="2"/>
      <c r="F254" s="2"/>
      <c r="G254" s="2"/>
      <c r="H254" s="2"/>
      <c r="I254" s="2"/>
      <c r="J254" s="4"/>
      <c r="K254" s="17"/>
    </row>
    <row r="255" spans="1:26" x14ac:dyDescent="0.5">
      <c r="A255">
        <v>13</v>
      </c>
      <c r="B255">
        <v>13</v>
      </c>
      <c r="C255" t="s">
        <v>12</v>
      </c>
      <c r="D255" s="2">
        <v>0</v>
      </c>
      <c r="E255" s="2">
        <v>1947578.8</v>
      </c>
      <c r="F255" s="2">
        <v>7879789.5</v>
      </c>
      <c r="G255" s="2">
        <v>0</v>
      </c>
      <c r="H255" s="2">
        <v>131706.5</v>
      </c>
      <c r="I255" s="2">
        <v>45381.1</v>
      </c>
      <c r="J255" s="4">
        <f t="shared" ref="J255:J281" si="31">SUM(D255:I255)</f>
        <v>10004455.9</v>
      </c>
      <c r="K255" s="17">
        <f>systems!O285</f>
        <v>10839849.4</v>
      </c>
      <c r="L255" s="13">
        <f t="shared" si="23"/>
        <v>0.92293310827731612</v>
      </c>
      <c r="Q255" s="2" t="s">
        <v>34</v>
      </c>
      <c r="R255" t="s">
        <v>34</v>
      </c>
      <c r="S255" s="19" t="s">
        <v>34</v>
      </c>
      <c r="U255" s="2">
        <f>0.01*SUM(H255:M255)</f>
        <v>210213.93822933108</v>
      </c>
      <c r="V255">
        <v>0.2</v>
      </c>
      <c r="W255" s="19">
        <f t="shared" ref="W255:W260" si="32">U255*(1+V255)</f>
        <v>252256.72587519727</v>
      </c>
      <c r="Z255" s="19">
        <f>U255+U273+U277+U278</f>
        <v>9942772.2037416287</v>
      </c>
    </row>
    <row r="256" spans="1:26" x14ac:dyDescent="0.5">
      <c r="A256">
        <v>15</v>
      </c>
      <c r="B256">
        <v>15</v>
      </c>
      <c r="C256" t="s">
        <v>13</v>
      </c>
      <c r="D256" s="2">
        <v>3215825.8</v>
      </c>
      <c r="E256" s="2">
        <v>5289059.5</v>
      </c>
      <c r="F256" s="2">
        <v>0</v>
      </c>
      <c r="G256" s="2">
        <v>0</v>
      </c>
      <c r="H256" s="2">
        <v>50999.3</v>
      </c>
      <c r="I256" s="2">
        <v>0</v>
      </c>
      <c r="J256" s="4">
        <f t="shared" si="31"/>
        <v>8555884.6000000015</v>
      </c>
      <c r="K256" s="17">
        <f>systems!O286</f>
        <v>15411179.899999999</v>
      </c>
      <c r="L256" s="13">
        <f t="shared" si="23"/>
        <v>0.55517388386336353</v>
      </c>
      <c r="Q256" s="2" t="s">
        <v>34</v>
      </c>
      <c r="R256" t="s">
        <v>34</v>
      </c>
      <c r="S256" s="19" t="s">
        <v>34</v>
      </c>
      <c r="U256" s="2">
        <f>0.01*(H256+K256)</f>
        <v>154621.79199999999</v>
      </c>
      <c r="V256">
        <v>0.2</v>
      </c>
      <c r="W256" s="19">
        <f t="shared" si="32"/>
        <v>185546.15039999998</v>
      </c>
      <c r="Z256" s="19">
        <f>U256+U257+U259+U260+U263+U264+U265+U269+U271+U272+U275+U276</f>
        <v>4142096.165</v>
      </c>
    </row>
    <row r="257" spans="1:26" x14ac:dyDescent="0.5">
      <c r="A257">
        <v>16</v>
      </c>
      <c r="B257">
        <v>16</v>
      </c>
      <c r="C257" t="s">
        <v>52</v>
      </c>
      <c r="D257" s="2">
        <v>32636868</v>
      </c>
      <c r="E257" s="2">
        <v>188556.3</v>
      </c>
      <c r="F257" s="2">
        <v>0</v>
      </c>
      <c r="G257" s="2">
        <v>5263.1</v>
      </c>
      <c r="H257" s="2">
        <v>0</v>
      </c>
      <c r="I257" s="2">
        <v>0</v>
      </c>
      <c r="J257" s="4">
        <f t="shared" si="31"/>
        <v>32830687.400000002</v>
      </c>
      <c r="K257" s="17">
        <f>systems!O287</f>
        <v>39992491.599999994</v>
      </c>
      <c r="L257" s="13">
        <f t="shared" si="23"/>
        <v>0.82092128013349408</v>
      </c>
      <c r="Q257" s="2" t="s">
        <v>34</v>
      </c>
      <c r="R257" t="s">
        <v>34</v>
      </c>
      <c r="S257" s="19" t="s">
        <v>34</v>
      </c>
      <c r="U257" s="2">
        <f>0.01*(H257+K257)</f>
        <v>399924.91599999997</v>
      </c>
      <c r="V257">
        <v>0.2</v>
      </c>
      <c r="W257" s="19">
        <f t="shared" si="32"/>
        <v>479909.89919999993</v>
      </c>
      <c r="Z257" s="19">
        <f>U258+U268+U270+U280</f>
        <v>1574236.929</v>
      </c>
    </row>
    <row r="258" spans="1:26" x14ac:dyDescent="0.5">
      <c r="A258">
        <v>30</v>
      </c>
      <c r="B258">
        <v>30</v>
      </c>
      <c r="C258" t="s">
        <v>53</v>
      </c>
      <c r="D258" s="2">
        <v>5216455</v>
      </c>
      <c r="E258" s="2">
        <v>0</v>
      </c>
      <c r="F258" s="2">
        <v>0</v>
      </c>
      <c r="G258" s="2">
        <v>0</v>
      </c>
      <c r="H258" s="2">
        <v>0</v>
      </c>
      <c r="I258" s="2">
        <v>0</v>
      </c>
      <c r="J258" s="4">
        <f t="shared" si="31"/>
        <v>5216455</v>
      </c>
      <c r="K258" s="17">
        <f>systems!O288</f>
        <v>24864541.300000001</v>
      </c>
      <c r="L258" s="13">
        <f t="shared" si="23"/>
        <v>0.20979494200441975</v>
      </c>
      <c r="Q258" s="2" t="s">
        <v>34</v>
      </c>
      <c r="R258" t="s">
        <v>34</v>
      </c>
      <c r="S258" s="19" t="s">
        <v>34</v>
      </c>
      <c r="U258" s="2">
        <f>0.01*(H258+K258)</f>
        <v>248645.413</v>
      </c>
      <c r="V258">
        <v>0.2</v>
      </c>
      <c r="W258" s="19">
        <f t="shared" si="32"/>
        <v>298374.49559999997</v>
      </c>
      <c r="Z258" s="19">
        <f>SUM(Z255:Z257)</f>
        <v>15659105.297741627</v>
      </c>
    </row>
    <row r="259" spans="1:26" x14ac:dyDescent="0.5">
      <c r="A259">
        <v>37</v>
      </c>
      <c r="B259">
        <v>37</v>
      </c>
      <c r="C259" t="s">
        <v>14</v>
      </c>
      <c r="D259" s="2">
        <v>1463665</v>
      </c>
      <c r="E259" s="2">
        <v>7593998.5</v>
      </c>
      <c r="F259" s="2">
        <v>0</v>
      </c>
      <c r="G259" s="2">
        <v>0</v>
      </c>
      <c r="H259" s="2">
        <v>151523.6</v>
      </c>
      <c r="I259" s="2">
        <v>0</v>
      </c>
      <c r="J259" s="4">
        <f t="shared" si="31"/>
        <v>9209187.0999999996</v>
      </c>
      <c r="K259" s="17">
        <f>systems!O289</f>
        <v>21483365.199999999</v>
      </c>
      <c r="L259" s="13">
        <f t="shared" si="23"/>
        <v>0.4286659475490367</v>
      </c>
      <c r="Q259" s="2" t="s">
        <v>34</v>
      </c>
      <c r="R259" t="s">
        <v>34</v>
      </c>
      <c r="S259" s="19" t="s">
        <v>34</v>
      </c>
      <c r="U259" s="2">
        <f>0.01*(H259+K259)</f>
        <v>216348.88800000001</v>
      </c>
      <c r="V259">
        <v>0.2</v>
      </c>
      <c r="W259" s="19">
        <f t="shared" si="32"/>
        <v>259618.66560000001</v>
      </c>
    </row>
    <row r="260" spans="1:26" x14ac:dyDescent="0.5">
      <c r="A260">
        <v>38</v>
      </c>
      <c r="B260">
        <v>38</v>
      </c>
      <c r="C260" t="s">
        <v>54</v>
      </c>
      <c r="D260" s="2">
        <v>8194658</v>
      </c>
      <c r="E260" s="2">
        <v>4934698.5</v>
      </c>
      <c r="F260" s="2">
        <v>5045009.5</v>
      </c>
      <c r="G260" s="2">
        <v>83238.899999999994</v>
      </c>
      <c r="H260" s="2">
        <v>0</v>
      </c>
      <c r="I260" s="2">
        <v>0</v>
      </c>
      <c r="J260" s="4">
        <f t="shared" si="31"/>
        <v>18257604.899999999</v>
      </c>
      <c r="K260" s="17">
        <f>systems!O290</f>
        <v>45649003.299999997</v>
      </c>
      <c r="L260" s="13">
        <f t="shared" ref="L260:L323" si="33">J260/K260</f>
        <v>0.39995626585783528</v>
      </c>
      <c r="Q260" s="2" t="s">
        <v>34</v>
      </c>
      <c r="R260" t="s">
        <v>34</v>
      </c>
      <c r="S260" s="19" t="s">
        <v>34</v>
      </c>
      <c r="U260" s="2">
        <f>0.01*(H260+K260)</f>
        <v>456490.033</v>
      </c>
      <c r="V260">
        <v>0.2</v>
      </c>
      <c r="W260" s="19">
        <f t="shared" si="32"/>
        <v>547788.03960000002</v>
      </c>
    </row>
    <row r="261" spans="1:26" x14ac:dyDescent="0.5">
      <c r="A261">
        <v>60</v>
      </c>
      <c r="B261">
        <v>60</v>
      </c>
      <c r="C261" t="s">
        <v>15</v>
      </c>
      <c r="D261" s="2">
        <v>127712072</v>
      </c>
      <c r="E261" s="2">
        <v>74292920</v>
      </c>
      <c r="F261" s="2">
        <v>663982528</v>
      </c>
      <c r="G261" s="2">
        <v>2538021.5</v>
      </c>
      <c r="H261" s="2">
        <v>247246.3</v>
      </c>
      <c r="I261" s="2">
        <v>14719547</v>
      </c>
      <c r="J261" s="4">
        <f t="shared" si="31"/>
        <v>883492334.79999995</v>
      </c>
      <c r="K261" s="17">
        <f>systems!O291</f>
        <v>1012607173.8</v>
      </c>
      <c r="L261" s="13">
        <f t="shared" si="33"/>
        <v>0.87249266809411186</v>
      </c>
      <c r="Q261" s="2">
        <f>0.01*SUM(D261:I261)</f>
        <v>8834923.3479999993</v>
      </c>
      <c r="R261">
        <v>0.2</v>
      </c>
      <c r="S261" s="19">
        <f>Q261*(1+R261)</f>
        <v>10601908.017599998</v>
      </c>
      <c r="U261" s="2" t="s">
        <v>34</v>
      </c>
      <c r="V261" t="s">
        <v>34</v>
      </c>
      <c r="W261" s="19" t="s">
        <v>34</v>
      </c>
    </row>
    <row r="262" spans="1:26" x14ac:dyDescent="0.5">
      <c r="A262">
        <v>67</v>
      </c>
      <c r="B262">
        <v>67</v>
      </c>
      <c r="C262" t="s">
        <v>16</v>
      </c>
      <c r="D262" s="2">
        <v>3192169.3</v>
      </c>
      <c r="E262" s="2">
        <v>10950277</v>
      </c>
      <c r="F262" s="2">
        <v>0</v>
      </c>
      <c r="G262" s="2">
        <v>13470</v>
      </c>
      <c r="H262" s="2">
        <v>0</v>
      </c>
      <c r="I262" s="2">
        <v>0</v>
      </c>
      <c r="J262" s="4">
        <f t="shared" si="31"/>
        <v>14155916.300000001</v>
      </c>
      <c r="K262" s="17">
        <f>systems!O292</f>
        <v>21121504.900000002</v>
      </c>
      <c r="L262" s="13">
        <f t="shared" si="33"/>
        <v>0.6702134325665402</v>
      </c>
      <c r="Q262" s="2">
        <f>0.01*(D262+G262)</f>
        <v>32056.393</v>
      </c>
      <c r="R262">
        <v>0.2</v>
      </c>
      <c r="S262" s="19">
        <f>Q262*(1+R262)</f>
        <v>38467.671600000001</v>
      </c>
      <c r="U262" s="2" t="s">
        <v>34</v>
      </c>
      <c r="V262" t="s">
        <v>34</v>
      </c>
      <c r="W262" s="19" t="s">
        <v>34</v>
      </c>
    </row>
    <row r="263" spans="1:26" x14ac:dyDescent="0.5">
      <c r="A263">
        <v>69</v>
      </c>
      <c r="B263">
        <v>69</v>
      </c>
      <c r="C263" t="s">
        <v>17</v>
      </c>
      <c r="D263" s="2">
        <v>2292961</v>
      </c>
      <c r="E263" s="2">
        <v>33191342</v>
      </c>
      <c r="F263" s="2">
        <v>0</v>
      </c>
      <c r="G263" s="2">
        <v>29991.7</v>
      </c>
      <c r="H263" s="2">
        <v>41761.9</v>
      </c>
      <c r="I263" s="2">
        <v>0</v>
      </c>
      <c r="J263" s="4">
        <f t="shared" si="31"/>
        <v>35556056.600000001</v>
      </c>
      <c r="K263" s="17">
        <f>systems!O293</f>
        <v>47316569.799999997</v>
      </c>
      <c r="L263" s="13">
        <f t="shared" si="33"/>
        <v>0.75145042741454182</v>
      </c>
      <c r="Q263" s="2" t="s">
        <v>34</v>
      </c>
      <c r="R263" t="s">
        <v>34</v>
      </c>
      <c r="S263" s="19" t="s">
        <v>34</v>
      </c>
      <c r="U263" s="2">
        <f>0.01*(H263+K263)</f>
        <v>473583.31699999998</v>
      </c>
      <c r="V263">
        <v>0.2</v>
      </c>
      <c r="W263" s="19">
        <f>U263*(1+V263)</f>
        <v>568299.9804</v>
      </c>
    </row>
    <row r="264" spans="1:26" x14ac:dyDescent="0.5">
      <c r="A264">
        <v>71</v>
      </c>
      <c r="B264">
        <v>71</v>
      </c>
      <c r="C264" t="s">
        <v>18</v>
      </c>
      <c r="D264" s="2">
        <v>1712795</v>
      </c>
      <c r="E264" s="2">
        <v>0</v>
      </c>
      <c r="F264" s="2">
        <v>0</v>
      </c>
      <c r="G264" s="2">
        <v>0</v>
      </c>
      <c r="H264" s="2">
        <v>0</v>
      </c>
      <c r="I264" s="2">
        <v>0</v>
      </c>
      <c r="J264" s="4">
        <f t="shared" si="31"/>
        <v>1712795</v>
      </c>
      <c r="K264" s="17">
        <f>systems!O294</f>
        <v>2150434.9</v>
      </c>
      <c r="L264" s="13">
        <f t="shared" si="33"/>
        <v>0.79648772441332683</v>
      </c>
      <c r="Q264" s="2" t="s">
        <v>34</v>
      </c>
      <c r="R264" t="s">
        <v>34</v>
      </c>
      <c r="S264" s="19" t="s">
        <v>34</v>
      </c>
      <c r="U264" s="2">
        <f>0.01*(H264+K264)</f>
        <v>21504.348999999998</v>
      </c>
      <c r="V264">
        <v>0.2</v>
      </c>
      <c r="W264" s="19">
        <f>U264*(1+V264)</f>
        <v>25805.218799999999</v>
      </c>
    </row>
    <row r="265" spans="1:26" x14ac:dyDescent="0.5">
      <c r="A265">
        <v>72</v>
      </c>
      <c r="B265">
        <v>72</v>
      </c>
      <c r="C265" t="s">
        <v>19</v>
      </c>
      <c r="D265" s="2">
        <v>1433653.3</v>
      </c>
      <c r="E265" s="2">
        <v>111749.5</v>
      </c>
      <c r="F265" s="2">
        <v>0</v>
      </c>
      <c r="G265" s="2">
        <v>45251</v>
      </c>
      <c r="H265" s="2">
        <v>0</v>
      </c>
      <c r="I265" s="2">
        <v>0</v>
      </c>
      <c r="J265" s="4">
        <f t="shared" si="31"/>
        <v>1590653.8</v>
      </c>
      <c r="K265" s="17">
        <f>systems!O295</f>
        <v>3434760.8</v>
      </c>
      <c r="L265" s="13">
        <f t="shared" si="33"/>
        <v>0.46310467966211799</v>
      </c>
      <c r="Q265" s="2" t="s">
        <v>34</v>
      </c>
      <c r="R265" t="s">
        <v>34</v>
      </c>
      <c r="S265" s="19" t="s">
        <v>34</v>
      </c>
      <c r="U265" s="2">
        <f>0.01*(H265+K265)</f>
        <v>34347.608</v>
      </c>
      <c r="V265">
        <v>0.2</v>
      </c>
      <c r="W265" s="19">
        <f>U265*(1+V265)</f>
        <v>41217.1296</v>
      </c>
    </row>
    <row r="266" spans="1:26" x14ac:dyDescent="0.5">
      <c r="A266">
        <v>96</v>
      </c>
      <c r="B266">
        <v>96</v>
      </c>
      <c r="C266" t="s">
        <v>20</v>
      </c>
      <c r="D266" s="2">
        <v>26502042</v>
      </c>
      <c r="E266" s="2">
        <v>39270456</v>
      </c>
      <c r="F266" s="2">
        <v>139180464</v>
      </c>
      <c r="G266" s="2">
        <v>1398026.9</v>
      </c>
      <c r="H266" s="2">
        <v>3430378.5</v>
      </c>
      <c r="I266" s="2">
        <v>1879536.1</v>
      </c>
      <c r="J266" s="4">
        <f t="shared" si="31"/>
        <v>211660903.5</v>
      </c>
      <c r="K266" s="17">
        <f>systems!O296</f>
        <v>368358413.5</v>
      </c>
      <c r="L266" s="13">
        <f t="shared" si="33"/>
        <v>0.5746058614187185</v>
      </c>
      <c r="Q266" s="2">
        <f>0.01*SUM(D266:I266)</f>
        <v>2116609.0350000001</v>
      </c>
      <c r="R266">
        <v>0.2</v>
      </c>
      <c r="S266" s="19">
        <f>Q266*(1+R266)</f>
        <v>2539930.8420000002</v>
      </c>
      <c r="U266" s="2" t="s">
        <v>34</v>
      </c>
      <c r="V266" t="s">
        <v>34</v>
      </c>
      <c r="W266" s="19" t="s">
        <v>34</v>
      </c>
    </row>
    <row r="267" spans="1:26" x14ac:dyDescent="0.5">
      <c r="A267">
        <v>121</v>
      </c>
      <c r="B267">
        <v>121</v>
      </c>
      <c r="C267" t="s">
        <v>21</v>
      </c>
      <c r="D267" s="2">
        <v>19258380</v>
      </c>
      <c r="E267" s="2">
        <v>0</v>
      </c>
      <c r="F267" s="2">
        <v>0</v>
      </c>
      <c r="G267" s="2">
        <v>186636.3</v>
      </c>
      <c r="H267" s="2">
        <v>0</v>
      </c>
      <c r="I267" s="2">
        <v>0</v>
      </c>
      <c r="J267" s="4">
        <f t="shared" si="31"/>
        <v>19445016.300000001</v>
      </c>
      <c r="K267" s="17">
        <f>systems!O297</f>
        <v>34036312.699999996</v>
      </c>
      <c r="L267" s="13">
        <f t="shared" si="33"/>
        <v>0.57130208173225538</v>
      </c>
      <c r="Q267" s="2">
        <f>0.01*(D267+G267)</f>
        <v>194450.163</v>
      </c>
      <c r="R267">
        <v>0.2</v>
      </c>
      <c r="S267" s="19">
        <f>Q267*(1+R267)</f>
        <v>233340.19560000001</v>
      </c>
      <c r="U267" s="2" t="s">
        <v>34</v>
      </c>
      <c r="V267" t="s">
        <v>34</v>
      </c>
      <c r="W267" s="19" t="s">
        <v>34</v>
      </c>
    </row>
    <row r="268" spans="1:26" x14ac:dyDescent="0.5">
      <c r="A268">
        <v>126</v>
      </c>
      <c r="B268">
        <v>126</v>
      </c>
      <c r="C268" t="s">
        <v>22</v>
      </c>
      <c r="D268" s="2">
        <v>2713133.5</v>
      </c>
      <c r="E268" s="2">
        <v>2054716.8</v>
      </c>
      <c r="F268" s="2">
        <v>0</v>
      </c>
      <c r="G268" s="2">
        <v>91129.8</v>
      </c>
      <c r="H268" s="2">
        <v>68604</v>
      </c>
      <c r="I268" s="2">
        <v>0</v>
      </c>
      <c r="J268" s="4">
        <f t="shared" si="31"/>
        <v>4927584.0999999996</v>
      </c>
      <c r="K268" s="17">
        <f>systems!O298</f>
        <v>16015744</v>
      </c>
      <c r="L268" s="13">
        <f t="shared" si="33"/>
        <v>0.30767125773239129</v>
      </c>
      <c r="Q268" s="2" t="s">
        <v>34</v>
      </c>
      <c r="R268" t="s">
        <v>34</v>
      </c>
      <c r="S268" s="19" t="s">
        <v>34</v>
      </c>
      <c r="U268" s="2">
        <f>0.01*(H268+K268)</f>
        <v>160843.48000000001</v>
      </c>
      <c r="V268">
        <v>0.2</v>
      </c>
      <c r="W268" s="19">
        <f t="shared" ref="W268:W273" si="34">U268*(1+V268)</f>
        <v>193012.17600000001</v>
      </c>
    </row>
    <row r="269" spans="1:26" x14ac:dyDescent="0.5">
      <c r="A269">
        <v>127</v>
      </c>
      <c r="B269">
        <v>127</v>
      </c>
      <c r="C269" t="s">
        <v>55</v>
      </c>
      <c r="D269" s="2">
        <v>3145271</v>
      </c>
      <c r="E269" s="2">
        <v>0</v>
      </c>
      <c r="F269" s="2">
        <v>0</v>
      </c>
      <c r="G269" s="2">
        <v>82999</v>
      </c>
      <c r="H269" s="2">
        <v>0</v>
      </c>
      <c r="I269" s="2">
        <v>0</v>
      </c>
      <c r="J269" s="4">
        <f t="shared" si="31"/>
        <v>3228270</v>
      </c>
      <c r="K269" s="17">
        <f>systems!O299</f>
        <v>8627168.5999999996</v>
      </c>
      <c r="L269" s="13">
        <f t="shared" si="33"/>
        <v>0.37419808858262027</v>
      </c>
      <c r="Q269" s="2" t="s">
        <v>34</v>
      </c>
      <c r="R269" t="s">
        <v>34</v>
      </c>
      <c r="S269" s="19" t="s">
        <v>34</v>
      </c>
      <c r="U269" s="2">
        <f>0.01*(H269+K269)</f>
        <v>86271.686000000002</v>
      </c>
      <c r="V269">
        <v>0.2</v>
      </c>
      <c r="W269" s="19">
        <f t="shared" si="34"/>
        <v>103526.0232</v>
      </c>
    </row>
    <row r="270" spans="1:26" x14ac:dyDescent="0.5">
      <c r="A270">
        <v>131</v>
      </c>
      <c r="B270">
        <v>131</v>
      </c>
      <c r="C270" t="s">
        <v>23</v>
      </c>
      <c r="D270" s="2">
        <v>5308830.5</v>
      </c>
      <c r="E270" s="2">
        <v>3553434.5</v>
      </c>
      <c r="F270" s="2">
        <v>1025214.8</v>
      </c>
      <c r="G270" s="2">
        <v>6698.2</v>
      </c>
      <c r="H270" s="2">
        <v>35935.300000000003</v>
      </c>
      <c r="I270" s="2">
        <v>0</v>
      </c>
      <c r="J270" s="4">
        <f t="shared" si="31"/>
        <v>9930113.3000000007</v>
      </c>
      <c r="K270" s="17">
        <f>systems!O300</f>
        <v>16945023.800000001</v>
      </c>
      <c r="L270" s="13">
        <f t="shared" si="33"/>
        <v>0.58601943657346767</v>
      </c>
      <c r="Q270" s="2" t="s">
        <v>34</v>
      </c>
      <c r="R270" t="s">
        <v>34</v>
      </c>
      <c r="S270" s="19" t="s">
        <v>34</v>
      </c>
      <c r="U270" s="2">
        <f>0.01*(H270+K270)</f>
        <v>169809.59100000001</v>
      </c>
      <c r="V270">
        <v>0.2</v>
      </c>
      <c r="W270" s="19">
        <f t="shared" si="34"/>
        <v>203771.5092</v>
      </c>
    </row>
    <row r="271" spans="1:26" x14ac:dyDescent="0.5">
      <c r="A271">
        <v>134</v>
      </c>
      <c r="B271">
        <v>134</v>
      </c>
      <c r="C271" t="s">
        <v>24</v>
      </c>
      <c r="D271" s="2">
        <v>10592993</v>
      </c>
      <c r="E271" s="2">
        <v>0</v>
      </c>
      <c r="F271" s="2">
        <v>0</v>
      </c>
      <c r="G271" s="2">
        <v>34481.9</v>
      </c>
      <c r="H271" s="2">
        <v>0</v>
      </c>
      <c r="I271" s="2">
        <v>0</v>
      </c>
      <c r="J271" s="4">
        <f t="shared" si="31"/>
        <v>10627474.9</v>
      </c>
      <c r="K271" s="17">
        <f>systems!O301</f>
        <v>30481884.599999998</v>
      </c>
      <c r="L271" s="13">
        <f t="shared" si="33"/>
        <v>0.34864887914443454</v>
      </c>
      <c r="Q271" s="2" t="s">
        <v>34</v>
      </c>
      <c r="R271" t="s">
        <v>34</v>
      </c>
      <c r="S271" s="19" t="s">
        <v>34</v>
      </c>
      <c r="U271" s="2">
        <f>0.01*(H271+K271)</f>
        <v>304818.84599999996</v>
      </c>
      <c r="V271">
        <v>0.2</v>
      </c>
      <c r="W271" s="19">
        <f t="shared" si="34"/>
        <v>365782.61519999994</v>
      </c>
    </row>
    <row r="272" spans="1:26" x14ac:dyDescent="0.5">
      <c r="A272">
        <v>135</v>
      </c>
      <c r="B272">
        <v>135</v>
      </c>
      <c r="C272" t="s">
        <v>25</v>
      </c>
      <c r="D272" s="2">
        <v>62872684</v>
      </c>
      <c r="E272" s="2">
        <v>80290592</v>
      </c>
      <c r="F272" s="2">
        <v>6406507</v>
      </c>
      <c r="G272" s="2">
        <v>1101692.3</v>
      </c>
      <c r="H272" s="2">
        <v>332166.2</v>
      </c>
      <c r="I272" s="2">
        <v>0</v>
      </c>
      <c r="J272" s="4">
        <f t="shared" si="31"/>
        <v>151003641.5</v>
      </c>
      <c r="K272" s="17">
        <f>systems!O302</f>
        <v>163780699.20000002</v>
      </c>
      <c r="L272" s="13">
        <f t="shared" si="33"/>
        <v>0.92198679232406144</v>
      </c>
      <c r="Q272" s="2" t="s">
        <v>34</v>
      </c>
      <c r="R272" t="s">
        <v>34</v>
      </c>
      <c r="S272" s="19" t="s">
        <v>34</v>
      </c>
      <c r="U272" s="2">
        <f>0.01*(H272+K272)</f>
        <v>1641128.6540000001</v>
      </c>
      <c r="V272">
        <v>0.2</v>
      </c>
      <c r="W272" s="19">
        <f t="shared" si="34"/>
        <v>1969354.3848000001</v>
      </c>
    </row>
    <row r="273" spans="1:23" x14ac:dyDescent="0.5">
      <c r="A273">
        <v>156</v>
      </c>
      <c r="B273">
        <v>156</v>
      </c>
      <c r="C273" t="s">
        <v>26</v>
      </c>
      <c r="D273" s="2">
        <v>0</v>
      </c>
      <c r="E273" s="2">
        <v>7389565</v>
      </c>
      <c r="F273" s="2">
        <v>15225635</v>
      </c>
      <c r="G273" s="2">
        <v>0</v>
      </c>
      <c r="H273" s="2">
        <v>188296.6</v>
      </c>
      <c r="I273" s="2">
        <v>96062</v>
      </c>
      <c r="J273" s="4">
        <f t="shared" si="31"/>
        <v>22899558.600000001</v>
      </c>
      <c r="K273" s="17">
        <f>systems!O303</f>
        <v>24255072.100000001</v>
      </c>
      <c r="L273" s="13">
        <f t="shared" si="33"/>
        <v>0.94411422508201903</v>
      </c>
      <c r="Q273" s="2" t="s">
        <v>34</v>
      </c>
      <c r="R273" t="s">
        <v>34</v>
      </c>
      <c r="S273" s="19" t="s">
        <v>34</v>
      </c>
      <c r="U273" s="2">
        <f>0.01*SUM(H273:M273)</f>
        <v>474389.9024411423</v>
      </c>
      <c r="V273">
        <v>0.2</v>
      </c>
      <c r="W273" s="19">
        <f t="shared" si="34"/>
        <v>569267.88292937074</v>
      </c>
    </row>
    <row r="274" spans="1:23" x14ac:dyDescent="0.5">
      <c r="A274">
        <v>159</v>
      </c>
      <c r="B274">
        <v>159</v>
      </c>
      <c r="C274" t="s">
        <v>27</v>
      </c>
      <c r="D274" s="2">
        <v>13267878</v>
      </c>
      <c r="E274" s="2">
        <v>0</v>
      </c>
      <c r="F274" s="2">
        <v>0</v>
      </c>
      <c r="G274" s="2">
        <v>107881.60000000001</v>
      </c>
      <c r="H274" s="2">
        <v>0</v>
      </c>
      <c r="I274" s="2">
        <v>0</v>
      </c>
      <c r="J274" s="4">
        <f t="shared" si="31"/>
        <v>13375759.6</v>
      </c>
      <c r="K274" s="17">
        <f>systems!O304</f>
        <v>17451074.200000003</v>
      </c>
      <c r="L274" s="13">
        <f t="shared" si="33"/>
        <v>0.76647199173561464</v>
      </c>
      <c r="Q274" s="2">
        <f>0.01*(D274+G274)</f>
        <v>133757.59599999999</v>
      </c>
      <c r="R274">
        <v>0.2</v>
      </c>
      <c r="S274" s="19">
        <f>Q274*(1+R274)</f>
        <v>160509.11519999997</v>
      </c>
      <c r="U274" s="2" t="s">
        <v>34</v>
      </c>
      <c r="V274" t="s">
        <v>34</v>
      </c>
      <c r="W274" s="19" t="s">
        <v>34</v>
      </c>
    </row>
    <row r="275" spans="1:23" x14ac:dyDescent="0.5">
      <c r="A275">
        <v>178</v>
      </c>
      <c r="B275">
        <v>178</v>
      </c>
      <c r="C275" t="s">
        <v>56</v>
      </c>
      <c r="D275" s="2">
        <v>14512985</v>
      </c>
      <c r="E275" s="2">
        <v>0</v>
      </c>
      <c r="F275" s="2">
        <v>0</v>
      </c>
      <c r="G275" s="2">
        <v>25733.7</v>
      </c>
      <c r="H275" s="2">
        <v>0</v>
      </c>
      <c r="I275" s="2">
        <v>0</v>
      </c>
      <c r="J275" s="4">
        <f t="shared" si="31"/>
        <v>14538718.699999999</v>
      </c>
      <c r="K275" s="17">
        <f>systems!O305</f>
        <v>30193430.899999999</v>
      </c>
      <c r="L275" s="13">
        <f t="shared" si="33"/>
        <v>0.48151926649713728</v>
      </c>
      <c r="Q275" s="2" t="s">
        <v>34</v>
      </c>
      <c r="R275" t="s">
        <v>34</v>
      </c>
      <c r="S275" s="19" t="s">
        <v>34</v>
      </c>
      <c r="U275" s="2">
        <f>0.01*(H275+K275)</f>
        <v>301934.30900000001</v>
      </c>
      <c r="V275">
        <v>0.2</v>
      </c>
      <c r="W275" s="19">
        <f>U275*(1+V275)</f>
        <v>362321.17080000002</v>
      </c>
    </row>
    <row r="276" spans="1:23" x14ac:dyDescent="0.5">
      <c r="A276">
        <v>179</v>
      </c>
      <c r="B276">
        <v>179</v>
      </c>
      <c r="C276" t="s">
        <v>28</v>
      </c>
      <c r="D276" s="2">
        <v>944338.3</v>
      </c>
      <c r="E276" s="2">
        <v>3042948.3</v>
      </c>
      <c r="F276" s="2">
        <v>0</v>
      </c>
      <c r="G276" s="2">
        <v>0</v>
      </c>
      <c r="H276" s="2">
        <v>18992.2</v>
      </c>
      <c r="I276" s="2">
        <v>0</v>
      </c>
      <c r="J276" s="4">
        <f t="shared" si="31"/>
        <v>4006278.8</v>
      </c>
      <c r="K276" s="17">
        <f>systems!O306</f>
        <v>5093184.5000000009</v>
      </c>
      <c r="L276" s="13">
        <f t="shared" si="33"/>
        <v>0.78659604811096062</v>
      </c>
      <c r="Q276" s="2" t="s">
        <v>34</v>
      </c>
      <c r="R276" t="s">
        <v>34</v>
      </c>
      <c r="S276" s="19" t="s">
        <v>34</v>
      </c>
      <c r="U276" s="2">
        <f>0.01*(H276+K276)</f>
        <v>51121.767000000014</v>
      </c>
      <c r="V276">
        <v>0.2</v>
      </c>
      <c r="W276" s="19">
        <f>U276*(1+V276)</f>
        <v>61346.120400000014</v>
      </c>
    </row>
    <row r="277" spans="1:23" x14ac:dyDescent="0.5">
      <c r="A277">
        <v>188</v>
      </c>
      <c r="B277">
        <v>188</v>
      </c>
      <c r="C277" t="s">
        <v>29</v>
      </c>
      <c r="D277" s="2">
        <v>128843952</v>
      </c>
      <c r="E277" s="2">
        <v>99394528</v>
      </c>
      <c r="F277" s="2">
        <v>21055494</v>
      </c>
      <c r="G277" s="2">
        <v>491392.1</v>
      </c>
      <c r="H277" s="2">
        <v>51861</v>
      </c>
      <c r="I277" s="2">
        <v>14984.5</v>
      </c>
      <c r="J277" s="4">
        <f t="shared" si="31"/>
        <v>249852211.59999999</v>
      </c>
      <c r="K277" s="17">
        <f>systems!O307</f>
        <v>364443454.10000002</v>
      </c>
      <c r="L277" s="13">
        <f t="shared" si="33"/>
        <v>0.68557195578396313</v>
      </c>
      <c r="Q277" s="2" t="s">
        <v>34</v>
      </c>
      <c r="R277" t="s">
        <v>34</v>
      </c>
      <c r="S277" s="19" t="s">
        <v>34</v>
      </c>
      <c r="U277" s="2">
        <f>0.01*SUM(H277:M277)</f>
        <v>6143625.1188557195</v>
      </c>
      <c r="V277">
        <v>0.2</v>
      </c>
      <c r="W277" s="19">
        <f>U277*(1+V277)</f>
        <v>7372350.142626863</v>
      </c>
    </row>
    <row r="278" spans="1:23" x14ac:dyDescent="0.5">
      <c r="A278">
        <v>189</v>
      </c>
      <c r="B278">
        <v>189</v>
      </c>
      <c r="C278" t="s">
        <v>30</v>
      </c>
      <c r="D278" s="2">
        <v>2434965</v>
      </c>
      <c r="E278" s="2">
        <v>103264952</v>
      </c>
      <c r="F278" s="2">
        <v>34650820</v>
      </c>
      <c r="G278" s="2">
        <v>0</v>
      </c>
      <c r="H278" s="2">
        <v>82603.100000000006</v>
      </c>
      <c r="I278" s="2">
        <v>0</v>
      </c>
      <c r="J278" s="4">
        <f t="shared" si="31"/>
        <v>140433340.09999999</v>
      </c>
      <c r="K278" s="17">
        <f>systems!O308</f>
        <v>170938380.39999998</v>
      </c>
      <c r="L278" s="13">
        <f t="shared" si="33"/>
        <v>0.82154364497535637</v>
      </c>
      <c r="Q278" s="2" t="s">
        <v>34</v>
      </c>
      <c r="R278" t="s">
        <v>34</v>
      </c>
      <c r="S278" s="19" t="s">
        <v>34</v>
      </c>
      <c r="U278" s="2">
        <f>0.01*SUM(H278:M278)</f>
        <v>3114543.2442154358</v>
      </c>
      <c r="V278">
        <v>0.2</v>
      </c>
      <c r="W278" s="19">
        <f>U278*(1+V278)</f>
        <v>3737451.8930585231</v>
      </c>
    </row>
    <row r="279" spans="1:23" x14ac:dyDescent="0.5">
      <c r="A279">
        <v>203</v>
      </c>
      <c r="B279">
        <v>203</v>
      </c>
      <c r="C279" t="s">
        <v>31</v>
      </c>
      <c r="D279" s="2">
        <v>6441432</v>
      </c>
      <c r="E279" s="2">
        <v>88387.3</v>
      </c>
      <c r="F279" s="2">
        <v>0</v>
      </c>
      <c r="G279" s="2">
        <v>68189.899999999994</v>
      </c>
      <c r="H279" s="2">
        <v>0</v>
      </c>
      <c r="I279" s="2">
        <v>0</v>
      </c>
      <c r="J279" s="4">
        <f t="shared" si="31"/>
        <v>6598009.2000000002</v>
      </c>
      <c r="K279" s="17">
        <f>systems!O309</f>
        <v>37521292.200000003</v>
      </c>
      <c r="L279" s="13">
        <f t="shared" si="33"/>
        <v>0.17584706744188303</v>
      </c>
      <c r="Q279" s="2">
        <f>0.01*(D279+G279)</f>
        <v>65096.219000000005</v>
      </c>
      <c r="R279">
        <v>0.2</v>
      </c>
      <c r="S279" s="19">
        <f>Q279*(1+R279)</f>
        <v>78115.462800000008</v>
      </c>
      <c r="U279" s="2" t="s">
        <v>34</v>
      </c>
      <c r="V279" t="s">
        <v>34</v>
      </c>
      <c r="W279" s="19" t="s">
        <v>34</v>
      </c>
    </row>
    <row r="280" spans="1:23" x14ac:dyDescent="0.5">
      <c r="A280">
        <v>204</v>
      </c>
      <c r="B280">
        <v>204</v>
      </c>
      <c r="C280" t="s">
        <v>32</v>
      </c>
      <c r="D280" s="2">
        <v>46318492</v>
      </c>
      <c r="E280" s="2">
        <v>418353.7</v>
      </c>
      <c r="F280" s="2">
        <v>16813624</v>
      </c>
      <c r="G280" s="2">
        <v>297958.8</v>
      </c>
      <c r="H280" s="2">
        <v>0</v>
      </c>
      <c r="I280" s="2">
        <v>419239.5</v>
      </c>
      <c r="J280" s="4">
        <f t="shared" si="31"/>
        <v>64267668</v>
      </c>
      <c r="K280" s="17">
        <f>systems!O310</f>
        <v>99493844.5</v>
      </c>
      <c r="L280" s="13">
        <f t="shared" si="33"/>
        <v>0.64594617207700722</v>
      </c>
      <c r="Q280" s="2" t="s">
        <v>34</v>
      </c>
      <c r="R280" t="s">
        <v>34</v>
      </c>
      <c r="S280" s="19" t="s">
        <v>34</v>
      </c>
      <c r="U280" s="2">
        <f>0.01*(H280+K280)</f>
        <v>994938.44500000007</v>
      </c>
      <c r="V280">
        <v>0.2</v>
      </c>
      <c r="W280" s="19">
        <f>U280*(1+V280)</f>
        <v>1193926.1340000001</v>
      </c>
    </row>
    <row r="281" spans="1:23" x14ac:dyDescent="0.5">
      <c r="D281" s="4">
        <f t="shared" ref="D281:I281" si="35">SUM(D255:D280)</f>
        <v>530228498.70000005</v>
      </c>
      <c r="E281" s="4">
        <f t="shared" si="35"/>
        <v>477268113.69999999</v>
      </c>
      <c r="F281" s="4">
        <f t="shared" si="35"/>
        <v>911265085.79999995</v>
      </c>
      <c r="G281" s="4">
        <f t="shared" si="35"/>
        <v>6608056.7000000002</v>
      </c>
      <c r="H281" s="4">
        <f t="shared" si="35"/>
        <v>4832074.4999999991</v>
      </c>
      <c r="I281" s="4">
        <f t="shared" si="35"/>
        <v>17174750.199999999</v>
      </c>
      <c r="J281" s="4">
        <f t="shared" si="31"/>
        <v>1947376579.6000001</v>
      </c>
      <c r="K281" s="17">
        <f>systems!O311</f>
        <v>2632505854.1999998</v>
      </c>
      <c r="L281" s="13">
        <f t="shared" si="33"/>
        <v>0.73974254472903889</v>
      </c>
      <c r="Q281" s="4">
        <f>SUM(Q255:Q280)</f>
        <v>11376892.754000001</v>
      </c>
      <c r="R281" s="8"/>
      <c r="S281" s="4">
        <f>SUM(S255:S280)</f>
        <v>13652271.304799998</v>
      </c>
      <c r="T281" s="8"/>
      <c r="U281" s="4">
        <f>SUM(U255:U280)</f>
        <v>15659105.297741629</v>
      </c>
      <c r="V281" s="8"/>
      <c r="W281" s="4">
        <f>SUM(W255:W280)</f>
        <v>18790926.357289955</v>
      </c>
    </row>
    <row r="282" spans="1:23" x14ac:dyDescent="0.5">
      <c r="A282" t="s">
        <v>46</v>
      </c>
      <c r="D282" s="2"/>
      <c r="E282" s="2"/>
      <c r="F282" s="2"/>
      <c r="G282" s="2"/>
      <c r="H282" s="2"/>
      <c r="I282" s="2"/>
      <c r="J282" s="4"/>
      <c r="K282" s="17"/>
    </row>
    <row r="283" spans="1:23" x14ac:dyDescent="0.5">
      <c r="A283">
        <v>13</v>
      </c>
      <c r="B283">
        <v>13</v>
      </c>
      <c r="C283" t="s">
        <v>12</v>
      </c>
      <c r="D283" s="2">
        <v>0</v>
      </c>
      <c r="E283" s="2">
        <v>1137531</v>
      </c>
      <c r="F283" s="2">
        <v>5083550.5</v>
      </c>
      <c r="G283" s="2">
        <v>0</v>
      </c>
      <c r="H283" s="2">
        <v>90010</v>
      </c>
      <c r="I283" s="2">
        <v>29619.4</v>
      </c>
      <c r="J283" s="4">
        <f t="shared" ref="J283:J309" si="36">SUM(D283:I283)</f>
        <v>6340710.9000000004</v>
      </c>
      <c r="K283" s="17">
        <f>systems!O313</f>
        <v>6671521.7999999998</v>
      </c>
      <c r="L283" s="13">
        <f t="shared" si="33"/>
        <v>0.95041447664909084</v>
      </c>
      <c r="Q283" s="2" t="s">
        <v>34</v>
      </c>
      <c r="U283" s="2">
        <f>SUM(H283:M283)</f>
        <v>13131863.050414478</v>
      </c>
    </row>
    <row r="284" spans="1:23" x14ac:dyDescent="0.5">
      <c r="A284">
        <v>15</v>
      </c>
      <c r="B284">
        <v>15</v>
      </c>
      <c r="C284" t="s">
        <v>13</v>
      </c>
      <c r="D284" s="2">
        <v>6375799.5</v>
      </c>
      <c r="E284" s="2">
        <v>7260010.5</v>
      </c>
      <c r="F284" s="2">
        <v>0</v>
      </c>
      <c r="G284" s="2">
        <v>0</v>
      </c>
      <c r="H284" s="2">
        <v>71952.100000000006</v>
      </c>
      <c r="I284" s="2">
        <v>0</v>
      </c>
      <c r="J284" s="4">
        <f t="shared" si="36"/>
        <v>13707762.1</v>
      </c>
      <c r="K284" s="17">
        <f>systems!O314</f>
        <v>17001098.400000002</v>
      </c>
      <c r="L284" s="13">
        <f t="shared" si="33"/>
        <v>0.80628685144249257</v>
      </c>
      <c r="Q284" s="2" t="s">
        <v>34</v>
      </c>
      <c r="U284" s="2">
        <f>(H284+K284)</f>
        <v>17073050.500000004</v>
      </c>
    </row>
    <row r="285" spans="1:23" x14ac:dyDescent="0.5">
      <c r="A285">
        <v>16</v>
      </c>
      <c r="B285">
        <v>16</v>
      </c>
      <c r="C285" t="s">
        <v>52</v>
      </c>
      <c r="D285" s="2">
        <v>71290152</v>
      </c>
      <c r="E285" s="2">
        <v>237205.8</v>
      </c>
      <c r="F285" s="2">
        <v>0</v>
      </c>
      <c r="G285" s="2">
        <v>11736.8</v>
      </c>
      <c r="H285" s="2">
        <v>0</v>
      </c>
      <c r="I285" s="2">
        <v>0</v>
      </c>
      <c r="J285" s="4">
        <f t="shared" si="36"/>
        <v>71539094.599999994</v>
      </c>
      <c r="K285" s="17">
        <f>systems!O315</f>
        <v>78780885.699999988</v>
      </c>
      <c r="L285" s="13">
        <f t="shared" si="33"/>
        <v>0.90807680015712244</v>
      </c>
      <c r="Q285" s="2" t="s">
        <v>34</v>
      </c>
      <c r="U285" s="2">
        <f>(H285+K285)</f>
        <v>78780885.699999988</v>
      </c>
    </row>
    <row r="286" spans="1:23" x14ac:dyDescent="0.5">
      <c r="A286">
        <v>30</v>
      </c>
      <c r="B286">
        <v>30</v>
      </c>
      <c r="C286" t="s">
        <v>53</v>
      </c>
      <c r="D286" s="2">
        <v>1825923.3</v>
      </c>
      <c r="E286" s="2">
        <v>0</v>
      </c>
      <c r="F286" s="2">
        <v>0</v>
      </c>
      <c r="G286" s="2">
        <v>0</v>
      </c>
      <c r="H286" s="2">
        <v>0</v>
      </c>
      <c r="I286" s="2">
        <v>0</v>
      </c>
      <c r="J286" s="4">
        <f t="shared" si="36"/>
        <v>1825923.3</v>
      </c>
      <c r="K286" s="17">
        <f>systems!O316</f>
        <v>8602007</v>
      </c>
      <c r="L286" s="13">
        <f t="shared" si="33"/>
        <v>0.21226712556732399</v>
      </c>
      <c r="Q286" s="2" t="s">
        <v>34</v>
      </c>
      <c r="U286" s="2">
        <f>(H286+K286)</f>
        <v>8602007</v>
      </c>
    </row>
    <row r="287" spans="1:23" x14ac:dyDescent="0.5">
      <c r="A287">
        <v>37</v>
      </c>
      <c r="B287">
        <v>37</v>
      </c>
      <c r="C287" t="s">
        <v>14</v>
      </c>
      <c r="D287" s="2">
        <v>2327320.5</v>
      </c>
      <c r="E287" s="2">
        <v>10418394</v>
      </c>
      <c r="F287" s="2">
        <v>0</v>
      </c>
      <c r="G287" s="2">
        <v>0</v>
      </c>
      <c r="H287" s="2">
        <v>213776.2</v>
      </c>
      <c r="I287" s="2">
        <v>0</v>
      </c>
      <c r="J287" s="4">
        <f t="shared" si="36"/>
        <v>12959490.699999999</v>
      </c>
      <c r="K287" s="17">
        <f>systems!O317</f>
        <v>15594530.699999999</v>
      </c>
      <c r="L287" s="13">
        <f t="shared" si="33"/>
        <v>0.83102793853232149</v>
      </c>
      <c r="Q287" s="2" t="s">
        <v>34</v>
      </c>
      <c r="U287" s="2">
        <f>(H287+K287)</f>
        <v>15808306.899999999</v>
      </c>
    </row>
    <row r="288" spans="1:23" x14ac:dyDescent="0.5">
      <c r="A288">
        <v>38</v>
      </c>
      <c r="B288">
        <v>38</v>
      </c>
      <c r="C288" t="s">
        <v>54</v>
      </c>
      <c r="D288" s="2">
        <v>27074976</v>
      </c>
      <c r="E288" s="2">
        <v>12030093</v>
      </c>
      <c r="F288" s="2">
        <v>11689718</v>
      </c>
      <c r="G288" s="2">
        <v>266285.5</v>
      </c>
      <c r="H288" s="2">
        <v>0</v>
      </c>
      <c r="I288" s="2">
        <v>0</v>
      </c>
      <c r="J288" s="4">
        <f t="shared" si="36"/>
        <v>51061072.5</v>
      </c>
      <c r="K288" s="17">
        <f>systems!O318</f>
        <v>97086217.199999988</v>
      </c>
      <c r="L288" s="13">
        <f t="shared" si="33"/>
        <v>0.52593533843030404</v>
      </c>
      <c r="Q288" s="2" t="s">
        <v>34</v>
      </c>
      <c r="U288" s="2">
        <f>(H288+K288)</f>
        <v>97086217.199999988</v>
      </c>
    </row>
    <row r="289" spans="1:21" x14ac:dyDescent="0.5">
      <c r="A289">
        <v>60</v>
      </c>
      <c r="B289">
        <v>60</v>
      </c>
      <c r="C289" t="s">
        <v>15</v>
      </c>
      <c r="D289" s="2">
        <v>27769840</v>
      </c>
      <c r="E289" s="2">
        <v>43483692</v>
      </c>
      <c r="F289" s="2">
        <v>418928032</v>
      </c>
      <c r="G289" s="2">
        <v>630726</v>
      </c>
      <c r="H289" s="2">
        <v>161373.1</v>
      </c>
      <c r="I289" s="2">
        <v>9471881</v>
      </c>
      <c r="J289" s="4">
        <f t="shared" si="36"/>
        <v>500445544.10000002</v>
      </c>
      <c r="K289" s="17">
        <f>systems!O319</f>
        <v>534436853.60000002</v>
      </c>
      <c r="L289" s="13">
        <f t="shared" si="33"/>
        <v>0.93639789383716254</v>
      </c>
      <c r="Q289" s="2">
        <f>SUM(D289:I289)</f>
        <v>500445544.10000002</v>
      </c>
      <c r="U289" s="2" t="s">
        <v>34</v>
      </c>
    </row>
    <row r="290" spans="1:21" x14ac:dyDescent="0.5">
      <c r="A290">
        <v>67</v>
      </c>
      <c r="B290">
        <v>67</v>
      </c>
      <c r="C290" t="s">
        <v>16</v>
      </c>
      <c r="D290" s="2">
        <v>6163541</v>
      </c>
      <c r="E290" s="2">
        <v>15382954</v>
      </c>
      <c r="F290" s="2">
        <v>0</v>
      </c>
      <c r="G290" s="2">
        <v>30038.2</v>
      </c>
      <c r="H290" s="2">
        <v>0</v>
      </c>
      <c r="I290" s="2">
        <v>0</v>
      </c>
      <c r="J290" s="4">
        <f t="shared" si="36"/>
        <v>21576533.199999999</v>
      </c>
      <c r="K290" s="17">
        <f>systems!O320</f>
        <v>25296856.099999998</v>
      </c>
      <c r="L290" s="13">
        <f t="shared" si="33"/>
        <v>0.85293338882534109</v>
      </c>
      <c r="Q290" s="2">
        <f>(D290+G290)</f>
        <v>6193579.2000000002</v>
      </c>
      <c r="U290" s="2" t="s">
        <v>34</v>
      </c>
    </row>
    <row r="291" spans="1:21" x14ac:dyDescent="0.5">
      <c r="A291">
        <v>69</v>
      </c>
      <c r="B291">
        <v>69</v>
      </c>
      <c r="C291" t="s">
        <v>17</v>
      </c>
      <c r="D291" s="2">
        <v>4240512.5</v>
      </c>
      <c r="E291" s="2">
        <v>45873272</v>
      </c>
      <c r="F291" s="2">
        <v>0</v>
      </c>
      <c r="G291" s="2">
        <v>41001.4</v>
      </c>
      <c r="H291" s="2">
        <v>49768</v>
      </c>
      <c r="I291" s="2">
        <v>0</v>
      </c>
      <c r="J291" s="4">
        <f t="shared" si="36"/>
        <v>50204553.899999999</v>
      </c>
      <c r="K291" s="17">
        <f>systems!O321</f>
        <v>58157868.399999991</v>
      </c>
      <c r="L291" s="13">
        <f t="shared" si="33"/>
        <v>0.86324611408900964</v>
      </c>
      <c r="Q291" s="2" t="s">
        <v>34</v>
      </c>
      <c r="U291" s="2">
        <f>(H291+K291)</f>
        <v>58207636.399999991</v>
      </c>
    </row>
    <row r="292" spans="1:21" x14ac:dyDescent="0.5">
      <c r="A292">
        <v>71</v>
      </c>
      <c r="B292">
        <v>71</v>
      </c>
      <c r="C292" t="s">
        <v>18</v>
      </c>
      <c r="D292" s="2">
        <v>3599499</v>
      </c>
      <c r="E292" s="2">
        <v>0</v>
      </c>
      <c r="F292" s="2">
        <v>0</v>
      </c>
      <c r="G292" s="2">
        <v>0</v>
      </c>
      <c r="H292" s="2">
        <v>0</v>
      </c>
      <c r="I292" s="2">
        <v>0</v>
      </c>
      <c r="J292" s="4">
        <f t="shared" si="36"/>
        <v>3599499</v>
      </c>
      <c r="K292" s="17">
        <f>systems!O322</f>
        <v>4085056.8</v>
      </c>
      <c r="L292" s="13">
        <f t="shared" si="33"/>
        <v>0.88113805418813274</v>
      </c>
      <c r="Q292" s="2" t="s">
        <v>34</v>
      </c>
      <c r="U292" s="2">
        <f>(H292+K292)</f>
        <v>4085056.8</v>
      </c>
    </row>
    <row r="293" spans="1:21" x14ac:dyDescent="0.5">
      <c r="A293">
        <v>72</v>
      </c>
      <c r="B293">
        <v>72</v>
      </c>
      <c r="C293" t="s">
        <v>19</v>
      </c>
      <c r="D293" s="2">
        <v>2769483.8</v>
      </c>
      <c r="E293" s="2">
        <v>169814.7</v>
      </c>
      <c r="F293" s="2">
        <v>0</v>
      </c>
      <c r="G293" s="2">
        <v>100910.3</v>
      </c>
      <c r="H293" s="2">
        <v>0</v>
      </c>
      <c r="I293" s="2">
        <v>0</v>
      </c>
      <c r="J293" s="4">
        <f t="shared" si="36"/>
        <v>3040208.8</v>
      </c>
      <c r="K293" s="17">
        <f>systems!O323</f>
        <v>4590698.0999999996</v>
      </c>
      <c r="L293" s="13">
        <f t="shared" si="33"/>
        <v>0.66225413516083753</v>
      </c>
      <c r="Q293" s="2" t="s">
        <v>34</v>
      </c>
      <c r="U293" s="2">
        <f>(H293+K293)</f>
        <v>4590698.0999999996</v>
      </c>
    </row>
    <row r="294" spans="1:21" x14ac:dyDescent="0.5">
      <c r="A294">
        <v>96</v>
      </c>
      <c r="B294">
        <v>96</v>
      </c>
      <c r="C294" t="s">
        <v>20</v>
      </c>
      <c r="D294" s="2">
        <v>4541997.5</v>
      </c>
      <c r="E294" s="2">
        <v>22930698</v>
      </c>
      <c r="F294" s="2">
        <v>83455152</v>
      </c>
      <c r="G294" s="2">
        <v>523733</v>
      </c>
      <c r="H294" s="2">
        <v>2083799.9</v>
      </c>
      <c r="I294" s="2">
        <v>1226737.8999999999</v>
      </c>
      <c r="J294" s="4">
        <f t="shared" si="36"/>
        <v>114762118.30000001</v>
      </c>
      <c r="K294" s="17">
        <f>systems!O324</f>
        <v>166080207.40000001</v>
      </c>
      <c r="L294" s="13">
        <f t="shared" si="33"/>
        <v>0.69100418464434077</v>
      </c>
      <c r="Q294" s="2">
        <f>SUM(D294:I294)</f>
        <v>114762118.30000001</v>
      </c>
      <c r="U294" s="2" t="s">
        <v>34</v>
      </c>
    </row>
    <row r="295" spans="1:21" x14ac:dyDescent="0.5">
      <c r="A295">
        <v>121</v>
      </c>
      <c r="B295">
        <v>121</v>
      </c>
      <c r="C295" t="s">
        <v>21</v>
      </c>
      <c r="D295" s="2">
        <v>40951184</v>
      </c>
      <c r="E295" s="2">
        <v>0</v>
      </c>
      <c r="F295" s="2">
        <v>0</v>
      </c>
      <c r="G295" s="2">
        <v>383905.2</v>
      </c>
      <c r="H295" s="2">
        <v>0</v>
      </c>
      <c r="I295" s="2">
        <v>0</v>
      </c>
      <c r="J295" s="4">
        <f t="shared" si="36"/>
        <v>41335089.200000003</v>
      </c>
      <c r="K295" s="17">
        <f>systems!O325</f>
        <v>52088973.200000003</v>
      </c>
      <c r="L295" s="13">
        <f t="shared" si="33"/>
        <v>0.79354778296916018</v>
      </c>
      <c r="Q295" s="2">
        <f>(D295+G295)</f>
        <v>41335089.200000003</v>
      </c>
      <c r="U295" s="2" t="s">
        <v>34</v>
      </c>
    </row>
    <row r="296" spans="1:21" x14ac:dyDescent="0.5">
      <c r="A296">
        <v>126</v>
      </c>
      <c r="B296">
        <v>126</v>
      </c>
      <c r="C296" t="s">
        <v>22</v>
      </c>
      <c r="D296" s="2">
        <v>1468346.8</v>
      </c>
      <c r="E296" s="2">
        <v>1699774</v>
      </c>
      <c r="F296" s="2">
        <v>0</v>
      </c>
      <c r="G296" s="2">
        <v>30107.1</v>
      </c>
      <c r="H296" s="2">
        <v>57215.5</v>
      </c>
      <c r="I296" s="2">
        <v>0</v>
      </c>
      <c r="J296" s="4">
        <f t="shared" si="36"/>
        <v>3255443.4</v>
      </c>
      <c r="K296" s="17">
        <f>systems!O326</f>
        <v>12120747.699999999</v>
      </c>
      <c r="L296" s="13">
        <f t="shared" si="33"/>
        <v>0.26858437124303808</v>
      </c>
      <c r="Q296" s="2" t="s">
        <v>34</v>
      </c>
      <c r="U296" s="2">
        <f>(H296+K296)</f>
        <v>12177963.199999999</v>
      </c>
    </row>
    <row r="297" spans="1:21" x14ac:dyDescent="0.5">
      <c r="A297">
        <v>127</v>
      </c>
      <c r="B297">
        <v>127</v>
      </c>
      <c r="C297" t="s">
        <v>55</v>
      </c>
      <c r="D297" s="2">
        <v>6234364</v>
      </c>
      <c r="E297" s="2">
        <v>0</v>
      </c>
      <c r="F297" s="2">
        <v>0</v>
      </c>
      <c r="G297" s="2">
        <v>172355.3</v>
      </c>
      <c r="H297" s="2">
        <v>0</v>
      </c>
      <c r="I297" s="2">
        <v>0</v>
      </c>
      <c r="J297" s="4">
        <f t="shared" si="36"/>
        <v>6406719.2999999998</v>
      </c>
      <c r="K297" s="17">
        <f>systems!O327</f>
        <v>10602633.300000001</v>
      </c>
      <c r="L297" s="13">
        <f t="shared" si="33"/>
        <v>0.60425736878026326</v>
      </c>
      <c r="Q297" s="2" t="s">
        <v>34</v>
      </c>
      <c r="U297" s="2">
        <f>(H297+K297)</f>
        <v>10602633.300000001</v>
      </c>
    </row>
    <row r="298" spans="1:21" x14ac:dyDescent="0.5">
      <c r="A298">
        <v>131</v>
      </c>
      <c r="B298">
        <v>131</v>
      </c>
      <c r="C298" t="s">
        <v>23</v>
      </c>
      <c r="D298" s="2">
        <v>2295415.5</v>
      </c>
      <c r="E298" s="2">
        <v>2926368</v>
      </c>
      <c r="F298" s="2">
        <v>925130.8</v>
      </c>
      <c r="G298" s="2">
        <v>2212.9</v>
      </c>
      <c r="H298" s="2">
        <v>29970</v>
      </c>
      <c r="I298" s="2">
        <v>0</v>
      </c>
      <c r="J298" s="4">
        <f t="shared" si="36"/>
        <v>6179097.2000000002</v>
      </c>
      <c r="K298" s="17">
        <f>systems!O328</f>
        <v>12350494.699999999</v>
      </c>
      <c r="L298" s="13">
        <f t="shared" si="33"/>
        <v>0.50031171625862081</v>
      </c>
      <c r="Q298" s="2" t="s">
        <v>34</v>
      </c>
      <c r="U298" s="2">
        <f>(H298+K298)</f>
        <v>12380464.699999999</v>
      </c>
    </row>
    <row r="299" spans="1:21" x14ac:dyDescent="0.5">
      <c r="A299">
        <v>134</v>
      </c>
      <c r="B299">
        <v>134</v>
      </c>
      <c r="C299" t="s">
        <v>24</v>
      </c>
      <c r="D299" s="2">
        <v>22983854</v>
      </c>
      <c r="E299" s="2">
        <v>0</v>
      </c>
      <c r="F299" s="2">
        <v>0</v>
      </c>
      <c r="G299" s="2">
        <v>76895.199999999997</v>
      </c>
      <c r="H299" s="2">
        <v>0</v>
      </c>
      <c r="I299" s="2">
        <v>0</v>
      </c>
      <c r="J299" s="4">
        <f t="shared" si="36"/>
        <v>23060749.199999999</v>
      </c>
      <c r="K299" s="17">
        <f>systems!O329</f>
        <v>36600148.300000004</v>
      </c>
      <c r="L299" s="13">
        <f t="shared" si="33"/>
        <v>0.63007256175516635</v>
      </c>
      <c r="Q299" s="2" t="s">
        <v>34</v>
      </c>
      <c r="U299" s="2">
        <f>(H299+K299)</f>
        <v>36600148.300000004</v>
      </c>
    </row>
    <row r="300" spans="1:21" x14ac:dyDescent="0.5">
      <c r="A300">
        <v>135</v>
      </c>
      <c r="B300">
        <v>135</v>
      </c>
      <c r="C300" t="s">
        <v>25</v>
      </c>
      <c r="D300" s="2">
        <v>137647600</v>
      </c>
      <c r="E300" s="2">
        <v>114388248</v>
      </c>
      <c r="F300" s="2">
        <v>7091503.5</v>
      </c>
      <c r="G300" s="2">
        <v>2403850.7999999998</v>
      </c>
      <c r="H300" s="2">
        <v>457854.4</v>
      </c>
      <c r="I300" s="2">
        <v>0</v>
      </c>
      <c r="J300" s="4">
        <f t="shared" si="36"/>
        <v>261989056.70000002</v>
      </c>
      <c r="K300" s="17">
        <f>systems!O330</f>
        <v>272738571.30000001</v>
      </c>
      <c r="L300" s="13">
        <f t="shared" si="33"/>
        <v>0.9605867459495635</v>
      </c>
      <c r="Q300" s="2" t="s">
        <v>34</v>
      </c>
      <c r="U300" s="2">
        <f>(H300+K300)</f>
        <v>273196425.69999999</v>
      </c>
    </row>
    <row r="301" spans="1:21" x14ac:dyDescent="0.5">
      <c r="A301">
        <v>156</v>
      </c>
      <c r="B301">
        <v>156</v>
      </c>
      <c r="C301" t="s">
        <v>26</v>
      </c>
      <c r="D301" s="2">
        <v>0</v>
      </c>
      <c r="E301" s="2">
        <v>4939154.5</v>
      </c>
      <c r="F301" s="2">
        <v>9702538</v>
      </c>
      <c r="G301" s="2">
        <v>0</v>
      </c>
      <c r="H301" s="2">
        <v>122897.7</v>
      </c>
      <c r="I301" s="2">
        <v>62697.8</v>
      </c>
      <c r="J301" s="4">
        <f t="shared" si="36"/>
        <v>14827288</v>
      </c>
      <c r="K301" s="17">
        <f>systems!O331</f>
        <v>15439713</v>
      </c>
      <c r="L301" s="13">
        <f t="shared" si="33"/>
        <v>0.96033443108689909</v>
      </c>
      <c r="Q301" s="2" t="s">
        <v>34</v>
      </c>
      <c r="U301" s="2">
        <f>SUM(H301:M301)</f>
        <v>30452597.460334431</v>
      </c>
    </row>
    <row r="302" spans="1:21" x14ac:dyDescent="0.5">
      <c r="A302">
        <v>159</v>
      </c>
      <c r="B302">
        <v>159</v>
      </c>
      <c r="C302" t="s">
        <v>27</v>
      </c>
      <c r="D302" s="2">
        <v>28243744</v>
      </c>
      <c r="E302" s="2">
        <v>0</v>
      </c>
      <c r="F302" s="2">
        <v>0</v>
      </c>
      <c r="G302" s="2">
        <v>224109.7</v>
      </c>
      <c r="H302" s="2">
        <v>0</v>
      </c>
      <c r="I302" s="2">
        <v>0</v>
      </c>
      <c r="J302" s="4">
        <f t="shared" si="36"/>
        <v>28467853.699999999</v>
      </c>
      <c r="K302" s="17">
        <f>systems!O332</f>
        <v>31953676.100000001</v>
      </c>
      <c r="L302" s="13">
        <f t="shared" si="33"/>
        <v>0.89091012911656819</v>
      </c>
      <c r="Q302" s="2">
        <f>(D302+G302)</f>
        <v>28467853.699999999</v>
      </c>
      <c r="U302" s="2" t="s">
        <v>34</v>
      </c>
    </row>
    <row r="303" spans="1:21" x14ac:dyDescent="0.5">
      <c r="A303">
        <v>178</v>
      </c>
      <c r="B303">
        <v>178</v>
      </c>
      <c r="C303" t="s">
        <v>56</v>
      </c>
      <c r="D303" s="2">
        <v>47468984</v>
      </c>
      <c r="E303" s="2">
        <v>0</v>
      </c>
      <c r="F303" s="2">
        <v>0</v>
      </c>
      <c r="G303" s="2">
        <v>73132</v>
      </c>
      <c r="H303" s="2">
        <v>0</v>
      </c>
      <c r="I303" s="2">
        <v>0</v>
      </c>
      <c r="J303" s="4">
        <f t="shared" si="36"/>
        <v>47542116</v>
      </c>
      <c r="K303" s="17">
        <f>systems!O333</f>
        <v>83997550.100000009</v>
      </c>
      <c r="L303" s="13">
        <f t="shared" si="33"/>
        <v>0.56599407891540388</v>
      </c>
      <c r="Q303" s="2" t="s">
        <v>34</v>
      </c>
      <c r="U303" s="2">
        <f>(H303+K303)</f>
        <v>83997550.100000009</v>
      </c>
    </row>
    <row r="304" spans="1:21" x14ac:dyDescent="0.5">
      <c r="A304">
        <v>179</v>
      </c>
      <c r="B304">
        <v>179</v>
      </c>
      <c r="C304" t="s">
        <v>28</v>
      </c>
      <c r="D304" s="2">
        <v>1969292.4</v>
      </c>
      <c r="E304" s="2">
        <v>4310737.5</v>
      </c>
      <c r="F304" s="2">
        <v>0</v>
      </c>
      <c r="G304" s="2">
        <v>0</v>
      </c>
      <c r="H304" s="2">
        <v>26795</v>
      </c>
      <c r="I304" s="2">
        <v>0</v>
      </c>
      <c r="J304" s="4">
        <f t="shared" si="36"/>
        <v>6306824.9000000004</v>
      </c>
      <c r="K304" s="17">
        <f>systems!O334</f>
        <v>7669696.1000000006</v>
      </c>
      <c r="L304" s="13">
        <f t="shared" si="33"/>
        <v>0.82230440655921166</v>
      </c>
      <c r="Q304" s="2" t="s">
        <v>34</v>
      </c>
      <c r="U304" s="2">
        <f>(H304+K304)</f>
        <v>7696491.1000000006</v>
      </c>
    </row>
    <row r="305" spans="1:21" x14ac:dyDescent="0.5">
      <c r="A305">
        <v>188</v>
      </c>
      <c r="B305">
        <v>188</v>
      </c>
      <c r="C305" t="s">
        <v>29</v>
      </c>
      <c r="D305" s="2">
        <v>17295700</v>
      </c>
      <c r="E305" s="2">
        <v>62646688</v>
      </c>
      <c r="F305" s="2">
        <v>11613586</v>
      </c>
      <c r="G305" s="2">
        <v>147092.1</v>
      </c>
      <c r="H305" s="2">
        <v>35442.5</v>
      </c>
      <c r="I305" s="2">
        <v>9780.1</v>
      </c>
      <c r="J305" s="4">
        <f t="shared" si="36"/>
        <v>91748288.699999988</v>
      </c>
      <c r="K305" s="17">
        <f>systems!O335</f>
        <v>127426529.59999999</v>
      </c>
      <c r="L305" s="13">
        <f t="shared" si="33"/>
        <v>0.72000931821657321</v>
      </c>
      <c r="Q305" s="2" t="s">
        <v>34</v>
      </c>
      <c r="U305" s="2">
        <f>SUM(H305:M305)</f>
        <v>219220041.6200093</v>
      </c>
    </row>
    <row r="306" spans="1:21" x14ac:dyDescent="0.5">
      <c r="A306">
        <v>189</v>
      </c>
      <c r="B306">
        <v>189</v>
      </c>
      <c r="C306" t="s">
        <v>30</v>
      </c>
      <c r="D306" s="2">
        <v>410451.3</v>
      </c>
      <c r="E306" s="2">
        <v>61471484</v>
      </c>
      <c r="F306" s="2">
        <v>21537258</v>
      </c>
      <c r="G306" s="2">
        <v>0</v>
      </c>
      <c r="H306" s="2">
        <v>56452</v>
      </c>
      <c r="I306" s="2">
        <v>0</v>
      </c>
      <c r="J306" s="4">
        <f t="shared" si="36"/>
        <v>83475645.299999997</v>
      </c>
      <c r="K306" s="17">
        <f>systems!O336</f>
        <v>95882579.600000009</v>
      </c>
      <c r="L306" s="13">
        <f t="shared" si="33"/>
        <v>0.87060283159090135</v>
      </c>
      <c r="Q306" s="2" t="s">
        <v>34</v>
      </c>
      <c r="U306" s="2">
        <f>SUM(H306:M306)</f>
        <v>179414677.77060285</v>
      </c>
    </row>
    <row r="307" spans="1:21" x14ac:dyDescent="0.5">
      <c r="A307">
        <v>203</v>
      </c>
      <c r="B307">
        <v>203</v>
      </c>
      <c r="C307" t="s">
        <v>31</v>
      </c>
      <c r="D307" s="2">
        <v>2271434.5</v>
      </c>
      <c r="E307" s="2">
        <v>76792.3</v>
      </c>
      <c r="F307" s="2">
        <v>0</v>
      </c>
      <c r="G307" s="2">
        <v>22128.5</v>
      </c>
      <c r="H307" s="2">
        <v>0</v>
      </c>
      <c r="I307" s="2">
        <v>0</v>
      </c>
      <c r="J307" s="4">
        <f t="shared" si="36"/>
        <v>2370355.2999999998</v>
      </c>
      <c r="K307" s="17">
        <f>systems!O337</f>
        <v>20591688.900000002</v>
      </c>
      <c r="L307" s="13">
        <f t="shared" si="33"/>
        <v>0.11511223346036466</v>
      </c>
      <c r="Q307" s="2">
        <f>(D307+G307)</f>
        <v>2293563</v>
      </c>
      <c r="U307" s="2" t="s">
        <v>34</v>
      </c>
    </row>
    <row r="308" spans="1:21" x14ac:dyDescent="0.5">
      <c r="A308">
        <v>204</v>
      </c>
      <c r="B308">
        <v>204</v>
      </c>
      <c r="C308" t="s">
        <v>32</v>
      </c>
      <c r="D308" s="2">
        <v>19819142</v>
      </c>
      <c r="E308" s="2">
        <v>382599.7</v>
      </c>
      <c r="F308" s="2">
        <v>16219570</v>
      </c>
      <c r="G308" s="2">
        <v>111413.3</v>
      </c>
      <c r="H308" s="2">
        <v>0</v>
      </c>
      <c r="I308" s="2">
        <v>406259.4</v>
      </c>
      <c r="J308" s="4">
        <f t="shared" si="36"/>
        <v>36938984.399999999</v>
      </c>
      <c r="K308" s="17">
        <f>systems!O338</f>
        <v>60843055.899999999</v>
      </c>
      <c r="L308" s="13">
        <f t="shared" si="33"/>
        <v>0.60711915030553221</v>
      </c>
      <c r="Q308" s="2" t="s">
        <v>34</v>
      </c>
      <c r="U308" s="2">
        <f>(H308+K308)</f>
        <v>60843055.899999999</v>
      </c>
    </row>
    <row r="309" spans="1:21" x14ac:dyDescent="0.5">
      <c r="D309" s="4">
        <f t="shared" ref="D309:I309" si="37">SUM(D283:D308)</f>
        <v>487038557.60000002</v>
      </c>
      <c r="E309" s="4">
        <f t="shared" si="37"/>
        <v>411765511</v>
      </c>
      <c r="F309" s="4">
        <f t="shared" si="37"/>
        <v>586246038.79999995</v>
      </c>
      <c r="G309" s="4">
        <f t="shared" si="37"/>
        <v>5251633.2999999989</v>
      </c>
      <c r="H309" s="4">
        <f t="shared" si="37"/>
        <v>3457306.4</v>
      </c>
      <c r="I309" s="4">
        <f t="shared" si="37"/>
        <v>11206975.600000001</v>
      </c>
      <c r="J309" s="4">
        <f t="shared" si="36"/>
        <v>1504966022.7</v>
      </c>
      <c r="K309" s="17">
        <f>systems!O339</f>
        <v>1856689858.9999998</v>
      </c>
      <c r="L309" s="13">
        <f t="shared" si="33"/>
        <v>0.81056403437812941</v>
      </c>
      <c r="Q309" s="4">
        <f>SUM(Q283:Q308)</f>
        <v>693497747.50000012</v>
      </c>
      <c r="U309" s="4">
        <f>SUM(U283:U308)</f>
        <v>1223947770.8013613</v>
      </c>
    </row>
    <row r="310" spans="1:21" x14ac:dyDescent="0.5">
      <c r="A310" t="s">
        <v>47</v>
      </c>
      <c r="D310" s="2"/>
      <c r="E310" s="2"/>
      <c r="F310" s="2"/>
      <c r="G310" s="2"/>
      <c r="H310" s="2"/>
      <c r="I310" s="2"/>
      <c r="J310" s="4"/>
      <c r="K310" s="17"/>
    </row>
    <row r="311" spans="1:21" x14ac:dyDescent="0.5">
      <c r="A311">
        <v>13</v>
      </c>
      <c r="B311">
        <v>13</v>
      </c>
      <c r="C311" t="s">
        <v>12</v>
      </c>
      <c r="D311" s="2">
        <v>0</v>
      </c>
      <c r="E311" s="2">
        <v>6448937</v>
      </c>
      <c r="F311" s="2">
        <v>26092006</v>
      </c>
      <c r="G311" s="2">
        <v>0</v>
      </c>
      <c r="H311" s="2">
        <v>436114.4</v>
      </c>
      <c r="I311" s="2">
        <v>150268.4</v>
      </c>
      <c r="J311" s="4">
        <f t="shared" ref="J311:J337" si="38">SUM(D311:I311)</f>
        <v>33127325.799999997</v>
      </c>
      <c r="K311" s="17">
        <f>systems!O341</f>
        <v>35893529.399999999</v>
      </c>
      <c r="L311" s="13">
        <f t="shared" si="33"/>
        <v>0.92293308442384603</v>
      </c>
      <c r="Q311" s="2" t="s">
        <v>34</v>
      </c>
      <c r="U311" s="2">
        <f>SUM(H311:M311)</f>
        <v>69607238.922933087</v>
      </c>
    </row>
    <row r="312" spans="1:21" x14ac:dyDescent="0.5">
      <c r="A312">
        <v>15</v>
      </c>
      <c r="B312">
        <v>15</v>
      </c>
      <c r="C312" t="s">
        <v>13</v>
      </c>
      <c r="D312" s="2">
        <v>10648432</v>
      </c>
      <c r="E312" s="2">
        <v>17513444</v>
      </c>
      <c r="F312" s="2">
        <v>0</v>
      </c>
      <c r="G312" s="2">
        <v>0</v>
      </c>
      <c r="H312" s="2">
        <v>168872</v>
      </c>
      <c r="I312" s="2">
        <v>0</v>
      </c>
      <c r="J312" s="4">
        <f t="shared" si="38"/>
        <v>28330748</v>
      </c>
      <c r="K312" s="17">
        <f>systems!O342</f>
        <v>51030397.300000004</v>
      </c>
      <c r="L312" s="13">
        <f t="shared" si="33"/>
        <v>0.55517396491051807</v>
      </c>
      <c r="Q312" s="2" t="s">
        <v>34</v>
      </c>
      <c r="U312" s="2">
        <f>(H312+K312)</f>
        <v>51199269.300000004</v>
      </c>
    </row>
    <row r="313" spans="1:21" x14ac:dyDescent="0.5">
      <c r="A313">
        <v>16</v>
      </c>
      <c r="B313">
        <v>16</v>
      </c>
      <c r="C313" t="s">
        <v>52</v>
      </c>
      <c r="D313" s="2">
        <v>108069408</v>
      </c>
      <c r="E313" s="2">
        <v>624358.5</v>
      </c>
      <c r="F313" s="2">
        <v>0</v>
      </c>
      <c r="G313" s="2">
        <v>17427.5</v>
      </c>
      <c r="H313" s="2">
        <v>0</v>
      </c>
      <c r="I313" s="2">
        <v>0</v>
      </c>
      <c r="J313" s="4">
        <f t="shared" si="38"/>
        <v>108711194</v>
      </c>
      <c r="K313" s="17">
        <f>systems!O343</f>
        <v>132425774.90000001</v>
      </c>
      <c r="L313" s="13">
        <f t="shared" si="33"/>
        <v>0.8209217131792671</v>
      </c>
      <c r="Q313" s="2" t="s">
        <v>34</v>
      </c>
      <c r="U313" s="2">
        <f>(H313+K313)</f>
        <v>132425774.90000001</v>
      </c>
    </row>
    <row r="314" spans="1:21" x14ac:dyDescent="0.5">
      <c r="A314">
        <v>30</v>
      </c>
      <c r="B314">
        <v>30</v>
      </c>
      <c r="C314" t="s">
        <v>53</v>
      </c>
      <c r="D314" s="2">
        <v>17273012</v>
      </c>
      <c r="E314" s="2">
        <v>0</v>
      </c>
      <c r="F314" s="2">
        <v>0</v>
      </c>
      <c r="G314" s="2">
        <v>0</v>
      </c>
      <c r="H314" s="2">
        <v>0</v>
      </c>
      <c r="I314" s="2">
        <v>0</v>
      </c>
      <c r="J314" s="4">
        <f t="shared" si="38"/>
        <v>17273012</v>
      </c>
      <c r="K314" s="17">
        <f>systems!O344</f>
        <v>82332791.200000003</v>
      </c>
      <c r="L314" s="13">
        <f t="shared" si="33"/>
        <v>0.20979504943590446</v>
      </c>
      <c r="Q314" s="2" t="s">
        <v>34</v>
      </c>
      <c r="U314" s="2">
        <f>(H314+K314)</f>
        <v>82332791.200000003</v>
      </c>
    </row>
    <row r="315" spans="1:21" x14ac:dyDescent="0.5">
      <c r="A315">
        <v>37</v>
      </c>
      <c r="B315">
        <v>37</v>
      </c>
      <c r="C315" t="s">
        <v>14</v>
      </c>
      <c r="D315" s="2">
        <v>4846572.5</v>
      </c>
      <c r="E315" s="2">
        <v>25145698</v>
      </c>
      <c r="F315" s="2">
        <v>0</v>
      </c>
      <c r="G315" s="2">
        <v>0</v>
      </c>
      <c r="H315" s="2">
        <v>501733.9</v>
      </c>
      <c r="I315" s="2">
        <v>0</v>
      </c>
      <c r="J315" s="4">
        <f t="shared" si="38"/>
        <v>30494004.399999999</v>
      </c>
      <c r="K315" s="17">
        <f>systems!O345</f>
        <v>71137020.100000009</v>
      </c>
      <c r="L315" s="13">
        <f t="shared" si="33"/>
        <v>0.42866575458366712</v>
      </c>
      <c r="Q315" s="2" t="s">
        <v>34</v>
      </c>
      <c r="U315" s="2">
        <f>(H315+K315)</f>
        <v>71638754.000000015</v>
      </c>
    </row>
    <row r="316" spans="1:21" x14ac:dyDescent="0.5">
      <c r="A316">
        <v>38</v>
      </c>
      <c r="B316">
        <v>38</v>
      </c>
      <c r="C316" t="s">
        <v>54</v>
      </c>
      <c r="D316" s="2">
        <v>27134622</v>
      </c>
      <c r="E316" s="2">
        <v>16340054</v>
      </c>
      <c r="F316" s="2">
        <v>16705329</v>
      </c>
      <c r="G316" s="2">
        <v>275625.40000000002</v>
      </c>
      <c r="H316" s="2">
        <v>0</v>
      </c>
      <c r="I316" s="2">
        <v>0</v>
      </c>
      <c r="J316" s="4">
        <f t="shared" si="38"/>
        <v>60455630.399999999</v>
      </c>
      <c r="K316" s="17">
        <f>systems!O346</f>
        <v>151155573.70000002</v>
      </c>
      <c r="L316" s="13">
        <f t="shared" si="33"/>
        <v>0.39995634246334105</v>
      </c>
      <c r="Q316" s="2" t="s">
        <v>34</v>
      </c>
      <c r="U316" s="2">
        <f>(H316+K316)</f>
        <v>151155573.70000002</v>
      </c>
    </row>
    <row r="317" spans="1:21" x14ac:dyDescent="0.5">
      <c r="A317">
        <v>60</v>
      </c>
      <c r="B317">
        <v>60</v>
      </c>
      <c r="C317" t="s">
        <v>15</v>
      </c>
      <c r="D317" s="2">
        <v>422888160</v>
      </c>
      <c r="E317" s="2">
        <v>246002928</v>
      </c>
      <c r="F317" s="2">
        <v>2198617600</v>
      </c>
      <c r="G317" s="2">
        <v>8404043</v>
      </c>
      <c r="H317" s="2">
        <v>818696.6</v>
      </c>
      <c r="I317" s="2">
        <v>48740220</v>
      </c>
      <c r="J317" s="4">
        <f t="shared" si="38"/>
        <v>2925471647.5999999</v>
      </c>
      <c r="K317" s="17">
        <f>systems!O347</f>
        <v>3353004148.5999999</v>
      </c>
      <c r="L317" s="13">
        <f t="shared" si="33"/>
        <v>0.87249270145445235</v>
      </c>
      <c r="Q317" s="2">
        <f>SUM(D317:I317)</f>
        <v>2925471647.5999999</v>
      </c>
      <c r="U317" s="2" t="s">
        <v>34</v>
      </c>
    </row>
    <row r="318" spans="1:21" x14ac:dyDescent="0.5">
      <c r="A318">
        <v>67</v>
      </c>
      <c r="B318">
        <v>67</v>
      </c>
      <c r="C318" t="s">
        <v>16</v>
      </c>
      <c r="D318" s="2">
        <v>10570085</v>
      </c>
      <c r="E318" s="2">
        <v>36259168</v>
      </c>
      <c r="F318" s="2">
        <v>0</v>
      </c>
      <c r="G318" s="2">
        <v>44602.5</v>
      </c>
      <c r="H318" s="2">
        <v>0</v>
      </c>
      <c r="I318" s="2">
        <v>0</v>
      </c>
      <c r="J318" s="4">
        <f t="shared" si="38"/>
        <v>46873855.5</v>
      </c>
      <c r="K318" s="17">
        <f>systems!O348</f>
        <v>69938688.300000012</v>
      </c>
      <c r="L318" s="13">
        <f t="shared" si="33"/>
        <v>0.67021353473110523</v>
      </c>
      <c r="Q318" s="2">
        <f>(D318+G318)</f>
        <v>10614687.5</v>
      </c>
      <c r="U318" s="2" t="s">
        <v>34</v>
      </c>
    </row>
    <row r="319" spans="1:21" x14ac:dyDescent="0.5">
      <c r="A319">
        <v>69</v>
      </c>
      <c r="B319">
        <v>69</v>
      </c>
      <c r="C319" t="s">
        <v>17</v>
      </c>
      <c r="D319" s="2">
        <v>7592588.5</v>
      </c>
      <c r="E319" s="2">
        <v>109905224</v>
      </c>
      <c r="F319" s="2">
        <v>0</v>
      </c>
      <c r="G319" s="2">
        <v>99310.3</v>
      </c>
      <c r="H319" s="2">
        <v>138284.4</v>
      </c>
      <c r="I319" s="2">
        <v>0</v>
      </c>
      <c r="J319" s="4">
        <f t="shared" si="38"/>
        <v>117735407.2</v>
      </c>
      <c r="K319" s="17">
        <f>systems!O349</f>
        <v>156677499.60000002</v>
      </c>
      <c r="L319" s="13">
        <f t="shared" si="33"/>
        <v>0.75145063905525833</v>
      </c>
      <c r="Q319" s="2" t="s">
        <v>34</v>
      </c>
      <c r="U319" s="2">
        <f>(H319+K319)</f>
        <v>156815784.00000003</v>
      </c>
    </row>
    <row r="320" spans="1:21" x14ac:dyDescent="0.5">
      <c r="A320">
        <v>71</v>
      </c>
      <c r="B320">
        <v>71</v>
      </c>
      <c r="C320" t="s">
        <v>18</v>
      </c>
      <c r="D320" s="2">
        <v>5671506</v>
      </c>
      <c r="E320" s="2">
        <v>0</v>
      </c>
      <c r="F320" s="2">
        <v>0</v>
      </c>
      <c r="G320" s="2">
        <v>0</v>
      </c>
      <c r="H320" s="2">
        <v>0</v>
      </c>
      <c r="I320" s="2">
        <v>0</v>
      </c>
      <c r="J320" s="4">
        <f t="shared" si="38"/>
        <v>5671506</v>
      </c>
      <c r="K320" s="17">
        <f>systems!O350</f>
        <v>7120644.6000000006</v>
      </c>
      <c r="L320" s="13">
        <f t="shared" si="33"/>
        <v>0.79648772247388944</v>
      </c>
      <c r="Q320" s="2" t="s">
        <v>34</v>
      </c>
      <c r="U320" s="2">
        <f>(H320+K320)</f>
        <v>7120644.6000000006</v>
      </c>
    </row>
    <row r="321" spans="1:21" x14ac:dyDescent="0.5">
      <c r="A321">
        <v>72</v>
      </c>
      <c r="B321">
        <v>72</v>
      </c>
      <c r="C321" t="s">
        <v>19</v>
      </c>
      <c r="D321" s="2">
        <v>4747198.5</v>
      </c>
      <c r="E321" s="2">
        <v>370031.3</v>
      </c>
      <c r="F321" s="2">
        <v>0</v>
      </c>
      <c r="G321" s="2">
        <v>149837.6</v>
      </c>
      <c r="H321" s="2">
        <v>0</v>
      </c>
      <c r="I321" s="2">
        <v>0</v>
      </c>
      <c r="J321" s="4">
        <f t="shared" si="38"/>
        <v>5267067.3999999994</v>
      </c>
      <c r="K321" s="17">
        <f>systems!O351</f>
        <v>11373385.300000001</v>
      </c>
      <c r="L321" s="13">
        <f t="shared" si="33"/>
        <v>0.46310463077338981</v>
      </c>
      <c r="Q321" s="2" t="s">
        <v>34</v>
      </c>
      <c r="U321" s="2">
        <f>(H321+K321)</f>
        <v>11373385.300000001</v>
      </c>
    </row>
    <row r="322" spans="1:21" x14ac:dyDescent="0.5">
      <c r="A322">
        <v>96</v>
      </c>
      <c r="B322">
        <v>96</v>
      </c>
      <c r="C322" t="s">
        <v>20</v>
      </c>
      <c r="D322" s="2">
        <v>87754952</v>
      </c>
      <c r="E322" s="2">
        <v>130034624</v>
      </c>
      <c r="F322" s="2">
        <v>460862208</v>
      </c>
      <c r="G322" s="2">
        <v>4629228</v>
      </c>
      <c r="H322" s="2">
        <v>11358869</v>
      </c>
      <c r="I322" s="2">
        <v>6223630</v>
      </c>
      <c r="J322" s="4">
        <f t="shared" si="38"/>
        <v>700863511</v>
      </c>
      <c r="K322" s="17">
        <f>systems!O352</f>
        <v>1219730035</v>
      </c>
      <c r="L322" s="13">
        <f t="shared" si="33"/>
        <v>0.57460543799759756</v>
      </c>
      <c r="Q322" s="2">
        <f>SUM(D322:I322)</f>
        <v>700863511</v>
      </c>
      <c r="U322" s="2" t="s">
        <v>34</v>
      </c>
    </row>
    <row r="323" spans="1:21" x14ac:dyDescent="0.5">
      <c r="A323">
        <v>121</v>
      </c>
      <c r="B323">
        <v>121</v>
      </c>
      <c r="C323" t="s">
        <v>21</v>
      </c>
      <c r="D323" s="2">
        <v>63769660</v>
      </c>
      <c r="E323" s="2">
        <v>0</v>
      </c>
      <c r="F323" s="2">
        <v>0</v>
      </c>
      <c r="G323" s="2">
        <v>618000.9</v>
      </c>
      <c r="H323" s="2">
        <v>0</v>
      </c>
      <c r="I323" s="2">
        <v>0</v>
      </c>
      <c r="J323" s="4">
        <f t="shared" si="38"/>
        <v>64387660.899999999</v>
      </c>
      <c r="K323" s="17">
        <f>systems!O353</f>
        <v>112703334.2</v>
      </c>
      <c r="L323" s="13">
        <f t="shared" si="33"/>
        <v>0.57130218335634653</v>
      </c>
      <c r="Q323" s="2">
        <f>(D323+G323)</f>
        <v>64387660.899999999</v>
      </c>
      <c r="U323" s="2" t="s">
        <v>34</v>
      </c>
    </row>
    <row r="324" spans="1:21" x14ac:dyDescent="0.5">
      <c r="A324">
        <v>126</v>
      </c>
      <c r="B324">
        <v>126</v>
      </c>
      <c r="C324" t="s">
        <v>22</v>
      </c>
      <c r="D324" s="2">
        <v>8983886</v>
      </c>
      <c r="E324" s="2">
        <v>6803699</v>
      </c>
      <c r="F324" s="2">
        <v>0</v>
      </c>
      <c r="G324" s="2">
        <v>301754.3</v>
      </c>
      <c r="H324" s="2">
        <v>227165.4</v>
      </c>
      <c r="I324" s="2">
        <v>0</v>
      </c>
      <c r="J324" s="4">
        <f t="shared" si="38"/>
        <v>16316504.700000001</v>
      </c>
      <c r="K324" s="17">
        <f>systems!O354</f>
        <v>53032260.100000001</v>
      </c>
      <c r="L324" s="13">
        <f t="shared" ref="L324:L365" si="39">J324/K324</f>
        <v>0.30767130552672789</v>
      </c>
      <c r="Q324" s="2" t="s">
        <v>34</v>
      </c>
      <c r="U324" s="2">
        <f>(H324+K324)</f>
        <v>53259425.5</v>
      </c>
    </row>
    <row r="325" spans="1:21" x14ac:dyDescent="0.5">
      <c r="A325">
        <v>127</v>
      </c>
      <c r="B325">
        <v>127</v>
      </c>
      <c r="C325" t="s">
        <v>55</v>
      </c>
      <c r="D325" s="2">
        <v>10414803</v>
      </c>
      <c r="E325" s="2">
        <v>0</v>
      </c>
      <c r="F325" s="2">
        <v>0</v>
      </c>
      <c r="G325" s="2">
        <v>274831</v>
      </c>
      <c r="H325" s="2">
        <v>0</v>
      </c>
      <c r="I325" s="2">
        <v>0</v>
      </c>
      <c r="J325" s="4">
        <f t="shared" si="38"/>
        <v>10689634</v>
      </c>
      <c r="K325" s="17">
        <f>systems!O355</f>
        <v>28566788.199999999</v>
      </c>
      <c r="L325" s="13">
        <f t="shared" si="39"/>
        <v>0.37419796461402688</v>
      </c>
      <c r="Q325" s="2" t="s">
        <v>34</v>
      </c>
      <c r="U325" s="2">
        <f>(H325+K325)</f>
        <v>28566788.199999999</v>
      </c>
    </row>
    <row r="326" spans="1:21" x14ac:dyDescent="0.5">
      <c r="A326">
        <v>131</v>
      </c>
      <c r="B326">
        <v>131</v>
      </c>
      <c r="C326" t="s">
        <v>23</v>
      </c>
      <c r="D326" s="2">
        <v>17578910</v>
      </c>
      <c r="E326" s="2">
        <v>11766335</v>
      </c>
      <c r="F326" s="2">
        <v>3394750.8</v>
      </c>
      <c r="G326" s="2">
        <v>22179.4</v>
      </c>
      <c r="H326" s="2">
        <v>118991.2</v>
      </c>
      <c r="I326" s="2">
        <v>0</v>
      </c>
      <c r="J326" s="4">
        <f t="shared" si="38"/>
        <v>32881166.399999999</v>
      </c>
      <c r="K326" s="17">
        <f>systems!O356</f>
        <v>56109356.299999997</v>
      </c>
      <c r="L326" s="13">
        <f t="shared" si="39"/>
        <v>0.58601931243328131</v>
      </c>
      <c r="Q326" s="2" t="s">
        <v>34</v>
      </c>
      <c r="U326" s="2">
        <f>(H326+K326)</f>
        <v>56228347.5</v>
      </c>
    </row>
    <row r="327" spans="1:21" x14ac:dyDescent="0.5">
      <c r="A327">
        <v>134</v>
      </c>
      <c r="B327">
        <v>134</v>
      </c>
      <c r="C327" t="s">
        <v>24</v>
      </c>
      <c r="D327" s="2">
        <v>35076228</v>
      </c>
      <c r="E327" s="2">
        <v>0</v>
      </c>
      <c r="F327" s="2">
        <v>0</v>
      </c>
      <c r="G327" s="2">
        <v>114178.6</v>
      </c>
      <c r="H327" s="2">
        <v>0</v>
      </c>
      <c r="I327" s="2">
        <v>0</v>
      </c>
      <c r="J327" s="4">
        <f t="shared" si="38"/>
        <v>35190406.600000001</v>
      </c>
      <c r="K327" s="17">
        <f>systems!O357</f>
        <v>100933286.99999999</v>
      </c>
      <c r="L327" s="13">
        <f t="shared" si="39"/>
        <v>0.34865015938696226</v>
      </c>
      <c r="Q327" s="2" t="s">
        <v>34</v>
      </c>
      <c r="U327" s="2">
        <f>(H327+K327)</f>
        <v>100933286.99999999</v>
      </c>
    </row>
    <row r="328" spans="1:21" x14ac:dyDescent="0.5">
      <c r="A328">
        <v>135</v>
      </c>
      <c r="B328">
        <v>135</v>
      </c>
      <c r="C328" t="s">
        <v>25</v>
      </c>
      <c r="D328" s="2">
        <v>208187088</v>
      </c>
      <c r="E328" s="2">
        <v>265862992</v>
      </c>
      <c r="F328" s="2">
        <v>21213604</v>
      </c>
      <c r="G328" s="2">
        <v>3647987.3</v>
      </c>
      <c r="H328" s="2">
        <v>1099888.1000000001</v>
      </c>
      <c r="I328" s="2">
        <v>0</v>
      </c>
      <c r="J328" s="4">
        <f t="shared" si="38"/>
        <v>500011559.40000004</v>
      </c>
      <c r="K328" s="17">
        <f>systems!O358</f>
        <v>542319697.70000005</v>
      </c>
      <c r="L328" s="13">
        <f t="shared" si="39"/>
        <v>0.92198672023267725</v>
      </c>
      <c r="Q328" s="2" t="s">
        <v>34</v>
      </c>
      <c r="U328" s="2">
        <f>(H328+K328)</f>
        <v>543419585.80000007</v>
      </c>
    </row>
    <row r="329" spans="1:21" x14ac:dyDescent="0.5">
      <c r="A329">
        <v>156</v>
      </c>
      <c r="B329">
        <v>156</v>
      </c>
      <c r="C329" t="s">
        <v>26</v>
      </c>
      <c r="D329" s="2">
        <v>0</v>
      </c>
      <c r="E329" s="2">
        <v>24468758</v>
      </c>
      <c r="F329" s="2">
        <v>50415976</v>
      </c>
      <c r="G329" s="2">
        <v>0</v>
      </c>
      <c r="H329" s="2">
        <v>623498.69999999995</v>
      </c>
      <c r="I329" s="2">
        <v>318085.8</v>
      </c>
      <c r="J329" s="4">
        <f t="shared" si="38"/>
        <v>75826318.5</v>
      </c>
      <c r="K329" s="17">
        <f>systems!O359</f>
        <v>80314773.599999994</v>
      </c>
      <c r="L329" s="13">
        <f t="shared" si="39"/>
        <v>0.94411420341724039</v>
      </c>
      <c r="Q329" s="2" t="s">
        <v>34</v>
      </c>
      <c r="U329" s="2">
        <f>SUM(H329:M329)</f>
        <v>157082677.5441142</v>
      </c>
    </row>
    <row r="330" spans="1:21" x14ac:dyDescent="0.5">
      <c r="A330">
        <v>159</v>
      </c>
      <c r="B330">
        <v>159</v>
      </c>
      <c r="C330" t="s">
        <v>27</v>
      </c>
      <c r="D330" s="2">
        <v>43933384</v>
      </c>
      <c r="E330" s="2">
        <v>0</v>
      </c>
      <c r="F330" s="2">
        <v>0</v>
      </c>
      <c r="G330" s="2">
        <v>357223.8</v>
      </c>
      <c r="H330" s="2">
        <v>0</v>
      </c>
      <c r="I330" s="2">
        <v>0</v>
      </c>
      <c r="J330" s="4">
        <f t="shared" si="38"/>
        <v>44290607.799999997</v>
      </c>
      <c r="K330" s="17">
        <f>systems!O360</f>
        <v>57785018.199999996</v>
      </c>
      <c r="L330" s="13">
        <f t="shared" si="39"/>
        <v>0.76647216146416308</v>
      </c>
      <c r="Q330" s="2">
        <f>(D330+G330)</f>
        <v>44290607.799999997</v>
      </c>
      <c r="U330" s="2" t="s">
        <v>34</v>
      </c>
    </row>
    <row r="331" spans="1:21" x14ac:dyDescent="0.5">
      <c r="A331">
        <v>178</v>
      </c>
      <c r="B331">
        <v>178</v>
      </c>
      <c r="C331" t="s">
        <v>56</v>
      </c>
      <c r="D331" s="2">
        <v>48056224</v>
      </c>
      <c r="E331" s="2">
        <v>0</v>
      </c>
      <c r="F331" s="2">
        <v>0</v>
      </c>
      <c r="G331" s="2">
        <v>85210.9</v>
      </c>
      <c r="H331" s="2">
        <v>0</v>
      </c>
      <c r="I331" s="2">
        <v>0</v>
      </c>
      <c r="J331" s="4">
        <f t="shared" si="38"/>
        <v>48141434.899999999</v>
      </c>
      <c r="K331" s="17">
        <f>systems!O361</f>
        <v>99978123.599999994</v>
      </c>
      <c r="L331" s="13">
        <f t="shared" si="39"/>
        <v>0.48151968817306351</v>
      </c>
      <c r="Q331" s="2" t="s">
        <v>34</v>
      </c>
      <c r="U331" s="2">
        <f>(H331+K331)</f>
        <v>99978123.599999994</v>
      </c>
    </row>
    <row r="332" spans="1:21" x14ac:dyDescent="0.5">
      <c r="A332">
        <v>179</v>
      </c>
      <c r="B332">
        <v>179</v>
      </c>
      <c r="C332" t="s">
        <v>28</v>
      </c>
      <c r="D332" s="2">
        <v>3126948</v>
      </c>
      <c r="E332" s="2">
        <v>10075985</v>
      </c>
      <c r="F332" s="2">
        <v>0</v>
      </c>
      <c r="G332" s="2">
        <v>0</v>
      </c>
      <c r="H332" s="2">
        <v>62887.9</v>
      </c>
      <c r="I332" s="2">
        <v>0</v>
      </c>
      <c r="J332" s="4">
        <f t="shared" si="38"/>
        <v>13265820.9</v>
      </c>
      <c r="K332" s="17">
        <f>systems!O362</f>
        <v>16864847.899999999</v>
      </c>
      <c r="L332" s="13">
        <f t="shared" si="39"/>
        <v>0.78659594077928219</v>
      </c>
      <c r="Q332" s="2" t="s">
        <v>34</v>
      </c>
      <c r="U332" s="2">
        <f>(H332+K332)</f>
        <v>16927735.799999997</v>
      </c>
    </row>
    <row r="333" spans="1:21" x14ac:dyDescent="0.5">
      <c r="A333">
        <v>188</v>
      </c>
      <c r="B333">
        <v>188</v>
      </c>
      <c r="C333" t="s">
        <v>29</v>
      </c>
      <c r="D333" s="2">
        <v>426635104</v>
      </c>
      <c r="E333" s="2">
        <v>329120864</v>
      </c>
      <c r="F333" s="2">
        <v>69720064</v>
      </c>
      <c r="G333" s="2">
        <v>1627125.8</v>
      </c>
      <c r="H333" s="2">
        <v>171725.1</v>
      </c>
      <c r="I333" s="2">
        <v>49617.599999999999</v>
      </c>
      <c r="J333" s="4">
        <f t="shared" si="38"/>
        <v>827324500.5</v>
      </c>
      <c r="K333" s="17">
        <f>systems!O363</f>
        <v>1206765974.5</v>
      </c>
      <c r="L333" s="13">
        <f t="shared" si="39"/>
        <v>0.68557161701777825</v>
      </c>
      <c r="Q333" s="2" t="s">
        <v>34</v>
      </c>
      <c r="U333" s="2">
        <f>SUM(H333:M333)</f>
        <v>2034311818.3855717</v>
      </c>
    </row>
    <row r="334" spans="1:21" x14ac:dyDescent="0.5">
      <c r="A334">
        <v>189</v>
      </c>
      <c r="B334">
        <v>189</v>
      </c>
      <c r="C334" t="s">
        <v>30</v>
      </c>
      <c r="D334" s="2">
        <v>8062798.5</v>
      </c>
      <c r="E334" s="2">
        <v>341936448</v>
      </c>
      <c r="F334" s="2">
        <v>114737800</v>
      </c>
      <c r="G334" s="2">
        <v>0</v>
      </c>
      <c r="H334" s="2">
        <v>273520.09999999998</v>
      </c>
      <c r="I334" s="2">
        <v>0</v>
      </c>
      <c r="J334" s="4">
        <f t="shared" si="38"/>
        <v>465010566.60000002</v>
      </c>
      <c r="K334" s="17">
        <f>systems!O364</f>
        <v>566020617.5</v>
      </c>
      <c r="L334" s="13">
        <f t="shared" si="39"/>
        <v>0.82154351312123364</v>
      </c>
      <c r="Q334" s="2" t="s">
        <v>34</v>
      </c>
      <c r="U334" s="2">
        <f>SUM(H334:M334)</f>
        <v>1031304705.0215435</v>
      </c>
    </row>
    <row r="335" spans="1:21" x14ac:dyDescent="0.5">
      <c r="A335">
        <v>203</v>
      </c>
      <c r="B335">
        <v>203</v>
      </c>
      <c r="C335" t="s">
        <v>31</v>
      </c>
      <c r="D335" s="2">
        <v>21329246</v>
      </c>
      <c r="E335" s="2">
        <v>292673.09999999998</v>
      </c>
      <c r="F335" s="2">
        <v>0</v>
      </c>
      <c r="G335" s="2">
        <v>225794.3</v>
      </c>
      <c r="H335" s="2">
        <v>0</v>
      </c>
      <c r="I335" s="2">
        <v>0</v>
      </c>
      <c r="J335" s="4">
        <f t="shared" si="38"/>
        <v>21847713.400000002</v>
      </c>
      <c r="K335" s="17">
        <f>systems!O365</f>
        <v>124242502.79999998</v>
      </c>
      <c r="L335" s="13">
        <f t="shared" si="39"/>
        <v>0.17584733813008802</v>
      </c>
      <c r="Q335" s="2">
        <f>(D335+G335)</f>
        <v>21555040.300000001</v>
      </c>
      <c r="U335" s="2" t="s">
        <v>34</v>
      </c>
    </row>
    <row r="336" spans="1:21" x14ac:dyDescent="0.5">
      <c r="A336">
        <v>204</v>
      </c>
      <c r="B336">
        <v>204</v>
      </c>
      <c r="C336" t="s">
        <v>32</v>
      </c>
      <c r="D336" s="2">
        <v>153372160</v>
      </c>
      <c r="E336" s="2">
        <v>1385277.1</v>
      </c>
      <c r="F336" s="2">
        <v>55674188</v>
      </c>
      <c r="G336" s="2">
        <v>986618.5</v>
      </c>
      <c r="H336" s="2">
        <v>0</v>
      </c>
      <c r="I336" s="2">
        <v>1388210</v>
      </c>
      <c r="J336" s="4">
        <f t="shared" si="38"/>
        <v>212806453.59999999</v>
      </c>
      <c r="K336" s="17">
        <f>systems!O366</f>
        <v>329449417.10000002</v>
      </c>
      <c r="L336" s="13">
        <f t="shared" si="39"/>
        <v>0.64594575845130542</v>
      </c>
      <c r="Q336" s="2" t="s">
        <v>34</v>
      </c>
      <c r="U336" s="2">
        <f>(H336+K336)</f>
        <v>329449417.10000002</v>
      </c>
    </row>
    <row r="337" spans="1:35" x14ac:dyDescent="0.5">
      <c r="D337" s="4">
        <f t="shared" ref="D337:I337" si="40">SUM(D311:D336)</f>
        <v>1755722976</v>
      </c>
      <c r="E337" s="4">
        <f t="shared" si="40"/>
        <v>1580357497.9999998</v>
      </c>
      <c r="F337" s="4">
        <f t="shared" si="40"/>
        <v>3017433525.8000002</v>
      </c>
      <c r="G337" s="4">
        <f t="shared" si="40"/>
        <v>21880979.100000001</v>
      </c>
      <c r="H337" s="4">
        <f t="shared" si="40"/>
        <v>16000246.799999999</v>
      </c>
      <c r="I337" s="4">
        <f t="shared" si="40"/>
        <v>56870031.799999997</v>
      </c>
      <c r="J337" s="4">
        <f t="shared" si="38"/>
        <v>6448265257.500001</v>
      </c>
      <c r="K337" s="17">
        <f>systems!O367</f>
        <v>8716905486.7000008</v>
      </c>
      <c r="L337" s="13">
        <f t="shared" si="39"/>
        <v>0.73974247711399133</v>
      </c>
      <c r="Q337" s="4">
        <f>SUM(Q311:Q336)</f>
        <v>3767183155.1000004</v>
      </c>
      <c r="U337" s="4">
        <f>SUM(U311:U336)</f>
        <v>5185131127.3741627</v>
      </c>
    </row>
    <row r="338" spans="1:35" ht="14.7" thickBot="1" x14ac:dyDescent="0.55000000000000004">
      <c r="A338" t="s">
        <v>59</v>
      </c>
      <c r="D338" s="2"/>
      <c r="E338" s="2"/>
      <c r="F338" s="2"/>
      <c r="G338" s="2"/>
      <c r="H338" s="2"/>
      <c r="I338" s="2"/>
      <c r="K338" s="17"/>
    </row>
    <row r="339" spans="1:35" ht="14.7" thickBot="1" x14ac:dyDescent="0.55000000000000004">
      <c r="A339">
        <v>13</v>
      </c>
      <c r="B339">
        <v>13</v>
      </c>
      <c r="C339" t="s">
        <v>12</v>
      </c>
      <c r="D339" s="2">
        <v>0</v>
      </c>
      <c r="E339" s="2">
        <v>37238.9</v>
      </c>
      <c r="F339" s="2">
        <v>310674.59999999998</v>
      </c>
      <c r="G339" s="2">
        <v>0</v>
      </c>
      <c r="H339" s="2">
        <v>9866</v>
      </c>
      <c r="I339" s="2">
        <v>1048.2</v>
      </c>
      <c r="J339" s="4">
        <f t="shared" ref="J339:J365" si="41">SUM(D339:I339)</f>
        <v>358827.7</v>
      </c>
      <c r="K339" s="17">
        <f>systems!O369</f>
        <v>374174.8</v>
      </c>
      <c r="L339" s="13">
        <f t="shared" si="39"/>
        <v>0.95898414324000447</v>
      </c>
      <c r="Q339" s="2" t="s">
        <v>34</v>
      </c>
      <c r="U339" s="2">
        <f>SUM(H339:M339)</f>
        <v>743917.65898414317</v>
      </c>
      <c r="AB339" s="27"/>
      <c r="AC339" s="85" t="s">
        <v>82</v>
      </c>
      <c r="AD339" s="86"/>
      <c r="AE339" s="86"/>
      <c r="AF339" s="86"/>
      <c r="AG339" s="86"/>
      <c r="AH339" s="87"/>
    </row>
    <row r="340" spans="1:35" ht="14.7" thickBot="1" x14ac:dyDescent="0.55000000000000004">
      <c r="A340">
        <v>15</v>
      </c>
      <c r="B340">
        <v>15</v>
      </c>
      <c r="C340" t="s">
        <v>13</v>
      </c>
      <c r="D340" s="2">
        <v>923526.3</v>
      </c>
      <c r="E340" s="2">
        <v>246278</v>
      </c>
      <c r="F340" s="2">
        <v>0</v>
      </c>
      <c r="G340" s="2">
        <v>0</v>
      </c>
      <c r="H340" s="2">
        <v>3049.7</v>
      </c>
      <c r="I340" s="2">
        <v>0</v>
      </c>
      <c r="J340" s="4">
        <f t="shared" si="41"/>
        <v>1172854</v>
      </c>
      <c r="K340" s="17">
        <f>systems!O370</f>
        <v>1986033.1</v>
      </c>
      <c r="L340" s="13">
        <f t="shared" si="39"/>
        <v>0.59055108396733158</v>
      </c>
      <c r="Q340" s="2" t="s">
        <v>34</v>
      </c>
      <c r="U340" s="2">
        <f>(H340+K340)</f>
        <v>1989082.8</v>
      </c>
      <c r="AB340" s="28"/>
      <c r="AC340" s="29" t="s">
        <v>15</v>
      </c>
      <c r="AD340" s="29" t="s">
        <v>16</v>
      </c>
      <c r="AE340" s="29" t="s">
        <v>20</v>
      </c>
      <c r="AF340" s="29" t="s">
        <v>21</v>
      </c>
      <c r="AG340" s="29" t="s">
        <v>27</v>
      </c>
      <c r="AH340" s="29" t="s">
        <v>31</v>
      </c>
    </row>
    <row r="341" spans="1:35" ht="23.7" thickBot="1" x14ac:dyDescent="0.55000000000000004">
      <c r="A341">
        <v>16</v>
      </c>
      <c r="B341">
        <v>16</v>
      </c>
      <c r="C341" t="s">
        <v>52</v>
      </c>
      <c r="D341" s="2">
        <v>6299163.5</v>
      </c>
      <c r="E341" s="2">
        <v>8944.7000000000007</v>
      </c>
      <c r="F341" s="2">
        <v>0</v>
      </c>
      <c r="G341" s="2">
        <v>4952</v>
      </c>
      <c r="H341" s="2">
        <v>0</v>
      </c>
      <c r="I341" s="2">
        <v>0</v>
      </c>
      <c r="J341" s="4">
        <f t="shared" si="41"/>
        <v>6313060.2000000002</v>
      </c>
      <c r="K341" s="17">
        <f>systems!O371</f>
        <v>8437243.5999999996</v>
      </c>
      <c r="L341" s="13">
        <f t="shared" si="39"/>
        <v>0.74823727976752985</v>
      </c>
      <c r="Q341" s="2" t="s">
        <v>34</v>
      </c>
      <c r="U341" s="2">
        <f>(H341+K341)</f>
        <v>8437243.5999999996</v>
      </c>
      <c r="AB341" s="28"/>
      <c r="AC341" s="29" t="s">
        <v>83</v>
      </c>
      <c r="AD341" s="29" t="s">
        <v>84</v>
      </c>
      <c r="AE341" s="29" t="s">
        <v>83</v>
      </c>
      <c r="AF341" s="29" t="s">
        <v>84</v>
      </c>
      <c r="AG341" s="29" t="s">
        <v>84</v>
      </c>
      <c r="AH341" s="29" t="s">
        <v>84</v>
      </c>
    </row>
    <row r="342" spans="1:35" x14ac:dyDescent="0.5">
      <c r="A342">
        <v>30</v>
      </c>
      <c r="B342">
        <v>30</v>
      </c>
      <c r="C342" t="s">
        <v>53</v>
      </c>
      <c r="D342" s="2">
        <v>625505.80000000005</v>
      </c>
      <c r="E342" s="2">
        <v>0</v>
      </c>
      <c r="F342" s="2">
        <v>0</v>
      </c>
      <c r="G342" s="2">
        <v>0</v>
      </c>
      <c r="H342" s="2">
        <v>0</v>
      </c>
      <c r="I342" s="2">
        <v>0</v>
      </c>
      <c r="J342" s="4">
        <f t="shared" si="41"/>
        <v>625505.80000000005</v>
      </c>
      <c r="K342" s="17">
        <f>systems!O372</f>
        <v>2644497.7000000002</v>
      </c>
      <c r="L342" s="13">
        <f t="shared" si="39"/>
        <v>0.23653104330550184</v>
      </c>
      <c r="Q342" s="2" t="s">
        <v>34</v>
      </c>
      <c r="U342" s="2">
        <f>(H342+K342)</f>
        <v>2644497.7000000002</v>
      </c>
      <c r="AB342" s="88" t="s">
        <v>85</v>
      </c>
      <c r="AC342" s="90">
        <v>4834329</v>
      </c>
      <c r="AD342" s="90">
        <v>197901</v>
      </c>
      <c r="AE342" s="90">
        <v>3520593</v>
      </c>
      <c r="AF342" s="90">
        <v>757781</v>
      </c>
      <c r="AG342" s="90">
        <v>404216</v>
      </c>
      <c r="AH342" s="90">
        <v>690546</v>
      </c>
      <c r="AI342" s="5">
        <f>SUM(AC342:AH342)</f>
        <v>10405366</v>
      </c>
    </row>
    <row r="343" spans="1:35" ht="14.7" thickBot="1" x14ac:dyDescent="0.55000000000000004">
      <c r="A343">
        <v>37</v>
      </c>
      <c r="B343">
        <v>37</v>
      </c>
      <c r="C343" t="s">
        <v>14</v>
      </c>
      <c r="D343" s="2">
        <v>164058.5</v>
      </c>
      <c r="E343" s="2">
        <v>497091.8</v>
      </c>
      <c r="F343" s="2">
        <v>21.3</v>
      </c>
      <c r="G343" s="2">
        <v>0</v>
      </c>
      <c r="H343" s="2">
        <v>7747.9</v>
      </c>
      <c r="I343" s="2">
        <v>0</v>
      </c>
      <c r="J343" s="4">
        <f t="shared" si="41"/>
        <v>668919.50000000012</v>
      </c>
      <c r="K343" s="17">
        <f>systems!O373</f>
        <v>1569300.9000000001</v>
      </c>
      <c r="L343" s="13">
        <f t="shared" si="39"/>
        <v>0.42625318063603995</v>
      </c>
      <c r="Q343" s="2" t="s">
        <v>34</v>
      </c>
      <c r="U343" s="2">
        <f>(H343+K343)</f>
        <v>1577048.8</v>
      </c>
      <c r="AB343" s="89"/>
      <c r="AC343" s="91"/>
      <c r="AD343" s="91"/>
      <c r="AE343" s="91"/>
      <c r="AF343" s="91"/>
      <c r="AG343" s="91"/>
      <c r="AH343" s="91"/>
    </row>
    <row r="344" spans="1:35" x14ac:dyDescent="0.5">
      <c r="A344">
        <v>38</v>
      </c>
      <c r="B344">
        <v>38</v>
      </c>
      <c r="C344" t="s">
        <v>54</v>
      </c>
      <c r="D344" s="2">
        <v>431290.6</v>
      </c>
      <c r="E344" s="2">
        <v>46006.7</v>
      </c>
      <c r="F344" s="2">
        <v>22641.200000000001</v>
      </c>
      <c r="G344" s="2">
        <v>2021.8</v>
      </c>
      <c r="H344" s="2">
        <v>0</v>
      </c>
      <c r="I344" s="2">
        <v>0</v>
      </c>
      <c r="J344" s="4">
        <f t="shared" si="41"/>
        <v>501960.3</v>
      </c>
      <c r="K344" s="17">
        <f>systems!O374</f>
        <v>3589752.9</v>
      </c>
      <c r="L344" s="13">
        <f t="shared" si="39"/>
        <v>0.13983143519432772</v>
      </c>
      <c r="Q344" s="2" t="s">
        <v>34</v>
      </c>
      <c r="U344" s="2">
        <f>(H344+K344)</f>
        <v>3589752.9</v>
      </c>
      <c r="AB344" s="88" t="s">
        <v>86</v>
      </c>
      <c r="AC344" s="90">
        <v>32549951</v>
      </c>
      <c r="AD344" s="90">
        <v>4637645</v>
      </c>
      <c r="AE344" s="90">
        <v>13438545</v>
      </c>
      <c r="AF344" s="90">
        <v>7989570</v>
      </c>
      <c r="AG344" s="90">
        <v>5473700</v>
      </c>
      <c r="AH344" s="90">
        <v>1091831</v>
      </c>
      <c r="AI344" s="5">
        <f>SUM(AC344:AH344)</f>
        <v>65181242</v>
      </c>
    </row>
    <row r="345" spans="1:35" ht="14.7" thickBot="1" x14ac:dyDescent="0.55000000000000004">
      <c r="A345">
        <v>60</v>
      </c>
      <c r="B345">
        <v>60</v>
      </c>
      <c r="C345" t="s">
        <v>15</v>
      </c>
      <c r="D345" s="2">
        <v>9363422</v>
      </c>
      <c r="E345" s="2">
        <v>2292006</v>
      </c>
      <c r="F345" s="2">
        <v>31348308</v>
      </c>
      <c r="G345" s="2">
        <v>227602.1</v>
      </c>
      <c r="H345" s="2">
        <v>4460.7</v>
      </c>
      <c r="I345" s="2">
        <v>839097.5</v>
      </c>
      <c r="J345" s="4">
        <f t="shared" si="41"/>
        <v>44074896.300000004</v>
      </c>
      <c r="K345" s="17">
        <f>systems!O375</f>
        <v>50530912.200000003</v>
      </c>
      <c r="L345" s="13">
        <f t="shared" si="39"/>
        <v>0.87223630805540853</v>
      </c>
      <c r="Q345" s="2">
        <f>SUM(D345:I345)</f>
        <v>44074896.300000004</v>
      </c>
      <c r="U345" s="2" t="s">
        <v>34</v>
      </c>
      <c r="AB345" s="89"/>
      <c r="AC345" s="91"/>
      <c r="AD345" s="91"/>
      <c r="AE345" s="91"/>
      <c r="AF345" s="91"/>
      <c r="AG345" s="91"/>
      <c r="AH345" s="91"/>
    </row>
    <row r="346" spans="1:35" x14ac:dyDescent="0.5">
      <c r="A346">
        <v>67</v>
      </c>
      <c r="B346">
        <v>67</v>
      </c>
      <c r="C346" t="s">
        <v>16</v>
      </c>
      <c r="D346" s="2">
        <v>520346.3</v>
      </c>
      <c r="E346" s="2">
        <v>202849</v>
      </c>
      <c r="F346" s="2">
        <v>0</v>
      </c>
      <c r="G346" s="2">
        <v>3882.1</v>
      </c>
      <c r="H346" s="2">
        <v>1318.9</v>
      </c>
      <c r="I346" s="2">
        <v>0</v>
      </c>
      <c r="J346" s="4">
        <f t="shared" si="41"/>
        <v>728396.3</v>
      </c>
      <c r="K346" s="17">
        <f>systems!O376</f>
        <v>1376307.4</v>
      </c>
      <c r="L346" s="13">
        <f t="shared" si="39"/>
        <v>0.52923954343339297</v>
      </c>
      <c r="Q346" s="2">
        <f>(D346+G346)</f>
        <v>524228.39999999997</v>
      </c>
      <c r="U346" s="2" t="s">
        <v>34</v>
      </c>
      <c r="AB346" s="88" t="s">
        <v>87</v>
      </c>
      <c r="AC346" s="90">
        <v>9593557</v>
      </c>
      <c r="AD346" s="90">
        <v>118731</v>
      </c>
      <c r="AE346" s="90">
        <v>2199991</v>
      </c>
      <c r="AF346" s="90">
        <v>792392</v>
      </c>
      <c r="AG346" s="90">
        <v>545728</v>
      </c>
      <c r="AH346" s="90">
        <v>43968</v>
      </c>
      <c r="AI346" s="5">
        <f>SUM(AC346:AH346)</f>
        <v>13294367</v>
      </c>
    </row>
    <row r="347" spans="1:35" ht="14.7" thickBot="1" x14ac:dyDescent="0.55000000000000004">
      <c r="A347">
        <v>69</v>
      </c>
      <c r="B347">
        <v>69</v>
      </c>
      <c r="C347" t="s">
        <v>17</v>
      </c>
      <c r="D347" s="2">
        <v>1069442.6000000001</v>
      </c>
      <c r="E347" s="2">
        <v>1599051.6</v>
      </c>
      <c r="F347" s="2">
        <v>86.2</v>
      </c>
      <c r="G347" s="2">
        <v>8053.9</v>
      </c>
      <c r="H347" s="2">
        <v>4994.8</v>
      </c>
      <c r="I347" s="2">
        <v>0</v>
      </c>
      <c r="J347" s="4">
        <f t="shared" si="41"/>
        <v>2681629.1</v>
      </c>
      <c r="K347" s="17">
        <f>systems!O377</f>
        <v>4865436.6000000006</v>
      </c>
      <c r="L347" s="13">
        <f t="shared" si="39"/>
        <v>0.55115898540328323</v>
      </c>
      <c r="Q347" s="2" t="s">
        <v>34</v>
      </c>
      <c r="U347" s="2">
        <f>(H347+K347)</f>
        <v>4870431.4000000004</v>
      </c>
      <c r="AB347" s="89"/>
      <c r="AC347" s="91"/>
      <c r="AD347" s="91"/>
      <c r="AE347" s="91"/>
      <c r="AF347" s="91"/>
      <c r="AG347" s="91"/>
      <c r="AH347" s="91"/>
    </row>
    <row r="348" spans="1:35" x14ac:dyDescent="0.5">
      <c r="A348">
        <v>71</v>
      </c>
      <c r="B348">
        <v>71</v>
      </c>
      <c r="C348" t="s">
        <v>18</v>
      </c>
      <c r="D348" s="2">
        <v>338844.6</v>
      </c>
      <c r="E348" s="2">
        <v>0</v>
      </c>
      <c r="F348" s="2">
        <v>0</v>
      </c>
      <c r="G348" s="2">
        <v>0</v>
      </c>
      <c r="H348" s="2">
        <v>0</v>
      </c>
      <c r="I348" s="2">
        <v>0</v>
      </c>
      <c r="J348" s="4">
        <f t="shared" si="41"/>
        <v>338844.6</v>
      </c>
      <c r="K348" s="17">
        <f>systems!O378</f>
        <v>384565.6</v>
      </c>
      <c r="L348" s="13">
        <f t="shared" si="39"/>
        <v>0.88111001087980823</v>
      </c>
      <c r="Q348" s="2" t="s">
        <v>34</v>
      </c>
      <c r="U348" s="2">
        <f>(H348+K348)</f>
        <v>384565.6</v>
      </c>
      <c r="AB348" s="88" t="s">
        <v>88</v>
      </c>
      <c r="AC348" s="90">
        <v>8834923</v>
      </c>
      <c r="AD348" s="90">
        <v>32056</v>
      </c>
      <c r="AE348" s="90">
        <v>2116609</v>
      </c>
      <c r="AF348" s="90">
        <v>194450</v>
      </c>
      <c r="AG348" s="90">
        <v>133758</v>
      </c>
      <c r="AH348" s="90">
        <v>65096</v>
      </c>
      <c r="AI348" s="5">
        <f>SUM(AC348:AH348)</f>
        <v>11376892</v>
      </c>
    </row>
    <row r="349" spans="1:35" ht="14.7" thickBot="1" x14ac:dyDescent="0.55000000000000004">
      <c r="A349">
        <v>72</v>
      </c>
      <c r="B349">
        <v>72</v>
      </c>
      <c r="C349" t="s">
        <v>19</v>
      </c>
      <c r="D349" s="2">
        <v>289547.40000000002</v>
      </c>
      <c r="E349" s="2">
        <v>1158.2</v>
      </c>
      <c r="F349" s="2">
        <v>0</v>
      </c>
      <c r="G349" s="2">
        <v>13531.2</v>
      </c>
      <c r="H349" s="2">
        <v>0</v>
      </c>
      <c r="I349" s="2">
        <v>0</v>
      </c>
      <c r="J349" s="4">
        <f t="shared" si="41"/>
        <v>304236.80000000005</v>
      </c>
      <c r="K349" s="17">
        <f>systems!O379</f>
        <v>615758.79999999993</v>
      </c>
      <c r="L349" s="13">
        <f t="shared" si="39"/>
        <v>0.49408437199760696</v>
      </c>
      <c r="Q349" s="2" t="s">
        <v>34</v>
      </c>
      <c r="U349" s="2">
        <f>(H349+K349)</f>
        <v>615758.79999999993</v>
      </c>
      <c r="AB349" s="89"/>
      <c r="AC349" s="91"/>
      <c r="AD349" s="91"/>
      <c r="AE349" s="91"/>
      <c r="AF349" s="91"/>
      <c r="AG349" s="91"/>
      <c r="AH349" s="91"/>
    </row>
    <row r="350" spans="1:35" ht="14.7" thickBot="1" x14ac:dyDescent="0.55000000000000004">
      <c r="A350">
        <v>96</v>
      </c>
      <c r="B350">
        <v>96</v>
      </c>
      <c r="C350" t="s">
        <v>20</v>
      </c>
      <c r="D350" s="2">
        <v>2322683.7999999998</v>
      </c>
      <c r="E350" s="2">
        <v>1862007.4</v>
      </c>
      <c r="F350" s="2">
        <v>5825668</v>
      </c>
      <c r="G350" s="2">
        <v>58316.2</v>
      </c>
      <c r="H350" s="2">
        <v>51540.5</v>
      </c>
      <c r="I350" s="2">
        <v>81161.7</v>
      </c>
      <c r="J350" s="4">
        <f t="shared" si="41"/>
        <v>10201377.599999998</v>
      </c>
      <c r="K350" s="17">
        <f>systems!O380</f>
        <v>17868652.799999997</v>
      </c>
      <c r="L350" s="13">
        <f t="shared" si="39"/>
        <v>0.57090916221731047</v>
      </c>
      <c r="Q350" s="2">
        <f>SUM(D350:I350)</f>
        <v>10201377.599999998</v>
      </c>
      <c r="U350" s="2" t="s">
        <v>34</v>
      </c>
      <c r="AB350" s="28" t="s">
        <v>89</v>
      </c>
      <c r="AC350" s="30">
        <f t="shared" ref="AC350:AH350" si="42">SUM(AC342:AC349)</f>
        <v>55812760</v>
      </c>
      <c r="AD350" s="30">
        <f t="shared" si="42"/>
        <v>4986333</v>
      </c>
      <c r="AE350" s="30">
        <f t="shared" si="42"/>
        <v>21275738</v>
      </c>
      <c r="AF350" s="30">
        <f t="shared" si="42"/>
        <v>9734193</v>
      </c>
      <c r="AG350" s="30">
        <f t="shared" si="42"/>
        <v>6557402</v>
      </c>
      <c r="AH350" s="30">
        <f t="shared" si="42"/>
        <v>1891441</v>
      </c>
      <c r="AI350" s="5">
        <f>SUM(AC350:AH350)</f>
        <v>100257867</v>
      </c>
    </row>
    <row r="351" spans="1:35" x14ac:dyDescent="0.5">
      <c r="A351">
        <v>121</v>
      </c>
      <c r="B351">
        <v>121</v>
      </c>
      <c r="C351" t="s">
        <v>21</v>
      </c>
      <c r="D351" s="2">
        <v>5124148.5</v>
      </c>
      <c r="E351" s="2">
        <v>0</v>
      </c>
      <c r="F351" s="2">
        <v>0</v>
      </c>
      <c r="G351" s="2">
        <v>62810.6</v>
      </c>
      <c r="H351" s="2">
        <v>0</v>
      </c>
      <c r="I351" s="2">
        <v>0</v>
      </c>
      <c r="J351" s="4">
        <f t="shared" si="41"/>
        <v>5186959.0999999996</v>
      </c>
      <c r="K351" s="17">
        <f>systems!O381</f>
        <v>9013442</v>
      </c>
      <c r="L351" s="13">
        <f t="shared" si="39"/>
        <v>0.57546929352848775</v>
      </c>
      <c r="Q351" s="2">
        <f>(D351+G351)</f>
        <v>5186959.0999999996</v>
      </c>
      <c r="U351" s="2" t="s">
        <v>34</v>
      </c>
    </row>
    <row r="352" spans="1:35" x14ac:dyDescent="0.5">
      <c r="A352">
        <v>126</v>
      </c>
      <c r="B352">
        <v>126</v>
      </c>
      <c r="C352" t="s">
        <v>22</v>
      </c>
      <c r="D352" s="2">
        <v>400946</v>
      </c>
      <c r="E352" s="2">
        <v>90647.9</v>
      </c>
      <c r="F352" s="2">
        <v>0</v>
      </c>
      <c r="G352" s="2">
        <v>20456.900000000001</v>
      </c>
      <c r="H352" s="2">
        <v>2386.1999999999998</v>
      </c>
      <c r="I352" s="2">
        <v>0</v>
      </c>
      <c r="J352" s="4">
        <f t="shared" si="41"/>
        <v>514437.00000000006</v>
      </c>
      <c r="K352" s="17">
        <f>systems!O382</f>
        <v>1190742.6000000001</v>
      </c>
      <c r="L352" s="13">
        <f t="shared" si="39"/>
        <v>0.43203039850930003</v>
      </c>
      <c r="Q352" s="2" t="s">
        <v>34</v>
      </c>
      <c r="U352" s="2">
        <f>(H352+K352)</f>
        <v>1193128.8</v>
      </c>
    </row>
    <row r="353" spans="1:23" x14ac:dyDescent="0.5">
      <c r="A353">
        <v>127</v>
      </c>
      <c r="B353">
        <v>127</v>
      </c>
      <c r="C353" t="s">
        <v>55</v>
      </c>
      <c r="D353" s="2">
        <v>156561.79999999999</v>
      </c>
      <c r="E353" s="2">
        <v>0</v>
      </c>
      <c r="F353" s="2">
        <v>0</v>
      </c>
      <c r="G353" s="2">
        <v>9405.2999999999993</v>
      </c>
      <c r="H353" s="2">
        <v>0</v>
      </c>
      <c r="I353" s="2">
        <v>0</v>
      </c>
      <c r="J353" s="4">
        <f t="shared" si="41"/>
        <v>165967.09999999998</v>
      </c>
      <c r="K353" s="17">
        <f>systems!O383</f>
        <v>1726645.9000000001</v>
      </c>
      <c r="L353" s="13">
        <f t="shared" si="39"/>
        <v>9.612109813598721E-2</v>
      </c>
      <c r="Q353" s="2" t="s">
        <v>34</v>
      </c>
      <c r="U353" s="2">
        <f>(H353+K353)</f>
        <v>1726645.9000000001</v>
      </c>
    </row>
    <row r="354" spans="1:23" x14ac:dyDescent="0.5">
      <c r="A354">
        <v>131</v>
      </c>
      <c r="B354">
        <v>131</v>
      </c>
      <c r="C354" t="s">
        <v>23</v>
      </c>
      <c r="D354" s="2">
        <v>105725.3</v>
      </c>
      <c r="E354" s="2">
        <v>22770.1</v>
      </c>
      <c r="F354" s="2">
        <v>3162.3</v>
      </c>
      <c r="G354" s="2">
        <v>53.9</v>
      </c>
      <c r="H354" s="2">
        <v>3.7</v>
      </c>
      <c r="I354" s="2">
        <v>0</v>
      </c>
      <c r="J354" s="4">
        <f t="shared" si="41"/>
        <v>131715.29999999999</v>
      </c>
      <c r="K354" s="17">
        <f>systems!O384</f>
        <v>874565.9</v>
      </c>
      <c r="L354" s="13">
        <f t="shared" si="39"/>
        <v>0.15060648945951355</v>
      </c>
      <c r="Q354" s="2" t="s">
        <v>34</v>
      </c>
      <c r="U354" s="2">
        <f>(H354+K354)</f>
        <v>874569.6</v>
      </c>
    </row>
    <row r="355" spans="1:23" x14ac:dyDescent="0.5">
      <c r="A355">
        <v>134</v>
      </c>
      <c r="B355">
        <v>134</v>
      </c>
      <c r="C355" t="s">
        <v>24</v>
      </c>
      <c r="D355" s="2">
        <v>5171628.5</v>
      </c>
      <c r="E355" s="2">
        <v>0</v>
      </c>
      <c r="F355" s="2">
        <v>0</v>
      </c>
      <c r="G355" s="2">
        <v>40622.800000000003</v>
      </c>
      <c r="H355" s="2">
        <v>0</v>
      </c>
      <c r="I355" s="2">
        <v>0</v>
      </c>
      <c r="J355" s="4">
        <f t="shared" si="41"/>
        <v>5212251.3</v>
      </c>
      <c r="K355" s="17">
        <f>systems!O385</f>
        <v>9746203.5</v>
      </c>
      <c r="L355" s="13">
        <f t="shared" si="39"/>
        <v>0.53479811908298447</v>
      </c>
      <c r="Q355" s="2" t="s">
        <v>34</v>
      </c>
      <c r="U355" s="2">
        <f>(H355+K355)</f>
        <v>9746203.5</v>
      </c>
    </row>
    <row r="356" spans="1:23" x14ac:dyDescent="0.5">
      <c r="A356">
        <v>135</v>
      </c>
      <c r="B356">
        <v>135</v>
      </c>
      <c r="C356" t="s">
        <v>25</v>
      </c>
      <c r="D356" s="2">
        <v>10997329</v>
      </c>
      <c r="E356" s="2">
        <v>1791235.8</v>
      </c>
      <c r="F356" s="2">
        <v>16915.2</v>
      </c>
      <c r="G356" s="2">
        <v>157686.39999999999</v>
      </c>
      <c r="H356" s="2">
        <v>3619.6</v>
      </c>
      <c r="I356" s="2">
        <v>0</v>
      </c>
      <c r="J356" s="4">
        <f t="shared" si="41"/>
        <v>12966786</v>
      </c>
      <c r="K356" s="17">
        <f>systems!O386</f>
        <v>15780795.5</v>
      </c>
      <c r="L356" s="13">
        <f t="shared" si="39"/>
        <v>0.82168139115673855</v>
      </c>
      <c r="Q356" s="2" t="s">
        <v>34</v>
      </c>
      <c r="U356" s="2">
        <f>(H356+K356)</f>
        <v>15784415.1</v>
      </c>
    </row>
    <row r="357" spans="1:23" x14ac:dyDescent="0.5">
      <c r="A357">
        <v>156</v>
      </c>
      <c r="B357">
        <v>156</v>
      </c>
      <c r="C357" t="s">
        <v>26</v>
      </c>
      <c r="D357" s="2">
        <v>0</v>
      </c>
      <c r="E357" s="2">
        <v>239434.8</v>
      </c>
      <c r="F357" s="2">
        <v>805056.7</v>
      </c>
      <c r="G357" s="2">
        <v>0</v>
      </c>
      <c r="H357" s="2">
        <v>1846.7</v>
      </c>
      <c r="I357" s="2">
        <v>4007.1</v>
      </c>
      <c r="J357" s="4">
        <f t="shared" si="41"/>
        <v>1050345.3</v>
      </c>
      <c r="K357" s="17">
        <f>systems!O387</f>
        <v>1316428.4000000001</v>
      </c>
      <c r="L357" s="13">
        <f t="shared" si="39"/>
        <v>0.79787499266955952</v>
      </c>
      <c r="Q357" s="2" t="s">
        <v>34</v>
      </c>
      <c r="U357" s="2">
        <f>SUM(H357:M357)</f>
        <v>2372628.2978749927</v>
      </c>
    </row>
    <row r="358" spans="1:23" x14ac:dyDescent="0.5">
      <c r="A358">
        <v>159</v>
      </c>
      <c r="B358">
        <v>159</v>
      </c>
      <c r="C358" t="s">
        <v>27</v>
      </c>
      <c r="D358" s="2">
        <v>2522300.7999999998</v>
      </c>
      <c r="E358" s="2">
        <v>0</v>
      </c>
      <c r="F358" s="2">
        <v>0</v>
      </c>
      <c r="G358" s="2">
        <v>28702.6</v>
      </c>
      <c r="H358" s="2">
        <v>0</v>
      </c>
      <c r="I358" s="2">
        <v>0</v>
      </c>
      <c r="J358" s="4">
        <f t="shared" si="41"/>
        <v>2551003.4</v>
      </c>
      <c r="K358" s="17">
        <f>systems!O388</f>
        <v>3282504.9</v>
      </c>
      <c r="L358" s="13">
        <f t="shared" si="39"/>
        <v>0.777151437001663</v>
      </c>
      <c r="Q358" s="2">
        <f>(D358+G358)</f>
        <v>2551003.4</v>
      </c>
      <c r="U358" s="2" t="s">
        <v>34</v>
      </c>
    </row>
    <row r="359" spans="1:23" x14ac:dyDescent="0.5">
      <c r="A359">
        <v>178</v>
      </c>
      <c r="B359">
        <v>178</v>
      </c>
      <c r="C359" t="s">
        <v>56</v>
      </c>
      <c r="D359" s="2">
        <v>3353684</v>
      </c>
      <c r="E359" s="2">
        <v>0</v>
      </c>
      <c r="F359" s="2">
        <v>0</v>
      </c>
      <c r="G359" s="2">
        <v>11213.3</v>
      </c>
      <c r="H359" s="2">
        <v>0</v>
      </c>
      <c r="I359" s="2">
        <v>0</v>
      </c>
      <c r="J359" s="4">
        <f t="shared" si="41"/>
        <v>3364897.3</v>
      </c>
      <c r="K359" s="17">
        <f>systems!O389</f>
        <v>7296498.1000000006</v>
      </c>
      <c r="L359" s="13">
        <f t="shared" si="39"/>
        <v>0.46116606266230642</v>
      </c>
      <c r="Q359" s="2" t="s">
        <v>34</v>
      </c>
      <c r="U359" s="2">
        <f>(H359+K359)</f>
        <v>7296498.1000000006</v>
      </c>
    </row>
    <row r="360" spans="1:23" x14ac:dyDescent="0.5">
      <c r="A360">
        <v>179</v>
      </c>
      <c r="B360">
        <v>179</v>
      </c>
      <c r="C360" t="s">
        <v>28</v>
      </c>
      <c r="D360" s="2">
        <v>154606.6</v>
      </c>
      <c r="E360" s="2">
        <v>110130.7</v>
      </c>
      <c r="F360" s="2">
        <v>0</v>
      </c>
      <c r="G360" s="2">
        <v>0</v>
      </c>
      <c r="H360" s="2">
        <v>482.7</v>
      </c>
      <c r="I360" s="2">
        <v>0</v>
      </c>
      <c r="J360" s="4">
        <f t="shared" si="41"/>
        <v>265220</v>
      </c>
      <c r="K360" s="17">
        <f>systems!O390</f>
        <v>315226.90000000008</v>
      </c>
      <c r="L360" s="13">
        <f t="shared" si="39"/>
        <v>0.84136220608076251</v>
      </c>
      <c r="Q360" s="2" t="s">
        <v>34</v>
      </c>
      <c r="U360" s="2">
        <f>(H360+K360)</f>
        <v>315709.60000000009</v>
      </c>
    </row>
    <row r="361" spans="1:23" x14ac:dyDescent="0.5">
      <c r="A361">
        <v>188</v>
      </c>
      <c r="B361">
        <v>188</v>
      </c>
      <c r="C361" t="s">
        <v>29</v>
      </c>
      <c r="D361" s="2">
        <v>5874043</v>
      </c>
      <c r="E361" s="2">
        <v>3710591.5</v>
      </c>
      <c r="F361" s="2">
        <v>1327819.6000000001</v>
      </c>
      <c r="G361" s="2">
        <v>38713.199999999997</v>
      </c>
      <c r="H361" s="2">
        <v>6124.2</v>
      </c>
      <c r="I361" s="2">
        <v>3881.7</v>
      </c>
      <c r="J361" s="4">
        <f t="shared" si="41"/>
        <v>10961173.199999997</v>
      </c>
      <c r="K361" s="17">
        <f>systems!O391</f>
        <v>17650087.299999997</v>
      </c>
      <c r="L361" s="13">
        <f t="shared" si="39"/>
        <v>0.62102657135299266</v>
      </c>
      <c r="Q361" s="2" t="s">
        <v>34</v>
      </c>
      <c r="U361" s="2">
        <f>SUM(H361:M361)</f>
        <v>28621267.021026567</v>
      </c>
    </row>
    <row r="362" spans="1:23" x14ac:dyDescent="0.5">
      <c r="A362">
        <v>189</v>
      </c>
      <c r="B362">
        <v>189</v>
      </c>
      <c r="C362" t="s">
        <v>30</v>
      </c>
      <c r="D362" s="2">
        <v>303984.59999999998</v>
      </c>
      <c r="E362" s="2">
        <v>7501024</v>
      </c>
      <c r="F362" s="2">
        <v>1269755.1000000001</v>
      </c>
      <c r="G362" s="2">
        <v>0</v>
      </c>
      <c r="H362" s="2">
        <v>6858.6</v>
      </c>
      <c r="I362" s="2">
        <v>0</v>
      </c>
      <c r="J362" s="4">
        <f t="shared" si="41"/>
        <v>9081622.2999999989</v>
      </c>
      <c r="K362" s="17">
        <f>systems!O392</f>
        <v>11601109.299999999</v>
      </c>
      <c r="L362" s="13">
        <f t="shared" si="39"/>
        <v>0.78282361325567373</v>
      </c>
      <c r="Q362" s="2" t="s">
        <v>34</v>
      </c>
      <c r="U362" s="2">
        <f>SUM(H362:M362)</f>
        <v>20689590.98282361</v>
      </c>
    </row>
    <row r="363" spans="1:23" x14ac:dyDescent="0.5">
      <c r="A363">
        <v>203</v>
      </c>
      <c r="B363">
        <v>203</v>
      </c>
      <c r="C363" t="s">
        <v>31</v>
      </c>
      <c r="D363" s="2">
        <v>512546.1</v>
      </c>
      <c r="E363" s="2">
        <v>1436.7</v>
      </c>
      <c r="F363" s="2">
        <v>48.8</v>
      </c>
      <c r="G363" s="2">
        <v>3634.8</v>
      </c>
      <c r="H363" s="2">
        <v>0</v>
      </c>
      <c r="I363" s="2">
        <v>0</v>
      </c>
      <c r="J363" s="4">
        <f t="shared" si="41"/>
        <v>517666.39999999997</v>
      </c>
      <c r="K363" s="17">
        <f>systems!O393</f>
        <v>2887140.0999999996</v>
      </c>
      <c r="L363" s="13">
        <f t="shared" si="39"/>
        <v>0.1793007550967132</v>
      </c>
      <c r="Q363" s="2">
        <f>(D363+G363)</f>
        <v>516180.89999999997</v>
      </c>
      <c r="U363" s="2" t="s">
        <v>34</v>
      </c>
    </row>
    <row r="364" spans="1:23" x14ac:dyDescent="0.5">
      <c r="A364">
        <v>204</v>
      </c>
      <c r="B364">
        <v>204</v>
      </c>
      <c r="C364" t="s">
        <v>32</v>
      </c>
      <c r="D364" s="2">
        <v>3104067.8</v>
      </c>
      <c r="E364" s="2">
        <v>6698.3</v>
      </c>
      <c r="F364" s="2">
        <v>274485.90000000002</v>
      </c>
      <c r="G364" s="2">
        <v>20192.099999999999</v>
      </c>
      <c r="H364" s="2">
        <v>0</v>
      </c>
      <c r="I364" s="2">
        <v>6472.5</v>
      </c>
      <c r="J364" s="4">
        <f t="shared" si="41"/>
        <v>3411916.5999999996</v>
      </c>
      <c r="K364" s="17">
        <f>systems!O394</f>
        <v>5017596.2</v>
      </c>
      <c r="L364" s="13">
        <f t="shared" si="39"/>
        <v>0.67999027103855014</v>
      </c>
      <c r="Q364" s="2" t="s">
        <v>34</v>
      </c>
      <c r="U364" s="2">
        <f>(H364+K364)</f>
        <v>5017596.2</v>
      </c>
    </row>
    <row r="365" spans="1:23" x14ac:dyDescent="0.5">
      <c r="D365" s="4">
        <f t="shared" ref="D365:I365" si="43">SUM(D339:D364)</f>
        <v>60129403.399999999</v>
      </c>
      <c r="E365" s="4">
        <f t="shared" si="43"/>
        <v>20266602.100000001</v>
      </c>
      <c r="F365" s="4">
        <f t="shared" si="43"/>
        <v>41204642.899999999</v>
      </c>
      <c r="G365" s="4">
        <f t="shared" si="43"/>
        <v>711851.2</v>
      </c>
      <c r="H365" s="4">
        <f t="shared" si="43"/>
        <v>104300.2</v>
      </c>
      <c r="I365" s="4">
        <f t="shared" si="43"/>
        <v>935668.69999999984</v>
      </c>
      <c r="J365" s="4">
        <f t="shared" si="41"/>
        <v>123352468.50000001</v>
      </c>
      <c r="K365" s="17">
        <f>systems!O395</f>
        <v>181941622.99999997</v>
      </c>
      <c r="L365" s="13">
        <f t="shared" si="39"/>
        <v>0.67797827932973886</v>
      </c>
      <c r="Q365" s="4">
        <f>SUM(Q339:Q364)</f>
        <v>63054645.699999996</v>
      </c>
      <c r="U365" s="4">
        <f>SUM(U339:U364)</f>
        <v>118490552.36070932</v>
      </c>
    </row>
    <row r="367" spans="1:23" x14ac:dyDescent="0.5">
      <c r="S367" s="24">
        <f>S85+S141+S253+S281</f>
        <v>132795882.26880002</v>
      </c>
      <c r="T367" s="8"/>
      <c r="U367" s="8"/>
      <c r="V367" s="8"/>
      <c r="W367" s="24">
        <f>W85+W141+W253+W281</f>
        <v>828358741.5560137</v>
      </c>
    </row>
  </sheetData>
  <mergeCells count="29">
    <mergeCell ref="AH348:AH349"/>
    <mergeCell ref="AB348:AB349"/>
    <mergeCell ref="AC348:AC349"/>
    <mergeCell ref="AD348:AD349"/>
    <mergeCell ref="AE348:AE349"/>
    <mergeCell ref="AF348:AF349"/>
    <mergeCell ref="AG348:AG349"/>
    <mergeCell ref="AH344:AH345"/>
    <mergeCell ref="AB346:AB347"/>
    <mergeCell ref="AC346:AC347"/>
    <mergeCell ref="AD346:AD347"/>
    <mergeCell ref="AE346:AE347"/>
    <mergeCell ref="AF346:AF347"/>
    <mergeCell ref="AG346:AG347"/>
    <mergeCell ref="AH346:AH347"/>
    <mergeCell ref="AB344:AB345"/>
    <mergeCell ref="AC344:AC345"/>
    <mergeCell ref="AD344:AD345"/>
    <mergeCell ref="AE344:AE345"/>
    <mergeCell ref="AF344:AF345"/>
    <mergeCell ref="AG344:AG345"/>
    <mergeCell ref="AC339:AH339"/>
    <mergeCell ref="AB342:AB343"/>
    <mergeCell ref="AC342:AC343"/>
    <mergeCell ref="AD342:AD343"/>
    <mergeCell ref="AE342:AE343"/>
    <mergeCell ref="AF342:AF343"/>
    <mergeCell ref="AG342:AG343"/>
    <mergeCell ref="AH342:AH343"/>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A0783-AB61-4684-999D-E074CA932E55}">
  <dimension ref="A2:AB42"/>
  <sheetViews>
    <sheetView topLeftCell="K1" zoomScaleNormal="100" workbookViewId="0">
      <selection activeCell="Y33" sqref="Y33"/>
    </sheetView>
  </sheetViews>
  <sheetFormatPr defaultRowHeight="14.35" x14ac:dyDescent="0.5"/>
  <cols>
    <col min="1" max="1" width="6.1171875" customWidth="1"/>
    <col min="2" max="2" width="5" style="13" customWidth="1"/>
    <col min="3" max="3" width="5.3515625" customWidth="1"/>
    <col min="4" max="4" width="15.87890625" customWidth="1"/>
    <col min="5" max="5" width="6.87890625" customWidth="1"/>
    <col min="6" max="6" width="14.87890625" customWidth="1"/>
    <col min="7" max="7" width="11" customWidth="1"/>
    <col min="8" max="8" width="18.1171875" customWidth="1"/>
    <col min="9" max="9" width="6.52734375" customWidth="1"/>
    <col min="10" max="10" width="14.1171875" customWidth="1"/>
    <col min="11" max="12" width="17.52734375" customWidth="1"/>
    <col min="13" max="13" width="5.87890625" customWidth="1"/>
    <col min="14" max="14" width="14.3515625" customWidth="1"/>
    <col min="15" max="16" width="18.64453125" customWidth="1"/>
    <col min="17" max="17" width="18.64453125" style="42" customWidth="1"/>
    <col min="18" max="19" width="19.41015625" customWidth="1"/>
    <col min="20" max="20" width="15.52734375" customWidth="1"/>
    <col min="21" max="21" width="8.3515625" customWidth="1"/>
    <col min="22" max="22" width="13.1171875" customWidth="1"/>
    <col min="23" max="23" width="7" style="36" customWidth="1"/>
    <col min="24" max="24" width="11.3515625" customWidth="1"/>
    <col min="25" max="25" width="14.41015625" customWidth="1"/>
    <col min="26" max="26" width="14.87890625" style="47" bestFit="1" customWidth="1"/>
    <col min="27" max="27" width="14" customWidth="1"/>
  </cols>
  <sheetData>
    <row r="2" spans="1:28" x14ac:dyDescent="0.5">
      <c r="J2" s="31">
        <v>1661734</v>
      </c>
    </row>
    <row r="3" spans="1:28" ht="43" x14ac:dyDescent="0.5">
      <c r="B3" s="37" t="s">
        <v>92</v>
      </c>
      <c r="C3" s="38" t="s">
        <v>93</v>
      </c>
      <c r="D3" s="38" t="s">
        <v>94</v>
      </c>
      <c r="E3" s="38" t="s">
        <v>65</v>
      </c>
      <c r="F3" s="38" t="s">
        <v>95</v>
      </c>
      <c r="G3" s="38" t="s">
        <v>96</v>
      </c>
      <c r="H3" s="38" t="s">
        <v>97</v>
      </c>
      <c r="I3" s="38" t="s">
        <v>98</v>
      </c>
      <c r="J3" s="38" t="s">
        <v>99</v>
      </c>
      <c r="K3" s="38" t="s">
        <v>102</v>
      </c>
      <c r="L3" s="71" t="s">
        <v>153</v>
      </c>
      <c r="M3" s="38" t="s">
        <v>100</v>
      </c>
      <c r="N3" s="38" t="s">
        <v>101</v>
      </c>
      <c r="O3" s="38" t="s">
        <v>103</v>
      </c>
      <c r="P3" s="71" t="s">
        <v>154</v>
      </c>
      <c r="Q3" s="51" t="s">
        <v>118</v>
      </c>
      <c r="R3" s="38" t="s">
        <v>114</v>
      </c>
      <c r="S3" s="71" t="s">
        <v>155</v>
      </c>
      <c r="T3" s="70" t="s">
        <v>150</v>
      </c>
      <c r="U3" s="41" t="s">
        <v>115</v>
      </c>
      <c r="V3" s="44">
        <f>NPV(0.05,Q5:Q15)</f>
        <v>204349068.63934124</v>
      </c>
      <c r="W3" s="45" t="s">
        <v>119</v>
      </c>
      <c r="X3" t="s">
        <v>126</v>
      </c>
      <c r="Y3" t="s">
        <v>127</v>
      </c>
      <c r="Z3" s="49" t="s">
        <v>128</v>
      </c>
      <c r="AA3" s="58" t="s">
        <v>130</v>
      </c>
    </row>
    <row r="4" spans="1:28" x14ac:dyDescent="0.5">
      <c r="B4" s="13">
        <v>3</v>
      </c>
      <c r="C4">
        <v>15</v>
      </c>
      <c r="L4" s="72"/>
      <c r="P4" s="72"/>
      <c r="S4" s="72"/>
      <c r="U4" s="42" t="s">
        <v>116</v>
      </c>
      <c r="V4" s="46">
        <f>IRR(Q5:Q15,0.1)</f>
        <v>0.33781163136251502</v>
      </c>
      <c r="Z4" s="50"/>
    </row>
    <row r="5" spans="1:28" x14ac:dyDescent="0.5">
      <c r="A5" s="33">
        <v>2020</v>
      </c>
      <c r="B5" s="31">
        <v>0</v>
      </c>
      <c r="C5" s="31"/>
      <c r="D5" s="34">
        <f>calcs!U169</f>
        <v>18362859.006736424</v>
      </c>
      <c r="E5" s="31">
        <f>F5/D5</f>
        <v>1.3042438535691967</v>
      </c>
      <c r="F5" s="34">
        <f>calcs!U197</f>
        <v>23949645.993493743</v>
      </c>
      <c r="G5" s="31">
        <f>H5/F5</f>
        <v>141.66612947912512</v>
      </c>
      <c r="H5" s="34">
        <f>calcs!U141*100</f>
        <v>3392853650.2934947</v>
      </c>
      <c r="I5" s="31"/>
      <c r="J5" s="31">
        <v>1661734</v>
      </c>
      <c r="K5" s="31"/>
      <c r="L5" s="73"/>
      <c r="M5" s="31"/>
      <c r="N5" s="31"/>
      <c r="O5" s="35">
        <v>-60000000</v>
      </c>
      <c r="P5" s="74"/>
      <c r="Q5" s="52">
        <v>-60000000</v>
      </c>
      <c r="S5" s="72"/>
      <c r="U5" s="42" t="s">
        <v>117</v>
      </c>
      <c r="V5" s="43">
        <f>NPV(0.05,Q6:Q15)/ABS(Q5)</f>
        <v>4.5761087011884714</v>
      </c>
      <c r="Z5" s="48">
        <v>-60000000</v>
      </c>
      <c r="AA5" s="48">
        <v>-60000000</v>
      </c>
    </row>
    <row r="6" spans="1:28" x14ac:dyDescent="0.5">
      <c r="A6" s="33">
        <v>2021</v>
      </c>
      <c r="B6" s="31"/>
      <c r="C6" s="31"/>
      <c r="D6" s="31"/>
      <c r="E6" s="31"/>
      <c r="F6" s="31"/>
      <c r="G6" s="31"/>
      <c r="H6" s="31"/>
      <c r="I6" s="31">
        <f>E$5</f>
        <v>1.3042438535691967</v>
      </c>
      <c r="J6" s="31">
        <f t="shared" ref="J6:J20" si="0">$D$5-N6</f>
        <v>18313006.986736424</v>
      </c>
      <c r="K6" s="31">
        <f t="shared" ref="K6:K20" si="1">I6*J6*$G$5</f>
        <v>3383642633.2089849</v>
      </c>
      <c r="L6" s="73">
        <f>K6-J6*$H$10</f>
        <v>1186081794.8006139</v>
      </c>
      <c r="M6" s="31">
        <f t="shared" ref="M6:M20" si="2">$E$5*(1+$C$4/100)</f>
        <v>1.4998804316045762</v>
      </c>
      <c r="N6" s="31">
        <f>J5*($B$4/100)</f>
        <v>49852.02</v>
      </c>
      <c r="O6" s="31">
        <f t="shared" ref="O6:O20" si="3">M6*N6*$G$5</f>
        <v>10592669.647186926</v>
      </c>
      <c r="P6" s="73">
        <f>O6-N6*$H$11</f>
        <v>821673.72718692571</v>
      </c>
      <c r="Q6" s="53">
        <f t="shared" ref="Q6:Q20" si="4">O6*(M6-I6)/$V$7</f>
        <v>828925.45681395219</v>
      </c>
      <c r="R6" s="18">
        <f t="shared" ref="R6:R21" si="5">(K6+O6)</f>
        <v>3394235302.8561716</v>
      </c>
      <c r="S6" s="75">
        <f>L6+P6</f>
        <v>1186903468.5278008</v>
      </c>
      <c r="T6" s="18">
        <f t="shared" ref="T6:T15" si="6">R6-H$5</f>
        <v>1381652.5626769066</v>
      </c>
      <c r="W6" s="36">
        <f t="shared" ref="W6:W20" si="7">N6/$D$5</f>
        <v>2.7148288826762631E-3</v>
      </c>
      <c r="X6" s="2">
        <v>0</v>
      </c>
      <c r="Y6" s="2">
        <f>Q6</f>
        <v>828925.45681395219</v>
      </c>
      <c r="Z6" s="57">
        <f>X6+Y6</f>
        <v>828925.45681395219</v>
      </c>
      <c r="AA6" s="18">
        <f>Z6/1.06^AB6</f>
        <v>782005.14793769072</v>
      </c>
      <c r="AB6">
        <v>1</v>
      </c>
    </row>
    <row r="7" spans="1:28" x14ac:dyDescent="0.5">
      <c r="A7" s="33">
        <v>2022</v>
      </c>
      <c r="B7" s="31"/>
      <c r="C7" s="31"/>
      <c r="D7" s="31"/>
      <c r="E7" s="31"/>
      <c r="F7" s="31"/>
      <c r="G7" s="31"/>
      <c r="H7" s="31"/>
      <c r="I7" s="31">
        <f t="shared" ref="I7:I20" si="8">E$5</f>
        <v>1.3042438535691967</v>
      </c>
      <c r="J7" s="31">
        <f t="shared" si="0"/>
        <v>17763616.777134333</v>
      </c>
      <c r="K7" s="31">
        <f t="shared" si="1"/>
        <v>3282133354.2127156</v>
      </c>
      <c r="L7" s="73">
        <f t="shared" ref="L7:L20" si="9">K7-J7*$H$10</f>
        <v>1150499340.9565957</v>
      </c>
      <c r="M7" s="31">
        <f t="shared" si="2"/>
        <v>1.4998804316045762</v>
      </c>
      <c r="N7" s="31">
        <f t="shared" ref="N7:N20" si="10">J6*($B$4/100)+N6</f>
        <v>599242.22960209276</v>
      </c>
      <c r="O7" s="31">
        <f t="shared" si="3"/>
        <v>127328340.49289691</v>
      </c>
      <c r="P7" s="73">
        <f t="shared" ref="P7:P15" si="11">O7-N7*$H$11</f>
        <v>9876863.4908867329</v>
      </c>
      <c r="Q7" s="53">
        <f t="shared" si="4"/>
        <v>9964032.328381598</v>
      </c>
      <c r="R7" s="18">
        <f t="shared" si="5"/>
        <v>3409461694.7056127</v>
      </c>
      <c r="S7" s="75">
        <f t="shared" ref="S7:S20" si="12">L7+P7</f>
        <v>1160376204.4474823</v>
      </c>
      <c r="T7" s="18">
        <f t="shared" si="6"/>
        <v>16608044.412117958</v>
      </c>
      <c r="U7" t="s">
        <v>120</v>
      </c>
      <c r="V7" s="39">
        <v>2.5</v>
      </c>
      <c r="W7" s="36">
        <f t="shared" si="7"/>
        <v>3.2633384016195977E-2</v>
      </c>
      <c r="X7" s="2">
        <v>0</v>
      </c>
      <c r="Y7" s="2">
        <f>Q7</f>
        <v>9964032.328381598</v>
      </c>
      <c r="Z7" s="57">
        <f t="shared" ref="Z7:Z15" si="13">X7+Y7</f>
        <v>9964032.328381598</v>
      </c>
      <c r="AA7" s="18">
        <f t="shared" ref="AA7:AA15" si="14">Z7/1.06^AB7</f>
        <v>8867953.300446419</v>
      </c>
      <c r="AB7">
        <v>2</v>
      </c>
    </row>
    <row r="8" spans="1:28" x14ac:dyDescent="0.5">
      <c r="A8" s="33">
        <v>2023</v>
      </c>
      <c r="B8" s="31"/>
      <c r="C8" s="31"/>
      <c r="D8" s="31"/>
      <c r="E8" s="31"/>
      <c r="F8" s="31"/>
      <c r="G8" s="31"/>
      <c r="H8" s="31"/>
      <c r="I8" s="31">
        <f t="shared" si="8"/>
        <v>1.3042438535691967</v>
      </c>
      <c r="J8" s="31">
        <f t="shared" si="0"/>
        <v>17230708.2738203</v>
      </c>
      <c r="K8" s="31">
        <f t="shared" si="1"/>
        <v>3183669353.5863333</v>
      </c>
      <c r="L8" s="73">
        <f t="shared" si="9"/>
        <v>1115984360.7278974</v>
      </c>
      <c r="M8" s="31">
        <f t="shared" si="2"/>
        <v>1.4998804316045762</v>
      </c>
      <c r="N8" s="31">
        <f t="shared" si="10"/>
        <v>1132150.7329161228</v>
      </c>
      <c r="O8" s="31">
        <f t="shared" si="3"/>
        <v>240561941.21323559</v>
      </c>
      <c r="P8" s="73">
        <f t="shared" si="11"/>
        <v>18660397.561675519</v>
      </c>
      <c r="Q8" s="53">
        <f t="shared" si="4"/>
        <v>18825085.993802212</v>
      </c>
      <c r="R8" s="18">
        <f t="shared" si="5"/>
        <v>3424231294.7995687</v>
      </c>
      <c r="S8" s="75">
        <f t="shared" si="12"/>
        <v>1134644758.289573</v>
      </c>
      <c r="T8" s="18">
        <f t="shared" si="6"/>
        <v>31377644.506073952</v>
      </c>
      <c r="W8" s="36">
        <f t="shared" si="7"/>
        <v>6.1654382495710106E-2</v>
      </c>
      <c r="X8" s="2">
        <v>0</v>
      </c>
      <c r="Y8" s="2">
        <f>Q8</f>
        <v>18825085.993802212</v>
      </c>
      <c r="Z8" s="57">
        <f t="shared" si="13"/>
        <v>18825085.993802212</v>
      </c>
      <c r="AA8" s="18">
        <f t="shared" si="14"/>
        <v>15805905.205137637</v>
      </c>
      <c r="AB8">
        <v>3</v>
      </c>
    </row>
    <row r="9" spans="1:28" x14ac:dyDescent="0.5">
      <c r="A9" s="33">
        <v>2024</v>
      </c>
      <c r="B9" s="31"/>
      <c r="C9" s="31"/>
      <c r="D9" s="31"/>
      <c r="E9" s="31"/>
      <c r="F9" s="31"/>
      <c r="G9" s="31"/>
      <c r="H9" s="31"/>
      <c r="I9" s="31">
        <f t="shared" si="8"/>
        <v>1.3042438535691967</v>
      </c>
      <c r="J9" s="31">
        <f t="shared" si="0"/>
        <v>16713787.025605692</v>
      </c>
      <c r="K9" s="31">
        <f t="shared" si="1"/>
        <v>3088159272.9787436</v>
      </c>
      <c r="L9" s="73">
        <f t="shared" si="9"/>
        <v>1082504829.9060605</v>
      </c>
      <c r="M9" s="31">
        <f t="shared" si="2"/>
        <v>1.4998804316045762</v>
      </c>
      <c r="N9" s="31">
        <f t="shared" si="10"/>
        <v>1649071.9811307318</v>
      </c>
      <c r="O9" s="31">
        <f t="shared" si="3"/>
        <v>350398533.91196406</v>
      </c>
      <c r="P9" s="73">
        <f t="shared" si="11"/>
        <v>27180425.610340655</v>
      </c>
      <c r="Q9" s="53">
        <f t="shared" si="4"/>
        <v>27420308.04926021</v>
      </c>
      <c r="R9" s="18">
        <f t="shared" si="5"/>
        <v>3438557806.8907075</v>
      </c>
      <c r="S9" s="75">
        <f t="shared" si="12"/>
        <v>1109685255.5164011</v>
      </c>
      <c r="T9" s="18">
        <f t="shared" si="6"/>
        <v>45704156.597212791</v>
      </c>
      <c r="W9" s="36">
        <f t="shared" si="7"/>
        <v>8.9804751020838791E-2</v>
      </c>
      <c r="X9" s="2">
        <v>0</v>
      </c>
      <c r="Y9" s="2">
        <f t="shared" ref="Y9:Y15" si="15">Q9</f>
        <v>27420308.04926021</v>
      </c>
      <c r="Z9" s="57">
        <f t="shared" si="13"/>
        <v>27420308.04926021</v>
      </c>
      <c r="AA9" s="18">
        <f t="shared" si="14"/>
        <v>21719452.249853496</v>
      </c>
      <c r="AB9">
        <v>4</v>
      </c>
    </row>
    <row r="10" spans="1:28" x14ac:dyDescent="0.5">
      <c r="A10" s="33">
        <v>2025</v>
      </c>
      <c r="B10" s="31"/>
      <c r="C10" s="31"/>
      <c r="D10" s="31"/>
      <c r="E10" s="31"/>
      <c r="F10" s="31"/>
      <c r="G10" s="31" t="s">
        <v>151</v>
      </c>
      <c r="H10" s="31">
        <v>120</v>
      </c>
      <c r="I10" s="31">
        <f t="shared" si="8"/>
        <v>1.3042438535691967</v>
      </c>
      <c r="J10" s="31">
        <f t="shared" si="0"/>
        <v>16212373.414837521</v>
      </c>
      <c r="K10" s="31">
        <f t="shared" si="1"/>
        <v>2995514494.789381</v>
      </c>
      <c r="L10" s="73">
        <f t="shared" si="9"/>
        <v>1050029685.0088785</v>
      </c>
      <c r="M10" s="31">
        <f t="shared" si="2"/>
        <v>1.4998804316045762</v>
      </c>
      <c r="N10" s="31">
        <f t="shared" si="10"/>
        <v>2150485.5918989023</v>
      </c>
      <c r="O10" s="31">
        <f t="shared" si="3"/>
        <v>456940028.82973069</v>
      </c>
      <c r="P10" s="73">
        <f t="shared" si="11"/>
        <v>35444852.817545831</v>
      </c>
      <c r="Q10" s="53">
        <f t="shared" si="4"/>
        <v>35757673.44305446</v>
      </c>
      <c r="R10" s="18">
        <f t="shared" si="5"/>
        <v>3452454523.6191115</v>
      </c>
      <c r="S10" s="75">
        <f t="shared" si="12"/>
        <v>1085474537.8264244</v>
      </c>
      <c r="T10" s="18">
        <f t="shared" si="6"/>
        <v>59600873.325616837</v>
      </c>
      <c r="W10" s="36">
        <f t="shared" si="7"/>
        <v>0.11711060849021362</v>
      </c>
      <c r="X10" s="2">
        <v>0</v>
      </c>
      <c r="Y10" s="2">
        <f t="shared" si="15"/>
        <v>35757673.44305446</v>
      </c>
      <c r="Z10" s="57">
        <f t="shared" si="13"/>
        <v>35757673.44305446</v>
      </c>
      <c r="AA10" s="18">
        <f t="shared" si="14"/>
        <v>26720213.722998001</v>
      </c>
      <c r="AB10">
        <v>5</v>
      </c>
    </row>
    <row r="11" spans="1:28" x14ac:dyDescent="0.5">
      <c r="A11" s="33">
        <v>2026</v>
      </c>
      <c r="B11" s="31"/>
      <c r="C11" s="31"/>
      <c r="D11" s="31"/>
      <c r="E11" s="31"/>
      <c r="F11" s="31"/>
      <c r="G11" s="31" t="s">
        <v>152</v>
      </c>
      <c r="H11" s="31">
        <v>196</v>
      </c>
      <c r="I11" s="31">
        <f t="shared" si="8"/>
        <v>1.3042438535691967</v>
      </c>
      <c r="J11" s="31">
        <f t="shared" si="0"/>
        <v>15726002.212392395</v>
      </c>
      <c r="K11" s="31">
        <f t="shared" si="1"/>
        <v>2905649059.9457002</v>
      </c>
      <c r="L11" s="73">
        <f t="shared" si="9"/>
        <v>1018528794.4586127</v>
      </c>
      <c r="M11" s="31">
        <f t="shared" si="2"/>
        <v>1.4998804316045762</v>
      </c>
      <c r="N11" s="31">
        <f t="shared" si="10"/>
        <v>2636856.794344028</v>
      </c>
      <c r="O11" s="31">
        <f t="shared" si="3"/>
        <v>560285278.89996433</v>
      </c>
      <c r="P11" s="73">
        <f t="shared" si="11"/>
        <v>43461347.208534837</v>
      </c>
      <c r="Q11" s="53">
        <f t="shared" si="4"/>
        <v>43844917.875034891</v>
      </c>
      <c r="R11" s="18">
        <f t="shared" si="5"/>
        <v>3465934338.8456645</v>
      </c>
      <c r="S11" s="75">
        <f t="shared" si="12"/>
        <v>1061990141.6671475</v>
      </c>
      <c r="T11" s="18">
        <f t="shared" si="6"/>
        <v>73080688.5521698</v>
      </c>
      <c r="W11" s="36">
        <f t="shared" si="7"/>
        <v>0.14359729023550721</v>
      </c>
      <c r="X11" s="2">
        <v>0</v>
      </c>
      <c r="Y11" s="2">
        <f t="shared" si="15"/>
        <v>43844917.875034891</v>
      </c>
      <c r="Z11" s="57">
        <f t="shared" si="13"/>
        <v>43844917.875034891</v>
      </c>
      <c r="AA11" s="18">
        <f t="shared" si="14"/>
        <v>30908937.000717819</v>
      </c>
      <c r="AB11">
        <v>6</v>
      </c>
    </row>
    <row r="12" spans="1:28" x14ac:dyDescent="0.5">
      <c r="A12" s="33">
        <v>2027</v>
      </c>
      <c r="B12" s="31"/>
      <c r="C12" s="31"/>
      <c r="D12" s="31"/>
      <c r="E12" s="31"/>
      <c r="F12" s="31"/>
      <c r="G12" s="31" t="s">
        <v>156</v>
      </c>
      <c r="H12" s="76">
        <f>(E5*G5-$H$10)*D5</f>
        <v>1189310569.4851239</v>
      </c>
      <c r="I12" s="31">
        <f t="shared" si="8"/>
        <v>1.3042438535691967</v>
      </c>
      <c r="J12" s="31">
        <f t="shared" si="0"/>
        <v>15254222.146020625</v>
      </c>
      <c r="K12" s="31">
        <f t="shared" si="1"/>
        <v>2818479588.1473289</v>
      </c>
      <c r="L12" s="73">
        <f t="shared" si="9"/>
        <v>987972930.62485385</v>
      </c>
      <c r="M12" s="31">
        <f t="shared" si="2"/>
        <v>1.4998804316045762</v>
      </c>
      <c r="N12" s="31">
        <f t="shared" si="10"/>
        <v>3108636.8607158</v>
      </c>
      <c r="O12" s="31">
        <f t="shared" si="3"/>
        <v>660530171.46809101</v>
      </c>
      <c r="P12" s="73">
        <f t="shared" si="11"/>
        <v>51237346.767794251</v>
      </c>
      <c r="Q12" s="53">
        <f t="shared" si="4"/>
        <v>51689544.974055909</v>
      </c>
      <c r="R12" s="18">
        <f t="shared" si="5"/>
        <v>3479009759.6154199</v>
      </c>
      <c r="S12" s="75">
        <f t="shared" si="12"/>
        <v>1039210277.3926481</v>
      </c>
      <c r="T12" s="18">
        <f t="shared" si="6"/>
        <v>86156109.321925163</v>
      </c>
      <c r="W12" s="36">
        <f t="shared" si="7"/>
        <v>0.16928937152844201</v>
      </c>
      <c r="X12" s="2">
        <v>0</v>
      </c>
      <c r="Y12" s="2">
        <f t="shared" si="15"/>
        <v>51689544.974055909</v>
      </c>
      <c r="Z12" s="57">
        <f t="shared" si="13"/>
        <v>51689544.974055909</v>
      </c>
      <c r="AA12" s="18">
        <f t="shared" si="14"/>
        <v>34376499.584897548</v>
      </c>
      <c r="AB12">
        <v>7</v>
      </c>
    </row>
    <row r="13" spans="1:28" x14ac:dyDescent="0.5">
      <c r="A13" s="33">
        <v>2028</v>
      </c>
      <c r="B13" s="31"/>
      <c r="C13" s="31"/>
      <c r="D13" s="31"/>
      <c r="E13" s="31"/>
      <c r="F13" s="31"/>
      <c r="G13" s="31"/>
      <c r="H13" s="31"/>
      <c r="I13" s="31">
        <f t="shared" si="8"/>
        <v>1.3042438535691967</v>
      </c>
      <c r="J13" s="31">
        <f t="shared" si="0"/>
        <v>14796595.481640005</v>
      </c>
      <c r="K13" s="31">
        <f t="shared" si="1"/>
        <v>2733925200.5029092</v>
      </c>
      <c r="L13" s="73">
        <f t="shared" si="9"/>
        <v>958333742.70610857</v>
      </c>
      <c r="M13" s="31">
        <f t="shared" si="2"/>
        <v>1.4998804316045762</v>
      </c>
      <c r="N13" s="31">
        <f t="shared" si="10"/>
        <v>3566263.5250964188</v>
      </c>
      <c r="O13" s="31">
        <f t="shared" si="3"/>
        <v>757767717.25917387</v>
      </c>
      <c r="P13" s="73">
        <f t="shared" si="11"/>
        <v>58780066.340275764</v>
      </c>
      <c r="Q13" s="53">
        <f t="shared" si="4"/>
        <v>59298833.260106303</v>
      </c>
      <c r="R13" s="18">
        <f t="shared" si="5"/>
        <v>3491692917.7620831</v>
      </c>
      <c r="S13" s="75">
        <f t="shared" si="12"/>
        <v>1017113809.0463843</v>
      </c>
      <c r="T13" s="18">
        <f t="shared" si="6"/>
        <v>98839267.468588352</v>
      </c>
      <c r="W13" s="36">
        <f t="shared" si="7"/>
        <v>0.19421069038258876</v>
      </c>
      <c r="X13" s="2">
        <v>0</v>
      </c>
      <c r="Y13" s="2">
        <f t="shared" si="15"/>
        <v>59298833.260106303</v>
      </c>
      <c r="Z13" s="57">
        <f t="shared" si="13"/>
        <v>59298833.260106303</v>
      </c>
      <c r="AA13" s="18">
        <f t="shared" si="14"/>
        <v>37204821.59352687</v>
      </c>
      <c r="AB13">
        <v>8</v>
      </c>
    </row>
    <row r="14" spans="1:28" x14ac:dyDescent="0.5">
      <c r="A14" s="33">
        <v>2029</v>
      </c>
      <c r="B14" s="31"/>
      <c r="C14" s="31"/>
      <c r="D14" s="31"/>
      <c r="E14" s="31"/>
      <c r="F14" s="31"/>
      <c r="G14" s="31"/>
      <c r="H14" s="31"/>
      <c r="I14" s="31">
        <f t="shared" si="8"/>
        <v>1.3042438535691967</v>
      </c>
      <c r="J14" s="31">
        <f t="shared" si="0"/>
        <v>14352697.617190804</v>
      </c>
      <c r="K14" s="31">
        <f t="shared" si="1"/>
        <v>2651907444.4878216</v>
      </c>
      <c r="L14" s="73">
        <f t="shared" si="9"/>
        <v>929583730.42492509</v>
      </c>
      <c r="M14" s="31">
        <f t="shared" si="2"/>
        <v>1.4998804316045762</v>
      </c>
      <c r="N14" s="31">
        <f t="shared" si="10"/>
        <v>4010161.389545619</v>
      </c>
      <c r="O14" s="31">
        <f t="shared" si="3"/>
        <v>852088136.67652428</v>
      </c>
      <c r="P14" s="73">
        <f t="shared" si="11"/>
        <v>66096504.325582981</v>
      </c>
      <c r="Q14" s="53">
        <f t="shared" si="4"/>
        <v>66679842.897575177</v>
      </c>
      <c r="R14" s="18">
        <f t="shared" si="5"/>
        <v>3503995581.1643457</v>
      </c>
      <c r="S14" s="75">
        <f t="shared" si="12"/>
        <v>995680234.75050807</v>
      </c>
      <c r="T14" s="18">
        <f t="shared" si="6"/>
        <v>111141930.87085104</v>
      </c>
      <c r="W14" s="36">
        <f t="shared" si="7"/>
        <v>0.21838436967111108</v>
      </c>
      <c r="X14" s="2">
        <v>0</v>
      </c>
      <c r="Y14" s="2">
        <f t="shared" si="15"/>
        <v>66679842.897575177</v>
      </c>
      <c r="Z14" s="57">
        <f t="shared" si="13"/>
        <v>66679842.897575177</v>
      </c>
      <c r="AA14" s="18">
        <f t="shared" si="14"/>
        <v>39467696.559498198</v>
      </c>
      <c r="AB14">
        <v>9</v>
      </c>
    </row>
    <row r="15" spans="1:28" x14ac:dyDescent="0.5">
      <c r="A15" s="33">
        <v>2030</v>
      </c>
      <c r="B15" s="31"/>
      <c r="C15" s="31"/>
      <c r="D15" s="31"/>
      <c r="E15" s="31"/>
      <c r="F15" s="31"/>
      <c r="G15" s="31"/>
      <c r="H15" s="31"/>
      <c r="I15" s="31">
        <f t="shared" si="8"/>
        <v>1.3042438535691967</v>
      </c>
      <c r="J15" s="31">
        <f t="shared" si="0"/>
        <v>13922116.688675079</v>
      </c>
      <c r="K15" s="31">
        <f t="shared" si="1"/>
        <v>2572350221.1531868</v>
      </c>
      <c r="L15" s="73">
        <f t="shared" si="9"/>
        <v>901696218.51217723</v>
      </c>
      <c r="M15" s="31">
        <f t="shared" si="2"/>
        <v>1.4998804316045762</v>
      </c>
      <c r="N15" s="31">
        <f t="shared" si="10"/>
        <v>4440742.3180613434</v>
      </c>
      <c r="O15" s="31">
        <f t="shared" si="3"/>
        <v>943578943.51135421</v>
      </c>
      <c r="P15" s="73">
        <f t="shared" si="11"/>
        <v>73193449.171330929</v>
      </c>
      <c r="Q15" s="53">
        <f t="shared" si="4"/>
        <v>73839422.245919988</v>
      </c>
      <c r="R15" s="18">
        <f t="shared" si="5"/>
        <v>3515929164.6645412</v>
      </c>
      <c r="S15" s="75">
        <f t="shared" si="12"/>
        <v>974889667.68350816</v>
      </c>
      <c r="T15" s="18">
        <f t="shared" si="6"/>
        <v>123075514.37104654</v>
      </c>
      <c r="W15" s="40">
        <f t="shared" si="7"/>
        <v>0.24183283858097776</v>
      </c>
      <c r="X15" s="2">
        <v>0</v>
      </c>
      <c r="Y15" s="2">
        <f t="shared" si="15"/>
        <v>73839422.245919988</v>
      </c>
      <c r="Z15" s="57">
        <f t="shared" si="13"/>
        <v>73839422.245919988</v>
      </c>
      <c r="AA15" s="18">
        <f t="shared" si="14"/>
        <v>41231547.712551683</v>
      </c>
      <c r="AB15">
        <v>10</v>
      </c>
    </row>
    <row r="16" spans="1:28" x14ac:dyDescent="0.5">
      <c r="A16" s="33">
        <v>2031</v>
      </c>
      <c r="B16" s="31"/>
      <c r="C16" s="31"/>
      <c r="D16" s="31"/>
      <c r="E16" s="31"/>
      <c r="F16" s="31"/>
      <c r="G16" s="31"/>
      <c r="H16" s="31"/>
      <c r="I16" s="31">
        <f t="shared" si="8"/>
        <v>1.3042438535691967</v>
      </c>
      <c r="J16" s="31">
        <f t="shared" si="0"/>
        <v>13504453.188014828</v>
      </c>
      <c r="K16" s="31">
        <f t="shared" si="1"/>
        <v>2495179714.5185914</v>
      </c>
      <c r="L16" s="73">
        <f t="shared" si="9"/>
        <v>874645331.95681214</v>
      </c>
      <c r="M16" s="31">
        <f t="shared" si="2"/>
        <v>1.4998804316045762</v>
      </c>
      <c r="N16" s="31">
        <f t="shared" si="10"/>
        <v>4858405.8187215962</v>
      </c>
      <c r="O16" s="31">
        <f t="shared" si="3"/>
        <v>1032325026.1411391</v>
      </c>
      <c r="P16" s="73"/>
      <c r="Q16" s="53">
        <f t="shared" si="4"/>
        <v>80784214.213814452</v>
      </c>
      <c r="R16" s="18">
        <f t="shared" si="5"/>
        <v>3527504740.6597304</v>
      </c>
      <c r="S16" s="75">
        <f t="shared" si="12"/>
        <v>874645331.95681214</v>
      </c>
      <c r="T16" s="18"/>
      <c r="W16" s="36">
        <f t="shared" si="7"/>
        <v>0.26457785342354845</v>
      </c>
      <c r="X16" s="19"/>
      <c r="AA16" s="18"/>
    </row>
    <row r="17" spans="1:27" x14ac:dyDescent="0.5">
      <c r="A17" s="33">
        <v>2032</v>
      </c>
      <c r="B17" s="31"/>
      <c r="C17" s="31"/>
      <c r="D17" s="31"/>
      <c r="E17" s="31"/>
      <c r="F17" s="31"/>
      <c r="G17" s="31"/>
      <c r="H17" s="31"/>
      <c r="I17" s="31">
        <f t="shared" si="8"/>
        <v>1.3042438535691967</v>
      </c>
      <c r="J17" s="31">
        <f t="shared" si="0"/>
        <v>13099319.592374383</v>
      </c>
      <c r="K17" s="31">
        <f t="shared" si="1"/>
        <v>2420324323.0830336</v>
      </c>
      <c r="L17" s="73">
        <f t="shared" si="9"/>
        <v>848405971.99810767</v>
      </c>
      <c r="M17" s="31">
        <f t="shared" si="2"/>
        <v>1.4998804316045762</v>
      </c>
      <c r="N17" s="31">
        <f t="shared" si="10"/>
        <v>5263539.4143620413</v>
      </c>
      <c r="O17" s="31">
        <f t="shared" si="3"/>
        <v>1118408726.2920306</v>
      </c>
      <c r="P17" s="73"/>
      <c r="Q17" s="53">
        <f t="shared" si="4"/>
        <v>87520662.422672078</v>
      </c>
      <c r="R17" s="18">
        <f t="shared" si="5"/>
        <v>3538733049.3750639</v>
      </c>
      <c r="S17" s="75">
        <f t="shared" si="12"/>
        <v>848405971.99810767</v>
      </c>
      <c r="T17" s="18"/>
      <c r="W17" s="36">
        <f t="shared" si="7"/>
        <v>0.28664051782084204</v>
      </c>
      <c r="X17" s="19"/>
    </row>
    <row r="18" spans="1:27" x14ac:dyDescent="0.5">
      <c r="A18" s="33">
        <v>2033</v>
      </c>
      <c r="B18" s="31"/>
      <c r="C18" s="31"/>
      <c r="D18" s="31"/>
      <c r="E18" s="31"/>
      <c r="F18" s="31"/>
      <c r="G18" s="31"/>
      <c r="H18" s="31"/>
      <c r="I18" s="31">
        <f t="shared" si="8"/>
        <v>1.3042438535691967</v>
      </c>
      <c r="J18" s="31">
        <f t="shared" si="0"/>
        <v>12706340.004603151</v>
      </c>
      <c r="K18" s="31">
        <f t="shared" si="1"/>
        <v>2347714593.3905425</v>
      </c>
      <c r="L18" s="73">
        <f t="shared" si="9"/>
        <v>822953792.83816433</v>
      </c>
      <c r="M18" s="31">
        <f t="shared" si="2"/>
        <v>1.4998804316045762</v>
      </c>
      <c r="N18" s="31">
        <f t="shared" si="10"/>
        <v>5656519.0021332726</v>
      </c>
      <c r="O18" s="31">
        <f t="shared" si="3"/>
        <v>1201909915.4383953</v>
      </c>
      <c r="P18" s="73"/>
      <c r="Q18" s="53">
        <f t="shared" si="4"/>
        <v>94055017.185263991</v>
      </c>
      <c r="R18" s="18">
        <f t="shared" si="5"/>
        <v>3549624508.8289375</v>
      </c>
      <c r="S18" s="75">
        <f t="shared" si="12"/>
        <v>822953792.83816433</v>
      </c>
      <c r="T18" s="18"/>
      <c r="W18" s="36">
        <f t="shared" si="7"/>
        <v>0.30804130228621673</v>
      </c>
      <c r="X18" s="19"/>
    </row>
    <row r="19" spans="1:27" x14ac:dyDescent="0.5">
      <c r="A19" s="33">
        <v>2034</v>
      </c>
      <c r="B19" s="31"/>
      <c r="C19" s="31"/>
      <c r="D19" s="31"/>
      <c r="E19" s="31"/>
      <c r="F19" s="31"/>
      <c r="G19" s="31"/>
      <c r="H19" s="31"/>
      <c r="I19" s="31">
        <f t="shared" si="8"/>
        <v>1.3042438535691967</v>
      </c>
      <c r="J19" s="31">
        <f t="shared" si="0"/>
        <v>12325149.804465055</v>
      </c>
      <c r="K19" s="31">
        <f t="shared" si="1"/>
        <v>2277283155.5888262</v>
      </c>
      <c r="L19" s="73">
        <f t="shared" si="9"/>
        <v>798265179.05301952</v>
      </c>
      <c r="M19" s="31">
        <f t="shared" si="2"/>
        <v>1.4998804316045762</v>
      </c>
      <c r="N19" s="31">
        <f t="shared" si="10"/>
        <v>6037709.2022713674</v>
      </c>
      <c r="O19" s="31">
        <f t="shared" si="3"/>
        <v>1282906068.9103692</v>
      </c>
      <c r="P19" s="73"/>
      <c r="Q19" s="53">
        <f t="shared" si="4"/>
        <v>100393341.30497815</v>
      </c>
      <c r="R19" s="18">
        <f t="shared" si="5"/>
        <v>3560189224.4991951</v>
      </c>
      <c r="S19" s="75">
        <f t="shared" si="12"/>
        <v>798265179.05301952</v>
      </c>
      <c r="T19" s="18"/>
      <c r="W19" s="36">
        <f t="shared" si="7"/>
        <v>0.32880006321763028</v>
      </c>
      <c r="X19" s="19"/>
    </row>
    <row r="20" spans="1:27" x14ac:dyDescent="0.5">
      <c r="A20" s="33">
        <v>2035</v>
      </c>
      <c r="B20" s="31"/>
      <c r="C20" s="31"/>
      <c r="D20" s="31"/>
      <c r="E20" s="31"/>
      <c r="F20" s="31"/>
      <c r="G20" s="31"/>
      <c r="H20" s="31"/>
      <c r="I20" s="31">
        <f t="shared" si="8"/>
        <v>1.3042438535691967</v>
      </c>
      <c r="J20" s="31">
        <f t="shared" si="0"/>
        <v>11955395.310331104</v>
      </c>
      <c r="K20" s="31">
        <f t="shared" si="1"/>
        <v>2208964660.9211617</v>
      </c>
      <c r="L20" s="73">
        <f t="shared" si="9"/>
        <v>774317223.68142915</v>
      </c>
      <c r="M20" s="31">
        <f t="shared" si="2"/>
        <v>1.4998804316045762</v>
      </c>
      <c r="N20" s="31">
        <f t="shared" si="10"/>
        <v>6407463.6964053195</v>
      </c>
      <c r="O20" s="31">
        <f t="shared" si="3"/>
        <v>1361472337.7781837</v>
      </c>
      <c r="P20" s="73"/>
      <c r="Q20" s="53">
        <f t="shared" si="4"/>
        <v>106541515.70110086</v>
      </c>
      <c r="R20" s="18">
        <f t="shared" si="5"/>
        <v>3570436998.6993456</v>
      </c>
      <c r="S20" s="75">
        <f t="shared" si="12"/>
        <v>774317223.68142915</v>
      </c>
      <c r="T20" s="18"/>
      <c r="W20" s="36">
        <f t="shared" si="7"/>
        <v>0.34893606132110139</v>
      </c>
      <c r="X20" s="19"/>
    </row>
    <row r="21" spans="1:27" x14ac:dyDescent="0.5">
      <c r="K21" s="18">
        <f>SUM(K6:K15)</f>
        <v>29615430623.013103</v>
      </c>
      <c r="L21" s="18"/>
      <c r="O21" s="18">
        <f>SUM(O6:O15)</f>
        <v>4960071761.9101219</v>
      </c>
      <c r="P21" s="18"/>
      <c r="Q21" s="43"/>
      <c r="R21" s="18">
        <f t="shared" si="5"/>
        <v>34575502384.923225</v>
      </c>
      <c r="S21" s="18"/>
      <c r="T21" s="18"/>
    </row>
    <row r="23" spans="1:27" x14ac:dyDescent="0.5">
      <c r="O23" t="s">
        <v>105</v>
      </c>
      <c r="R23" s="32">
        <f>R21/(H5*10)</f>
        <v>1.0190684877295639</v>
      </c>
      <c r="S23" s="32"/>
      <c r="T23" s="32"/>
    </row>
    <row r="24" spans="1:27" x14ac:dyDescent="0.5">
      <c r="O24" t="s">
        <v>104</v>
      </c>
      <c r="R24" s="69">
        <f>R21-(H5*10)</f>
        <v>646965881.98827744</v>
      </c>
      <c r="S24" s="69"/>
      <c r="T24" s="69"/>
    </row>
    <row r="25" spans="1:27" ht="18.75" customHeight="1" x14ac:dyDescent="0.5"/>
    <row r="26" spans="1:27" x14ac:dyDescent="0.5">
      <c r="X26" s="49" t="s">
        <v>115</v>
      </c>
      <c r="Y26" s="54">
        <f>NPV(0.05,Z5:Z15)</f>
        <v>204349068.63934124</v>
      </c>
      <c r="AA26" s="54"/>
    </row>
    <row r="27" spans="1:27" x14ac:dyDescent="0.5">
      <c r="A27">
        <v>2020</v>
      </c>
      <c r="I27" s="31">
        <f>E$5</f>
        <v>1.3042438535691967</v>
      </c>
      <c r="J27" s="31">
        <f>D5</f>
        <v>18362859.006736424</v>
      </c>
      <c r="K27" s="31">
        <f>I27*J27*$G$5</f>
        <v>3392853650.2934947</v>
      </c>
      <c r="L27" s="31"/>
      <c r="M27" s="31">
        <f>$E$5*(1+$C$4/100)</f>
        <v>1.4998804316045762</v>
      </c>
      <c r="N27">
        <v>0</v>
      </c>
      <c r="O27" s="31">
        <f>M27*N27*$G$5</f>
        <v>0</v>
      </c>
      <c r="P27" s="31"/>
      <c r="Q27" s="53"/>
      <c r="X27" s="47" t="s">
        <v>116</v>
      </c>
      <c r="Y27" s="55">
        <f>IRR(Z5:Z15,0.1)</f>
        <v>0.33781163136251502</v>
      </c>
      <c r="AA27" s="54"/>
    </row>
    <row r="28" spans="1:27" x14ac:dyDescent="0.5">
      <c r="A28">
        <v>2030</v>
      </c>
      <c r="I28" s="31">
        <f>E$5</f>
        <v>1.3042438535691967</v>
      </c>
      <c r="J28" s="18">
        <f>J27-N28</f>
        <v>12047571.022733036</v>
      </c>
      <c r="K28" s="31">
        <f>I28*J28*$G$5</f>
        <v>2225995707.2400689</v>
      </c>
      <c r="L28" s="31"/>
      <c r="M28" s="31">
        <f>$E$5*(1+$C$4/100)</f>
        <v>1.4998804316045762</v>
      </c>
      <c r="N28" s="18">
        <f>D5*(1+$B$4/100)^10-$D$5</f>
        <v>6315287.9840033874</v>
      </c>
      <c r="O28" s="31">
        <f>M28*N28*$G$5</f>
        <v>1341886634.5114398</v>
      </c>
      <c r="P28" s="31"/>
      <c r="Q28" s="53"/>
      <c r="R28" s="18">
        <f>(K28+O28)</f>
        <v>3567882341.7515087</v>
      </c>
      <c r="S28" s="18"/>
      <c r="T28" s="18"/>
      <c r="X28" s="47" t="s">
        <v>117</v>
      </c>
      <c r="Y28" s="56">
        <f>NPV(0.05,Z6:Z15)/ABS(Z5)</f>
        <v>4.5761087011884714</v>
      </c>
      <c r="AA28" s="56"/>
    </row>
    <row r="30" spans="1:27" x14ac:dyDescent="0.5">
      <c r="O30" t="s">
        <v>105</v>
      </c>
      <c r="R30" s="32">
        <f>R28/H5</f>
        <v>1.0515874569016184</v>
      </c>
      <c r="S30" s="32"/>
      <c r="T30" s="32"/>
    </row>
    <row r="31" spans="1:27" x14ac:dyDescent="0.5">
      <c r="O31" t="s">
        <v>104</v>
      </c>
      <c r="R31" s="18">
        <f>R28-H5</f>
        <v>175028691.45801401</v>
      </c>
      <c r="S31" s="18"/>
      <c r="T31" s="18"/>
    </row>
    <row r="33" spans="2:20" x14ac:dyDescent="0.5">
      <c r="R33" s="18">
        <f>H5*(1-(((1+B4/100)^10)-1))+H5*(1+C4/100)*(((1+B4/100)^10)-1)-H5</f>
        <v>175028691.45801401</v>
      </c>
      <c r="S33" s="18"/>
      <c r="T33" s="18"/>
    </row>
    <row r="34" spans="2:20" x14ac:dyDescent="0.5">
      <c r="R34" s="18"/>
      <c r="S34" s="18"/>
      <c r="T34" s="18"/>
    </row>
    <row r="38" spans="2:20" x14ac:dyDescent="0.5">
      <c r="B38" s="13" t="s">
        <v>121</v>
      </c>
    </row>
    <row r="39" spans="2:20" x14ac:dyDescent="0.5">
      <c r="C39" t="s">
        <v>122</v>
      </c>
      <c r="D39" t="s">
        <v>123</v>
      </c>
      <c r="E39" t="s">
        <v>124</v>
      </c>
      <c r="F39" t="s">
        <v>125</v>
      </c>
    </row>
    <row r="40" spans="2:20" x14ac:dyDescent="0.5">
      <c r="C40">
        <v>96</v>
      </c>
      <c r="D40">
        <v>210</v>
      </c>
      <c r="E40">
        <v>1.4</v>
      </c>
      <c r="F40">
        <v>1.81</v>
      </c>
    </row>
    <row r="41" spans="2:20" x14ac:dyDescent="0.5">
      <c r="C41">
        <v>369</v>
      </c>
      <c r="D41">
        <v>4115</v>
      </c>
      <c r="E41">
        <v>1.76</v>
      </c>
      <c r="F41">
        <v>4.03</v>
      </c>
    </row>
    <row r="42" spans="2:20" x14ac:dyDescent="0.5">
      <c r="C42">
        <v>253</v>
      </c>
      <c r="D42">
        <v>550</v>
      </c>
      <c r="E42">
        <v>1.45</v>
      </c>
      <c r="F42">
        <v>1.78</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84F81-B050-49A8-BC66-0733A83810AA}">
  <dimension ref="A1:Q45"/>
  <sheetViews>
    <sheetView zoomScaleNormal="100" workbookViewId="0"/>
  </sheetViews>
  <sheetFormatPr defaultRowHeight="14.35" x14ac:dyDescent="0.5"/>
  <cols>
    <col min="1" max="1" width="9.52734375" bestFit="1" customWidth="1"/>
    <col min="2" max="2" width="13.3515625" style="13" customWidth="1"/>
    <col min="3" max="3" width="12.52734375" customWidth="1"/>
    <col min="4" max="4" width="15.3515625" bestFit="1" customWidth="1"/>
    <col min="5" max="5" width="9.41015625" bestFit="1" customWidth="1"/>
    <col min="6" max="6" width="16.87890625" bestFit="1" customWidth="1"/>
    <col min="7" max="7" width="13.3515625" customWidth="1"/>
    <col min="8" max="8" width="19" bestFit="1" customWidth="1"/>
    <col min="9" max="9" width="14.1171875" customWidth="1"/>
    <col min="10" max="10" width="16.87890625" customWidth="1"/>
    <col min="11" max="11" width="21.1171875" customWidth="1"/>
    <col min="12" max="12" width="9.41015625" bestFit="1" customWidth="1"/>
    <col min="13" max="13" width="17.1171875" customWidth="1"/>
    <col min="14" max="14" width="26" customWidth="1"/>
    <col min="15" max="15" width="27.1171875" customWidth="1"/>
    <col min="16" max="16" width="22" customWidth="1"/>
    <col min="17" max="17" width="17.1171875" customWidth="1"/>
  </cols>
  <sheetData>
    <row r="1" spans="1:17" x14ac:dyDescent="0.5">
      <c r="B1" s="13" t="s">
        <v>76</v>
      </c>
      <c r="C1" t="s">
        <v>79</v>
      </c>
      <c r="D1" t="s">
        <v>80</v>
      </c>
      <c r="E1" t="s">
        <v>81</v>
      </c>
      <c r="I1" s="7" t="s">
        <v>108</v>
      </c>
      <c r="J1" s="7" t="s">
        <v>106</v>
      </c>
      <c r="K1" s="7" t="s">
        <v>107</v>
      </c>
      <c r="L1" s="7" t="s">
        <v>109</v>
      </c>
      <c r="N1" s="7" t="s">
        <v>112</v>
      </c>
      <c r="O1" s="7" t="s">
        <v>129</v>
      </c>
      <c r="P1" s="7" t="s">
        <v>110</v>
      </c>
      <c r="Q1" s="7" t="s">
        <v>113</v>
      </c>
    </row>
    <row r="2" spans="1:17" x14ac:dyDescent="0.5">
      <c r="A2">
        <v>1</v>
      </c>
      <c r="B2" s="13">
        <v>1.8</v>
      </c>
      <c r="C2">
        <v>10</v>
      </c>
      <c r="D2">
        <v>150</v>
      </c>
      <c r="E2">
        <f>B2*C2*D2</f>
        <v>2700</v>
      </c>
      <c r="I2">
        <v>0.01</v>
      </c>
      <c r="J2">
        <f>_xlfn.NORM.INV(I2,1,0.35)</f>
        <v>0.18577824408570576</v>
      </c>
      <c r="K2">
        <f>_xlfn.NORM.INV(I2,1,0.34)</f>
        <v>0.20904172282611411</v>
      </c>
      <c r="L2">
        <f>K2-J2</f>
        <v>2.326347874040835E-2</v>
      </c>
      <c r="N2">
        <f>_xlfn.NORM.DIST(Q2,1.24,0.434,FALSE)</f>
        <v>8.8055656958174688E-2</v>
      </c>
      <c r="O2">
        <f>_xlfn.NORM.DIST(Q2,1.24, 0.248,FALSE)</f>
        <v>1.2212447749485793E-3</v>
      </c>
      <c r="P2">
        <f>O2-N2</f>
        <v>-8.6834412183226115E-2</v>
      </c>
      <c r="Q2">
        <v>0.3</v>
      </c>
    </row>
    <row r="3" spans="1:17" x14ac:dyDescent="0.5">
      <c r="A3">
        <v>2</v>
      </c>
      <c r="B3" s="13">
        <v>1.5</v>
      </c>
      <c r="C3">
        <v>10</v>
      </c>
      <c r="D3">
        <v>150</v>
      </c>
      <c r="E3">
        <f t="shared" ref="E3:E11" si="0">B3*C3*D3</f>
        <v>2250</v>
      </c>
      <c r="I3">
        <v>0.1</v>
      </c>
      <c r="J3">
        <f t="shared" ref="J3:J12" si="1">_xlfn.NORM.INV(I3,1,0.35)</f>
        <v>0.55145695205938983</v>
      </c>
      <c r="K3">
        <f t="shared" ref="K3:K12" si="2">_xlfn.NORM.INV(I3,1,0.34)</f>
        <v>0.56427246771483575</v>
      </c>
      <c r="L3">
        <f t="shared" ref="L3:L12" si="3">K3-J3</f>
        <v>1.2815515655445919E-2</v>
      </c>
      <c r="N3">
        <f t="shared" ref="N3:N12" si="4">_xlfn.NORM.DIST(Q3,1.24,0.434,FALSE)</f>
        <v>0.21484076614013911</v>
      </c>
      <c r="O3">
        <f t="shared" ref="O3:O12" si="5">_xlfn.NORM.DIST(Q3,1.24, 0.248,FALSE)</f>
        <v>1.8753873214585215E-2</v>
      </c>
      <c r="P3">
        <f>O3-N3</f>
        <v>-0.1960868929255539</v>
      </c>
      <c r="Q3">
        <v>0.5</v>
      </c>
    </row>
    <row r="4" spans="1:17" x14ac:dyDescent="0.5">
      <c r="A4">
        <v>3</v>
      </c>
      <c r="B4" s="13">
        <v>1.3</v>
      </c>
      <c r="C4">
        <v>10</v>
      </c>
      <c r="D4">
        <v>150</v>
      </c>
      <c r="E4">
        <f t="shared" si="0"/>
        <v>1950</v>
      </c>
      <c r="I4">
        <v>0.2</v>
      </c>
      <c r="J4">
        <f>_xlfn.NORM.INV(I4,1,0.35)</f>
        <v>0.70543256824947997</v>
      </c>
      <c r="K4">
        <f t="shared" si="2"/>
        <v>0.71384878058520906</v>
      </c>
      <c r="L4">
        <f t="shared" si="3"/>
        <v>8.4162123357290897E-3</v>
      </c>
      <c r="N4">
        <f t="shared" si="4"/>
        <v>0.42388464755536459</v>
      </c>
      <c r="O4">
        <f t="shared" si="5"/>
        <v>0.15028984884372998</v>
      </c>
      <c r="P4">
        <f>O4-N4</f>
        <v>-0.27359479871163461</v>
      </c>
      <c r="Q4">
        <v>0.7</v>
      </c>
    </row>
    <row r="5" spans="1:17" x14ac:dyDescent="0.5">
      <c r="A5">
        <v>4</v>
      </c>
      <c r="B5" s="13">
        <v>2.1</v>
      </c>
      <c r="C5">
        <v>10</v>
      </c>
      <c r="D5">
        <v>150</v>
      </c>
      <c r="E5">
        <f t="shared" si="0"/>
        <v>3150</v>
      </c>
      <c r="I5">
        <v>0.3</v>
      </c>
      <c r="J5">
        <f t="shared" si="1"/>
        <v>0.81645982055218569</v>
      </c>
      <c r="K5">
        <f t="shared" si="2"/>
        <v>0.82170382567926614</v>
      </c>
      <c r="L5">
        <f t="shared" si="3"/>
        <v>5.2440051270804533E-3</v>
      </c>
      <c r="N5">
        <f t="shared" si="4"/>
        <v>0.676316910229113</v>
      </c>
      <c r="O5">
        <f t="shared" si="5"/>
        <v>0.62851946862355212</v>
      </c>
      <c r="P5">
        <f>O5-N5</f>
        <v>-4.7797441605560875E-2</v>
      </c>
      <c r="Q5">
        <v>0.9</v>
      </c>
    </row>
    <row r="6" spans="1:17" x14ac:dyDescent="0.5">
      <c r="A6">
        <v>5</v>
      </c>
      <c r="B6" s="13">
        <v>2.2000000000000002</v>
      </c>
      <c r="C6">
        <v>10</v>
      </c>
      <c r="D6">
        <v>150</v>
      </c>
      <c r="E6">
        <f t="shared" si="0"/>
        <v>3300</v>
      </c>
      <c r="I6">
        <v>0.4</v>
      </c>
      <c r="J6">
        <f t="shared" si="1"/>
        <v>0.91132851390247005</v>
      </c>
      <c r="K6">
        <f t="shared" si="2"/>
        <v>0.91386198493382809</v>
      </c>
      <c r="L6">
        <f t="shared" si="3"/>
        <v>2.5334710313580366E-3</v>
      </c>
      <c r="N6">
        <f t="shared" si="4"/>
        <v>0.87261840651604305</v>
      </c>
      <c r="O6">
        <f t="shared" si="5"/>
        <v>1.3716971511761205</v>
      </c>
      <c r="Q6">
        <v>1.1000000000000001</v>
      </c>
    </row>
    <row r="7" spans="1:17" x14ac:dyDescent="0.5">
      <c r="A7">
        <v>6</v>
      </c>
      <c r="B7" s="13">
        <v>1.9</v>
      </c>
      <c r="C7">
        <v>10</v>
      </c>
      <c r="D7">
        <v>150</v>
      </c>
      <c r="E7">
        <f t="shared" si="0"/>
        <v>2850</v>
      </c>
      <c r="I7">
        <v>0.5</v>
      </c>
      <c r="J7">
        <f t="shared" si="1"/>
        <v>1</v>
      </c>
      <c r="K7">
        <f t="shared" si="2"/>
        <v>1</v>
      </c>
      <c r="L7">
        <f t="shared" si="3"/>
        <v>0</v>
      </c>
      <c r="M7">
        <f>SUM(L2:L7)</f>
        <v>5.2272682890021849E-2</v>
      </c>
      <c r="N7">
        <f t="shared" si="4"/>
        <v>0.91047925860471612</v>
      </c>
      <c r="O7">
        <f t="shared" si="5"/>
        <v>1.5622414398425011</v>
      </c>
      <c r="Q7">
        <v>1.3</v>
      </c>
    </row>
    <row r="8" spans="1:17" x14ac:dyDescent="0.5">
      <c r="A8">
        <v>7</v>
      </c>
      <c r="B8" s="13">
        <v>2</v>
      </c>
      <c r="C8">
        <v>10</v>
      </c>
      <c r="D8">
        <v>150</v>
      </c>
      <c r="E8">
        <f t="shared" si="0"/>
        <v>3000</v>
      </c>
      <c r="I8">
        <v>0.6</v>
      </c>
      <c r="J8">
        <f t="shared" si="1"/>
        <v>1.08867148609753</v>
      </c>
      <c r="K8">
        <f t="shared" si="2"/>
        <v>1.0861380150661719</v>
      </c>
      <c r="L8">
        <f t="shared" si="3"/>
        <v>-2.5334710313580366E-3</v>
      </c>
      <c r="N8">
        <f t="shared" si="4"/>
        <v>0.7682230044095153</v>
      </c>
      <c r="O8">
        <f t="shared" si="5"/>
        <v>0.92851406266661107</v>
      </c>
      <c r="Q8">
        <v>1.5</v>
      </c>
    </row>
    <row r="9" spans="1:17" x14ac:dyDescent="0.5">
      <c r="A9">
        <v>8</v>
      </c>
      <c r="B9" s="13">
        <v>1.07</v>
      </c>
      <c r="C9">
        <v>10</v>
      </c>
      <c r="D9">
        <v>150</v>
      </c>
      <c r="E9">
        <f t="shared" si="0"/>
        <v>1605.0000000000002</v>
      </c>
      <c r="I9">
        <v>0.7</v>
      </c>
      <c r="J9">
        <f t="shared" si="1"/>
        <v>1.1835401794478142</v>
      </c>
      <c r="K9">
        <f t="shared" si="2"/>
        <v>1.1782961743207339</v>
      </c>
      <c r="L9">
        <f t="shared" si="3"/>
        <v>-5.2440051270803423E-3</v>
      </c>
      <c r="N9">
        <f t="shared" si="4"/>
        <v>0.52417478206545798</v>
      </c>
      <c r="O9">
        <f t="shared" si="5"/>
        <v>0.28799121008607476</v>
      </c>
      <c r="Q9">
        <v>1.7</v>
      </c>
    </row>
    <row r="10" spans="1:17" x14ac:dyDescent="0.5">
      <c r="A10">
        <v>9</v>
      </c>
      <c r="B10" s="13">
        <v>2.1</v>
      </c>
      <c r="C10">
        <v>10</v>
      </c>
      <c r="D10">
        <v>150</v>
      </c>
      <c r="E10">
        <f t="shared" si="0"/>
        <v>3150</v>
      </c>
      <c r="I10">
        <v>0.8</v>
      </c>
      <c r="J10">
        <f t="shared" si="1"/>
        <v>1.29456743175052</v>
      </c>
      <c r="K10">
        <f t="shared" si="2"/>
        <v>1.286151219414791</v>
      </c>
      <c r="L10">
        <f t="shared" si="3"/>
        <v>-8.4162123357289786E-3</v>
      </c>
      <c r="N10">
        <f t="shared" si="4"/>
        <v>0.28922544818090939</v>
      </c>
      <c r="O10">
        <f t="shared" si="5"/>
        <v>4.6614431781309314E-2</v>
      </c>
      <c r="Q10">
        <v>1.9</v>
      </c>
    </row>
    <row r="11" spans="1:17" x14ac:dyDescent="0.5">
      <c r="A11">
        <v>10</v>
      </c>
      <c r="B11" s="13">
        <v>1.8</v>
      </c>
      <c r="C11">
        <v>10</v>
      </c>
      <c r="D11">
        <v>150</v>
      </c>
      <c r="E11">
        <f t="shared" si="0"/>
        <v>2700</v>
      </c>
      <c r="I11">
        <v>0.9</v>
      </c>
      <c r="J11">
        <f t="shared" si="1"/>
        <v>1.4485430479406101</v>
      </c>
      <c r="K11">
        <f t="shared" si="2"/>
        <v>1.4357275322851644</v>
      </c>
      <c r="L11">
        <f t="shared" si="3"/>
        <v>-1.2815515655445697E-2</v>
      </c>
      <c r="N11">
        <f t="shared" si="4"/>
        <v>0.12905310148097698</v>
      </c>
      <c r="O11">
        <f t="shared" si="5"/>
        <v>3.9374220732603634E-3</v>
      </c>
      <c r="Q11">
        <v>2.1</v>
      </c>
    </row>
    <row r="12" spans="1:17" x14ac:dyDescent="0.5">
      <c r="I12">
        <v>0.99</v>
      </c>
      <c r="J12">
        <f t="shared" si="1"/>
        <v>1.8142217559142941</v>
      </c>
      <c r="K12">
        <f t="shared" si="2"/>
        <v>1.7909582771738859</v>
      </c>
      <c r="L12">
        <f t="shared" si="3"/>
        <v>-2.3263478740408239E-2</v>
      </c>
      <c r="N12">
        <f t="shared" si="4"/>
        <v>4.6566323811403063E-2</v>
      </c>
      <c r="O12">
        <f t="shared" si="5"/>
        <v>1.735617272967493E-4</v>
      </c>
      <c r="Q12">
        <v>2.2999999999999998</v>
      </c>
    </row>
    <row r="13" spans="1:17" x14ac:dyDescent="0.5">
      <c r="A13" t="s">
        <v>77</v>
      </c>
      <c r="B13" s="13">
        <v>1.78</v>
      </c>
      <c r="E13" s="13">
        <f>AVERAGE(E2:E11)</f>
        <v>2665.5</v>
      </c>
      <c r="N13" s="10">
        <f>SUM(N2:N12)</f>
        <v>4.9434383059518137</v>
      </c>
      <c r="O13" s="10">
        <f>SUM(O2:O12)</f>
        <v>4.9999537148099904</v>
      </c>
      <c r="P13" s="10">
        <f>SUM(P2:P12)</f>
        <v>-0.60431354542597548</v>
      </c>
    </row>
    <row r="14" spans="1:17" x14ac:dyDescent="0.5">
      <c r="A14" t="s">
        <v>78</v>
      </c>
      <c r="B14" s="13">
        <f>_xlfn.STDEV.S(B2:B11)</f>
        <v>0.37381070670119176</v>
      </c>
      <c r="E14" s="13">
        <f>_xlfn.STDEV.S(E2:E11)</f>
        <v>560.71606005178774</v>
      </c>
    </row>
    <row r="15" spans="1:17" x14ac:dyDescent="0.5">
      <c r="O15" t="s">
        <v>111</v>
      </c>
      <c r="P15">
        <f>100*P13/N13</f>
        <v>-12.224559264720519</v>
      </c>
    </row>
    <row r="16" spans="1:17" x14ac:dyDescent="0.5">
      <c r="A16" t="s">
        <v>63</v>
      </c>
      <c r="B16" s="13">
        <f>100*B14/B13</f>
        <v>21.000601500066953</v>
      </c>
      <c r="E16" s="13">
        <f>100*E14/E13</f>
        <v>21.036055526234769</v>
      </c>
    </row>
    <row r="19" spans="1:17" x14ac:dyDescent="0.5">
      <c r="B19" s="13" t="s">
        <v>92</v>
      </c>
      <c r="C19" t="s">
        <v>93</v>
      </c>
      <c r="D19" t="s">
        <v>94</v>
      </c>
      <c r="E19" t="s">
        <v>65</v>
      </c>
      <c r="F19" t="s">
        <v>95</v>
      </c>
      <c r="G19" t="s">
        <v>96</v>
      </c>
      <c r="H19" t="s">
        <v>97</v>
      </c>
      <c r="I19" t="s">
        <v>98</v>
      </c>
      <c r="J19" t="s">
        <v>99</v>
      </c>
      <c r="K19" t="s">
        <v>102</v>
      </c>
      <c r="L19" t="s">
        <v>100</v>
      </c>
      <c r="M19" t="s">
        <v>101</v>
      </c>
      <c r="N19" t="s">
        <v>103</v>
      </c>
      <c r="P19" t="s">
        <v>131</v>
      </c>
    </row>
    <row r="20" spans="1:17" x14ac:dyDescent="0.5">
      <c r="B20" s="13">
        <v>3</v>
      </c>
      <c r="C20">
        <v>10</v>
      </c>
    </row>
    <row r="21" spans="1:17" x14ac:dyDescent="0.5">
      <c r="A21" s="33">
        <v>2020</v>
      </c>
      <c r="B21" s="31">
        <v>0</v>
      </c>
      <c r="C21" s="31"/>
      <c r="D21" s="34">
        <f>calcs!U365</f>
        <v>118490552.36070932</v>
      </c>
      <c r="E21" s="31">
        <f>F21/D21</f>
        <v>43.759869661081247</v>
      </c>
      <c r="F21" s="34">
        <f>calcs!U337</f>
        <v>5185131127.3741627</v>
      </c>
      <c r="G21" s="31">
        <f>H21/F21</f>
        <v>0.30200017922539335</v>
      </c>
      <c r="H21" s="34">
        <f>calcs!U281*100</f>
        <v>1565910529.774163</v>
      </c>
      <c r="I21" s="31"/>
      <c r="J21" s="31">
        <v>1661734</v>
      </c>
      <c r="K21" s="31"/>
      <c r="L21" s="31"/>
      <c r="M21" s="31"/>
    </row>
    <row r="22" spans="1:17" x14ac:dyDescent="0.5">
      <c r="A22" s="33">
        <v>2021</v>
      </c>
      <c r="B22" s="31"/>
      <c r="C22" s="31"/>
      <c r="D22" s="31"/>
      <c r="E22" s="31"/>
      <c r="F22" s="31"/>
      <c r="G22" s="31"/>
      <c r="H22" s="31"/>
      <c r="I22" s="31">
        <f>E$21</f>
        <v>43.759869661081247</v>
      </c>
      <c r="J22" s="31">
        <f>$D$21-M22</f>
        <v>118440700.34070933</v>
      </c>
      <c r="K22" s="31">
        <f>I22*J22*$G$21</f>
        <v>1565251710.9781222</v>
      </c>
      <c r="L22" s="31">
        <f>$E$21*(1+$C$20/100)</f>
        <v>48.135856627189376</v>
      </c>
      <c r="M22" s="31">
        <f>J21*($B$20/100)</f>
        <v>49852.02</v>
      </c>
      <c r="N22" s="31">
        <f>L22*M22*$G$21</f>
        <v>724700.6756450684</v>
      </c>
      <c r="O22" s="18">
        <f t="shared" ref="O22:O31" si="6">(K22+N22)</f>
        <v>1565976411.6537673</v>
      </c>
      <c r="P22" s="31">
        <f>M22*(L22-I22)</f>
        <v>218151.78975416179</v>
      </c>
      <c r="Q22" s="18">
        <f>O22-$H$21</f>
        <v>65881.8796043396</v>
      </c>
    </row>
    <row r="23" spans="1:17" x14ac:dyDescent="0.5">
      <c r="A23" s="33">
        <v>2022</v>
      </c>
      <c r="B23" s="31"/>
      <c r="C23" s="31"/>
      <c r="D23" s="31"/>
      <c r="E23" s="31"/>
      <c r="F23" s="31"/>
      <c r="G23" s="31"/>
      <c r="H23" s="31"/>
      <c r="I23" s="31">
        <f t="shared" ref="I23:I31" si="7">E$21</f>
        <v>43.759869661081247</v>
      </c>
      <c r="J23" s="31">
        <f t="shared" ref="J23:J31" si="8">$D$21-M23</f>
        <v>114887479.33048804</v>
      </c>
      <c r="K23" s="31">
        <f t="shared" ref="K23:K31" si="9">I23*J23*$G$21</f>
        <v>1518294159.6487784</v>
      </c>
      <c r="L23" s="31">
        <f t="shared" ref="L23:L31" si="10">$E$21*(1+$C$20/100)</f>
        <v>48.135856627189376</v>
      </c>
      <c r="M23" s="31">
        <f t="shared" ref="M23:M31" si="11">J22*($B$20/100)+M22</f>
        <v>3603073.0302212797</v>
      </c>
      <c r="N23" s="31">
        <f t="shared" ref="N23:N31" si="12">L23*M23*$G$21</f>
        <v>52378007.137923107</v>
      </c>
      <c r="O23" s="18">
        <f t="shared" si="6"/>
        <v>1570672166.7867014</v>
      </c>
      <c r="P23" s="31">
        <f t="shared" ref="P23:P31" si="13">M23*(L23-I23)</f>
        <v>15767000.618184043</v>
      </c>
      <c r="Q23" s="18">
        <f t="shared" ref="Q23:Q31" si="14">O23-$H$21</f>
        <v>4761637.0125384331</v>
      </c>
    </row>
    <row r="24" spans="1:17" x14ac:dyDescent="0.5">
      <c r="A24" s="33">
        <v>2023</v>
      </c>
      <c r="B24" s="31"/>
      <c r="C24" s="31"/>
      <c r="D24" s="31"/>
      <c r="E24" s="31"/>
      <c r="F24" s="31"/>
      <c r="G24" s="31"/>
      <c r="H24" s="31"/>
      <c r="I24" s="31">
        <f t="shared" si="7"/>
        <v>43.759869661081247</v>
      </c>
      <c r="J24" s="31">
        <f t="shared" si="8"/>
        <v>111440854.9505734</v>
      </c>
      <c r="K24" s="31">
        <f t="shared" si="9"/>
        <v>1472745334.8593152</v>
      </c>
      <c r="L24" s="31">
        <f t="shared" si="10"/>
        <v>48.135856627189376</v>
      </c>
      <c r="M24" s="31">
        <f t="shared" si="11"/>
        <v>7049697.4101359211</v>
      </c>
      <c r="N24" s="31">
        <f t="shared" si="12"/>
        <v>102481714.40633279</v>
      </c>
      <c r="O24" s="18">
        <f t="shared" si="6"/>
        <v>1575227049.2656479</v>
      </c>
      <c r="P24" s="31">
        <f t="shared" si="13"/>
        <v>30849383.981761027</v>
      </c>
      <c r="Q24" s="18">
        <f t="shared" si="14"/>
        <v>9316519.4914848804</v>
      </c>
    </row>
    <row r="25" spans="1:17" x14ac:dyDescent="0.5">
      <c r="A25" s="33">
        <v>2024</v>
      </c>
      <c r="B25" s="31"/>
      <c r="C25" s="31"/>
      <c r="D25" s="31"/>
      <c r="E25" s="31"/>
      <c r="F25" s="31"/>
      <c r="G25" s="31"/>
      <c r="H25" s="31"/>
      <c r="I25" s="31">
        <f t="shared" si="7"/>
        <v>43.759869661081247</v>
      </c>
      <c r="J25" s="31">
        <f t="shared" si="8"/>
        <v>108097629.30205619</v>
      </c>
      <c r="K25" s="31">
        <f t="shared" si="9"/>
        <v>1428562974.8135357</v>
      </c>
      <c r="L25" s="31">
        <f t="shared" si="10"/>
        <v>48.135856627189376</v>
      </c>
      <c r="M25" s="31">
        <f t="shared" si="11"/>
        <v>10392923.058653124</v>
      </c>
      <c r="N25" s="31">
        <f t="shared" si="12"/>
        <v>151082310.45669019</v>
      </c>
      <c r="O25" s="18">
        <f t="shared" si="6"/>
        <v>1579645285.270226</v>
      </c>
      <c r="P25" s="31">
        <f t="shared" si="13"/>
        <v>45479295.844430707</v>
      </c>
      <c r="Q25" s="18">
        <f t="shared" si="14"/>
        <v>13734755.496062994</v>
      </c>
    </row>
    <row r="26" spans="1:17" x14ac:dyDescent="0.5">
      <c r="A26" s="33">
        <v>2025</v>
      </c>
      <c r="B26" s="31"/>
      <c r="C26" s="31"/>
      <c r="D26" s="31"/>
      <c r="E26" s="31"/>
      <c r="F26" s="31"/>
      <c r="G26" s="31"/>
      <c r="H26" s="31"/>
      <c r="I26" s="31">
        <f t="shared" si="7"/>
        <v>43.759869661081247</v>
      </c>
      <c r="J26" s="31">
        <f t="shared" si="8"/>
        <v>104854700.42299451</v>
      </c>
      <c r="K26" s="31">
        <f t="shared" si="9"/>
        <v>1385706085.5691295</v>
      </c>
      <c r="L26" s="31">
        <f t="shared" si="10"/>
        <v>48.135856627189376</v>
      </c>
      <c r="M26" s="31">
        <f t="shared" si="11"/>
        <v>13635851.93771481</v>
      </c>
      <c r="N26" s="31">
        <f t="shared" si="12"/>
        <v>198224888.62553689</v>
      </c>
      <c r="O26" s="18">
        <f t="shared" si="6"/>
        <v>1583930974.1946664</v>
      </c>
      <c r="P26" s="31">
        <f t="shared" si="13"/>
        <v>59670310.351220287</v>
      </c>
      <c r="Q26" s="18">
        <f t="shared" si="14"/>
        <v>18020444.420503378</v>
      </c>
    </row>
    <row r="27" spans="1:17" x14ac:dyDescent="0.5">
      <c r="A27" s="33">
        <v>2026</v>
      </c>
      <c r="B27" s="31"/>
      <c r="C27" s="31"/>
      <c r="D27" s="31"/>
      <c r="E27" s="31"/>
      <c r="F27" s="31"/>
      <c r="G27" s="31"/>
      <c r="H27" s="31"/>
      <c r="I27" s="31">
        <f t="shared" si="7"/>
        <v>43.759869661081247</v>
      </c>
      <c r="J27" s="31">
        <f t="shared" si="8"/>
        <v>101709059.41030468</v>
      </c>
      <c r="K27" s="31">
        <f t="shared" si="9"/>
        <v>1344134903.0020556</v>
      </c>
      <c r="L27" s="31">
        <f t="shared" si="10"/>
        <v>48.135856627189376</v>
      </c>
      <c r="M27" s="31">
        <f t="shared" si="11"/>
        <v>16781492.950404644</v>
      </c>
      <c r="N27" s="31">
        <f t="shared" si="12"/>
        <v>243953189.44931817</v>
      </c>
      <c r="O27" s="18">
        <f t="shared" si="6"/>
        <v>1588088092.4513738</v>
      </c>
      <c r="P27" s="31">
        <f t="shared" si="13"/>
        <v>73435594.422806188</v>
      </c>
      <c r="Q27" s="18">
        <f t="shared" si="14"/>
        <v>22177562.677210808</v>
      </c>
    </row>
    <row r="28" spans="1:17" x14ac:dyDescent="0.5">
      <c r="A28" s="33">
        <v>2027</v>
      </c>
      <c r="B28" s="31"/>
      <c r="C28" s="31"/>
      <c r="D28" s="31"/>
      <c r="E28" s="31"/>
      <c r="F28" s="31"/>
      <c r="G28" s="31"/>
      <c r="H28" s="31"/>
      <c r="I28" s="31">
        <f t="shared" si="7"/>
        <v>43.759869661081247</v>
      </c>
      <c r="J28" s="31">
        <f t="shared" si="8"/>
        <v>98657787.627995536</v>
      </c>
      <c r="K28" s="31">
        <f t="shared" si="9"/>
        <v>1303810855.911994</v>
      </c>
      <c r="L28" s="31">
        <f t="shared" si="10"/>
        <v>48.135856627189376</v>
      </c>
      <c r="M28" s="31">
        <f t="shared" si="11"/>
        <v>19832764.732713785</v>
      </c>
      <c r="N28" s="31">
        <f t="shared" si="12"/>
        <v>288309641.24838597</v>
      </c>
      <c r="O28" s="18">
        <f t="shared" si="6"/>
        <v>1592120497.1603799</v>
      </c>
      <c r="P28" s="31">
        <f t="shared" si="13"/>
        <v>86787919.972244501</v>
      </c>
      <c r="Q28" s="18">
        <f t="shared" si="14"/>
        <v>26209967.386216879</v>
      </c>
    </row>
    <row r="29" spans="1:17" x14ac:dyDescent="0.5">
      <c r="A29" s="33">
        <v>2028</v>
      </c>
      <c r="B29" s="31"/>
      <c r="C29" s="31"/>
      <c r="D29" s="31"/>
      <c r="E29" s="31"/>
      <c r="F29" s="31"/>
      <c r="G29" s="31"/>
      <c r="H29" s="31"/>
      <c r="I29" s="31">
        <f t="shared" si="7"/>
        <v>43.759869661081247</v>
      </c>
      <c r="J29" s="31">
        <f t="shared" si="8"/>
        <v>95698053.99915567</v>
      </c>
      <c r="K29" s="31">
        <f t="shared" si="9"/>
        <v>1264696530.2346342</v>
      </c>
      <c r="L29" s="31">
        <f t="shared" si="10"/>
        <v>48.135856627189376</v>
      </c>
      <c r="M29" s="31">
        <f t="shared" si="11"/>
        <v>22792498.36155365</v>
      </c>
      <c r="N29" s="31">
        <f t="shared" si="12"/>
        <v>331335399.49348176</v>
      </c>
      <c r="O29" s="18">
        <f t="shared" si="6"/>
        <v>1596031929.728116</v>
      </c>
      <c r="P29" s="31">
        <f t="shared" si="13"/>
        <v>99739675.755199671</v>
      </c>
      <c r="Q29" s="18">
        <f t="shared" si="14"/>
        <v>30121399.953953028</v>
      </c>
    </row>
    <row r="30" spans="1:17" x14ac:dyDescent="0.5">
      <c r="A30" s="33">
        <v>2029</v>
      </c>
      <c r="B30" s="31"/>
      <c r="C30" s="31"/>
      <c r="D30" s="31"/>
      <c r="E30" s="31"/>
      <c r="F30" s="31"/>
      <c r="G30" s="31"/>
      <c r="H30" s="31"/>
      <c r="I30" s="31">
        <f t="shared" si="7"/>
        <v>43.759869661081247</v>
      </c>
      <c r="J30" s="31">
        <f t="shared" si="8"/>
        <v>92827112.379180998</v>
      </c>
      <c r="K30" s="31">
        <f t="shared" si="9"/>
        <v>1226755634.327595</v>
      </c>
      <c r="L30" s="31">
        <f t="shared" si="10"/>
        <v>48.135856627189376</v>
      </c>
      <c r="M30" s="31">
        <f t="shared" si="11"/>
        <v>25663439.981528319</v>
      </c>
      <c r="N30" s="31">
        <f t="shared" si="12"/>
        <v>373070384.99122471</v>
      </c>
      <c r="O30" s="18">
        <f t="shared" si="6"/>
        <v>1599826019.3188198</v>
      </c>
      <c r="P30" s="31">
        <f t="shared" si="13"/>
        <v>112302878.86466618</v>
      </c>
      <c r="Q30" s="18">
        <f t="shared" si="14"/>
        <v>33915489.544656754</v>
      </c>
    </row>
    <row r="31" spans="1:17" x14ac:dyDescent="0.5">
      <c r="A31" s="33">
        <v>2030</v>
      </c>
      <c r="B31" s="31"/>
      <c r="C31" s="31"/>
      <c r="D31" s="31"/>
      <c r="E31" s="31"/>
      <c r="F31" s="31"/>
      <c r="G31" s="31"/>
      <c r="H31" s="31"/>
      <c r="I31" s="31">
        <f t="shared" si="7"/>
        <v>43.759869661081247</v>
      </c>
      <c r="J31" s="31">
        <f t="shared" si="8"/>
        <v>90042299.007805571</v>
      </c>
      <c r="K31" s="31">
        <f t="shared" si="9"/>
        <v>1189952965.2977674</v>
      </c>
      <c r="L31" s="31">
        <f t="shared" si="10"/>
        <v>48.135856627189376</v>
      </c>
      <c r="M31" s="31">
        <f t="shared" si="11"/>
        <v>28448253.35290375</v>
      </c>
      <c r="N31" s="31">
        <f t="shared" si="12"/>
        <v>413553320.92403537</v>
      </c>
      <c r="O31" s="18">
        <f t="shared" si="6"/>
        <v>1603506286.2218027</v>
      </c>
      <c r="P31" s="31">
        <f t="shared" si="13"/>
        <v>124489185.88084871</v>
      </c>
      <c r="Q31" s="59">
        <f t="shared" si="14"/>
        <v>37595756.447639704</v>
      </c>
    </row>
    <row r="32" spans="1:17" x14ac:dyDescent="0.5">
      <c r="K32" s="18">
        <f>SUM(K22:K31)</f>
        <v>13699911154.642929</v>
      </c>
      <c r="N32" s="18">
        <f>SUM(N22:N31)</f>
        <v>2155113557.4085741</v>
      </c>
      <c r="O32" s="18">
        <f>(K32+N32)</f>
        <v>15855024712.051502</v>
      </c>
    </row>
    <row r="33" spans="1:17" x14ac:dyDescent="0.5">
      <c r="Q33" s="18">
        <f>SUM(Q22:Q32)</f>
        <v>195919414.3098712</v>
      </c>
    </row>
    <row r="34" spans="1:17" x14ac:dyDescent="0.5">
      <c r="H34" s="18">
        <f>J34+M34</f>
        <v>1184905523.6070931</v>
      </c>
      <c r="J34" s="18">
        <f>SUM(J22:J33)</f>
        <v>1036655676.7712638</v>
      </c>
      <c r="M34" s="18">
        <f>SUM(M22:M33)</f>
        <v>148249846.83582929</v>
      </c>
      <c r="N34" t="s">
        <v>105</v>
      </c>
      <c r="O34" s="32">
        <f>O32/(H21*10)</f>
        <v>1.0125115331038823</v>
      </c>
    </row>
    <row r="35" spans="1:17" x14ac:dyDescent="0.5">
      <c r="N35" t="s">
        <v>104</v>
      </c>
      <c r="O35" s="18">
        <f>O32-(H21*10)</f>
        <v>195919414.30987167</v>
      </c>
    </row>
    <row r="36" spans="1:17" ht="18.75" customHeight="1" x14ac:dyDescent="0.5"/>
    <row r="38" spans="1:17" x14ac:dyDescent="0.5">
      <c r="A38">
        <v>2020</v>
      </c>
      <c r="I38" s="31">
        <f>E$21</f>
        <v>43.759869661081247</v>
      </c>
      <c r="J38" s="31">
        <f>D21</f>
        <v>118490552.36070932</v>
      </c>
      <c r="K38" s="31">
        <f>I38*J38*$G$21</f>
        <v>1565910529.774163</v>
      </c>
      <c r="L38" s="31">
        <f>$E$21*(1+$C$20/100)</f>
        <v>48.135856627189376</v>
      </c>
      <c r="M38">
        <v>0</v>
      </c>
      <c r="N38" s="31">
        <f>L38*M38*$G$21</f>
        <v>0</v>
      </c>
    </row>
    <row r="39" spans="1:17" x14ac:dyDescent="0.5">
      <c r="A39">
        <v>2030</v>
      </c>
      <c r="I39" s="31">
        <f>E$21</f>
        <v>43.759869661081247</v>
      </c>
      <c r="J39" s="18">
        <f>J38-M39</f>
        <v>77739710.606329083</v>
      </c>
      <c r="K39" s="31">
        <f>I39*J39*$G$21</f>
        <v>1027368249.9973972</v>
      </c>
      <c r="L39" s="31">
        <f>$E$21*(1+$C$20/100)</f>
        <v>48.135856627189376</v>
      </c>
      <c r="M39" s="18">
        <f>D21*(1+$B$20/100)^10-$D$21</f>
        <v>40750841.754380241</v>
      </c>
      <c r="N39" s="31">
        <f>L39*M39*$G$21</f>
        <v>592396507.75444245</v>
      </c>
      <c r="O39" s="18">
        <f>(K39+N39)</f>
        <v>1619764757.7518396</v>
      </c>
    </row>
    <row r="41" spans="1:17" x14ac:dyDescent="0.5">
      <c r="N41" t="s">
        <v>105</v>
      </c>
      <c r="O41" s="32">
        <f>O39/H21</f>
        <v>1.0343916379344122</v>
      </c>
    </row>
    <row r="42" spans="1:17" x14ac:dyDescent="0.5">
      <c r="N42" t="s">
        <v>104</v>
      </c>
      <c r="O42" s="18">
        <f>O39-H21</f>
        <v>53854227.97767663</v>
      </c>
    </row>
    <row r="44" spans="1:17" x14ac:dyDescent="0.5">
      <c r="O44" s="18">
        <f>H21*(1-(((1+B20/100)^10)-1))+H21*(1+C20/100)*(((1+B20/100)^10)-1)-H21</f>
        <v>53854227.97767663</v>
      </c>
    </row>
    <row r="45" spans="1:17" x14ac:dyDescent="0.5">
      <c r="O45"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7AD5-59D5-49A6-862C-C0820A212B99}">
  <dimension ref="A1:S46"/>
  <sheetViews>
    <sheetView zoomScaleNormal="100" workbookViewId="0">
      <selection activeCell="D40" sqref="D40"/>
    </sheetView>
  </sheetViews>
  <sheetFormatPr defaultRowHeight="14.35" x14ac:dyDescent="0.5"/>
  <cols>
    <col min="3" max="3" width="9.52734375" bestFit="1" customWidth="1"/>
    <col min="4" max="4" width="13.3515625" style="13" customWidth="1"/>
    <col min="5" max="5" width="18.1171875" customWidth="1"/>
    <col min="6" max="6" width="19.64453125" customWidth="1"/>
    <col min="7" max="7" width="14.87890625" customWidth="1"/>
    <col min="8" max="8" width="93.1171875" customWidth="1"/>
    <col min="9" max="9" width="13.3515625" customWidth="1"/>
    <col min="10" max="10" width="19" bestFit="1" customWidth="1"/>
    <col min="11" max="11" width="14.1171875" customWidth="1"/>
    <col min="12" max="12" width="16.87890625" customWidth="1"/>
    <col min="13" max="13" width="21.1171875" customWidth="1"/>
    <col min="14" max="14" width="9.41015625" bestFit="1" customWidth="1"/>
    <col min="15" max="15" width="17.1171875" customWidth="1"/>
    <col min="16" max="16" width="26" customWidth="1"/>
    <col min="17" max="17" width="27.1171875" customWidth="1"/>
    <col min="18" max="18" width="22" customWidth="1"/>
    <col min="19" max="19" width="17.1171875" customWidth="1"/>
  </cols>
  <sheetData>
    <row r="1" spans="1:14" x14ac:dyDescent="0.5">
      <c r="B1" s="63" t="s">
        <v>140</v>
      </c>
      <c r="C1" s="63" t="s">
        <v>141</v>
      </c>
      <c r="D1" s="61" t="s">
        <v>136</v>
      </c>
      <c r="E1" s="62" t="s">
        <v>137</v>
      </c>
      <c r="F1" s="62" t="s">
        <v>138</v>
      </c>
      <c r="G1" s="62" t="s">
        <v>139</v>
      </c>
    </row>
    <row r="2" spans="1:14" x14ac:dyDescent="0.5">
      <c r="D2" s="7" t="s">
        <v>113</v>
      </c>
      <c r="E2" s="7" t="s">
        <v>144</v>
      </c>
      <c r="F2" s="7" t="s">
        <v>144</v>
      </c>
      <c r="G2" s="7" t="s">
        <v>145</v>
      </c>
      <c r="K2" s="7"/>
      <c r="L2" s="7"/>
      <c r="M2" s="7"/>
      <c r="N2" s="7"/>
    </row>
    <row r="3" spans="1:14" x14ac:dyDescent="0.5">
      <c r="A3" t="s">
        <v>142</v>
      </c>
      <c r="B3">
        <v>1.24</v>
      </c>
      <c r="C3">
        <v>1.24</v>
      </c>
      <c r="D3">
        <v>0.1</v>
      </c>
      <c r="E3" s="64">
        <f>_xlfn.NORM.DIST(D3,$B$3,$B$4,FALSE)</f>
        <v>2.9185651664481876E-2</v>
      </c>
      <c r="F3" s="64">
        <f>_xlfn.NORM.DIST(D3,$C$3,$C$4,FALSE)</f>
        <v>9.7967296219566135E-3</v>
      </c>
      <c r="G3" s="64">
        <f>F3-E3</f>
        <v>-1.9388922042525264E-2</v>
      </c>
    </row>
    <row r="4" spans="1:14" x14ac:dyDescent="0.5">
      <c r="A4" t="s">
        <v>61</v>
      </c>
      <c r="B4" s="67">
        <v>0.434</v>
      </c>
      <c r="C4" s="67">
        <v>0.372</v>
      </c>
      <c r="D4">
        <v>0.3</v>
      </c>
      <c r="E4" s="64">
        <f t="shared" ref="E4:E8" si="0">_xlfn.NORM.DIST(D4,$B$3,$B$4,FALSE)</f>
        <v>8.8055656958174688E-2</v>
      </c>
      <c r="F4" s="64">
        <f t="shared" ref="F4:F8" si="1">_xlfn.NORM.DIST(D4,$C$3,$C$4,FALSE)</f>
        <v>4.4040627315075055E-2</v>
      </c>
      <c r="G4" s="64">
        <f>F4-E4</f>
        <v>-4.4015029643099633E-2</v>
      </c>
    </row>
    <row r="5" spans="1:14" x14ac:dyDescent="0.5">
      <c r="A5" t="s">
        <v>143</v>
      </c>
      <c r="B5" s="36">
        <f>B4/B3</f>
        <v>0.35</v>
      </c>
      <c r="C5" s="36">
        <f>C4/C3</f>
        <v>0.3</v>
      </c>
      <c r="D5">
        <v>0.5</v>
      </c>
      <c r="E5" s="64">
        <f t="shared" si="0"/>
        <v>0.21484076614013911</v>
      </c>
      <c r="F5" s="64">
        <f t="shared" si="1"/>
        <v>0.14828346362349212</v>
      </c>
      <c r="G5" s="64">
        <f>F5-E5</f>
        <v>-6.6557302516646988E-2</v>
      </c>
    </row>
    <row r="6" spans="1:14" x14ac:dyDescent="0.5">
      <c r="D6">
        <v>0.7</v>
      </c>
      <c r="E6" s="64">
        <f t="shared" si="0"/>
        <v>0.42388464755536459</v>
      </c>
      <c r="F6" s="64">
        <f t="shared" si="1"/>
        <v>0.3739373088919517</v>
      </c>
      <c r="G6" s="64">
        <f>F6-E6</f>
        <v>-4.9947338663412888E-2</v>
      </c>
    </row>
    <row r="7" spans="1:14" x14ac:dyDescent="0.5">
      <c r="D7">
        <v>0.9</v>
      </c>
      <c r="E7" s="64">
        <f t="shared" si="0"/>
        <v>0.676316910229113</v>
      </c>
      <c r="F7" s="64">
        <f t="shared" si="1"/>
        <v>0.7062715718235979</v>
      </c>
      <c r="G7" s="64"/>
    </row>
    <row r="8" spans="1:14" x14ac:dyDescent="0.5">
      <c r="D8">
        <v>1.1000000000000001</v>
      </c>
      <c r="E8" s="64">
        <f t="shared" si="0"/>
        <v>0.87261840651604305</v>
      </c>
      <c r="F8" s="64">
        <f t="shared" si="1"/>
        <v>0.99910585594787726</v>
      </c>
      <c r="G8" s="64"/>
    </row>
    <row r="9" spans="1:14" x14ac:dyDescent="0.5">
      <c r="D9">
        <v>1.3</v>
      </c>
      <c r="E9" s="64">
        <f t="shared" ref="E9:E14" si="2">_xlfn.NORM.DIST(D9,$B$3,$B$4,FALSE)</f>
        <v>0.91047925860471612</v>
      </c>
      <c r="F9" s="64">
        <f t="shared" ref="F9:F14" si="3">_xlfn.NORM.DIST(D9,$C$3,$C$4,FALSE)</f>
        <v>1.058566471475693</v>
      </c>
      <c r="G9" s="64"/>
    </row>
    <row r="10" spans="1:14" x14ac:dyDescent="0.5">
      <c r="D10">
        <v>1.5</v>
      </c>
      <c r="E10" s="64">
        <f t="shared" si="2"/>
        <v>0.7682230044095153</v>
      </c>
      <c r="F10" s="64">
        <f t="shared" si="3"/>
        <v>0.84002384686297349</v>
      </c>
      <c r="G10" s="64"/>
    </row>
    <row r="11" spans="1:14" x14ac:dyDescent="0.5">
      <c r="D11">
        <v>1.7</v>
      </c>
      <c r="E11" s="64">
        <f t="shared" si="2"/>
        <v>0.52417478206545798</v>
      </c>
      <c r="F11" s="64">
        <f t="shared" si="3"/>
        <v>0.49926594884476266</v>
      </c>
      <c r="G11" s="64"/>
    </row>
    <row r="12" spans="1:14" x14ac:dyDescent="0.5">
      <c r="D12">
        <v>1.9</v>
      </c>
      <c r="E12" s="64">
        <f t="shared" si="2"/>
        <v>0.28922544818090939</v>
      </c>
      <c r="F12" s="64">
        <f t="shared" si="3"/>
        <v>0.22224864928489513</v>
      </c>
      <c r="G12" s="64"/>
    </row>
    <row r="13" spans="1:14" x14ac:dyDescent="0.5">
      <c r="D13">
        <v>2.1</v>
      </c>
      <c r="E13" s="64">
        <f t="shared" si="2"/>
        <v>0.12905310148097698</v>
      </c>
      <c r="F13" s="64">
        <f t="shared" si="3"/>
        <v>7.4099139468794054E-2</v>
      </c>
      <c r="G13" s="64"/>
    </row>
    <row r="14" spans="1:14" x14ac:dyDescent="0.5">
      <c r="D14">
        <v>2.2999999999999998</v>
      </c>
      <c r="E14" s="64">
        <f t="shared" si="2"/>
        <v>4.6566323811403063E-2</v>
      </c>
      <c r="F14" s="64">
        <f t="shared" si="3"/>
        <v>1.8503507043287234E-2</v>
      </c>
      <c r="G14" s="64"/>
    </row>
    <row r="15" spans="1:14" x14ac:dyDescent="0.5">
      <c r="D15"/>
      <c r="E15" s="65">
        <f>SUM(E3:E14)</f>
        <v>4.9726239576162952</v>
      </c>
      <c r="F15" s="64"/>
      <c r="G15" s="65">
        <f>SUM(G3:G14)</f>
        <v>-0.17990859286568478</v>
      </c>
      <c r="H15" t="s">
        <v>147</v>
      </c>
    </row>
    <row r="16" spans="1:14" x14ac:dyDescent="0.5">
      <c r="E16" s="64"/>
      <c r="F16" s="66" t="s">
        <v>146</v>
      </c>
      <c r="G16" s="66">
        <f>100*G15/E15</f>
        <v>-3.6179810578704363</v>
      </c>
      <c r="H16" t="s">
        <v>148</v>
      </c>
    </row>
    <row r="17" spans="3:19" x14ac:dyDescent="0.5">
      <c r="G17" s="13"/>
    </row>
    <row r="22" spans="3:19" x14ac:dyDescent="0.5">
      <c r="C22" s="33"/>
      <c r="D22" s="31"/>
      <c r="E22" s="31"/>
      <c r="F22" s="68"/>
      <c r="G22" s="68"/>
      <c r="H22" s="68"/>
      <c r="I22" s="68"/>
      <c r="J22" s="68"/>
      <c r="K22" s="68"/>
      <c r="L22" s="68"/>
      <c r="M22" s="68"/>
      <c r="N22" s="31"/>
      <c r="O22" s="31"/>
    </row>
    <row r="23" spans="3:19" x14ac:dyDescent="0.5">
      <c r="C23" s="33"/>
      <c r="D23" s="31"/>
      <c r="E23" s="31"/>
      <c r="F23" s="68"/>
      <c r="G23" s="68"/>
      <c r="H23" s="68"/>
      <c r="I23" s="68"/>
      <c r="J23" s="68"/>
      <c r="K23" s="68"/>
      <c r="L23" s="68"/>
      <c r="M23" s="68"/>
      <c r="N23" s="31"/>
      <c r="O23" s="31"/>
      <c r="P23" s="31"/>
      <c r="Q23" s="18"/>
      <c r="R23" s="31"/>
      <c r="S23" s="18"/>
    </row>
    <row r="24" spans="3:19" x14ac:dyDescent="0.5">
      <c r="C24" s="33"/>
      <c r="D24" s="31"/>
      <c r="E24" s="31"/>
      <c r="F24" s="68"/>
      <c r="G24" s="68"/>
      <c r="H24" s="68"/>
      <c r="I24" s="68"/>
      <c r="J24" s="68"/>
      <c r="K24" s="68"/>
      <c r="L24" s="68"/>
      <c r="M24" s="68"/>
      <c r="N24" s="31"/>
      <c r="O24" s="31"/>
      <c r="P24" s="31"/>
      <c r="Q24" s="18"/>
      <c r="R24" s="31"/>
      <c r="S24" s="18"/>
    </row>
    <row r="25" spans="3:19" x14ac:dyDescent="0.5">
      <c r="C25" s="33"/>
      <c r="D25" s="31"/>
      <c r="E25" s="31"/>
      <c r="F25" s="68"/>
      <c r="G25" s="68"/>
      <c r="H25" s="68"/>
      <c r="I25" s="68"/>
      <c r="J25" s="68"/>
      <c r="K25" s="68"/>
      <c r="L25" s="68"/>
      <c r="M25" s="68"/>
      <c r="N25" s="31"/>
      <c r="O25" s="31"/>
      <c r="P25" s="31"/>
      <c r="Q25" s="18"/>
      <c r="R25" s="31"/>
      <c r="S25" s="18"/>
    </row>
    <row r="26" spans="3:19" x14ac:dyDescent="0.5">
      <c r="C26" s="33"/>
      <c r="D26" s="31"/>
      <c r="E26" s="31"/>
      <c r="F26" s="68"/>
      <c r="G26" s="68"/>
      <c r="H26" s="68"/>
      <c r="I26" s="68"/>
      <c r="J26" s="68"/>
      <c r="K26" s="68"/>
      <c r="L26" s="68"/>
      <c r="M26" s="68"/>
      <c r="N26" s="31"/>
      <c r="O26" s="31"/>
      <c r="P26" s="31"/>
      <c r="Q26" s="18"/>
      <c r="R26" s="31"/>
      <c r="S26" s="18"/>
    </row>
    <row r="27" spans="3:19" x14ac:dyDescent="0.5">
      <c r="C27" s="33"/>
      <c r="D27" s="31"/>
      <c r="E27" s="31"/>
      <c r="F27" s="31"/>
      <c r="G27" s="31"/>
      <c r="H27" s="31"/>
      <c r="I27" s="31"/>
      <c r="J27" s="31"/>
      <c r="K27" s="31"/>
      <c r="L27" s="31"/>
      <c r="M27" s="31"/>
      <c r="N27" s="31"/>
      <c r="O27" s="31"/>
      <c r="P27" s="31"/>
      <c r="Q27" s="18"/>
      <c r="R27" s="31"/>
      <c r="S27" s="18"/>
    </row>
    <row r="28" spans="3:19" x14ac:dyDescent="0.5">
      <c r="C28" s="33"/>
      <c r="D28" s="31"/>
      <c r="E28" s="31"/>
      <c r="F28" s="31"/>
      <c r="G28" s="31"/>
      <c r="H28" s="31"/>
      <c r="I28" s="31"/>
      <c r="J28" s="31"/>
      <c r="K28" s="31"/>
      <c r="L28" s="31"/>
      <c r="M28" s="31"/>
      <c r="N28" s="31"/>
      <c r="O28" s="31"/>
      <c r="P28" s="31"/>
      <c r="Q28" s="18"/>
      <c r="R28" s="31"/>
      <c r="S28" s="18"/>
    </row>
    <row r="29" spans="3:19" x14ac:dyDescent="0.5">
      <c r="C29" s="33"/>
      <c r="D29" s="31"/>
      <c r="E29" s="31"/>
      <c r="F29" s="31"/>
      <c r="G29" s="31"/>
      <c r="H29" s="31"/>
      <c r="I29" s="31"/>
      <c r="J29" s="31"/>
      <c r="K29" s="31"/>
      <c r="L29" s="31"/>
      <c r="M29" s="31"/>
      <c r="N29" s="31"/>
      <c r="O29" s="31"/>
      <c r="P29" s="31"/>
      <c r="Q29" s="18"/>
      <c r="R29" s="31"/>
      <c r="S29" s="18"/>
    </row>
    <row r="30" spans="3:19" x14ac:dyDescent="0.5">
      <c r="C30" s="33"/>
      <c r="D30" s="31"/>
      <c r="E30" s="31"/>
      <c r="F30" s="31"/>
      <c r="G30" s="31"/>
      <c r="H30" s="31"/>
      <c r="I30" s="31"/>
      <c r="J30" s="31"/>
      <c r="K30" s="31"/>
      <c r="L30" s="31"/>
      <c r="M30" s="31"/>
      <c r="N30" s="31"/>
      <c r="O30" s="31"/>
      <c r="P30" s="31"/>
      <c r="Q30" s="18"/>
      <c r="R30" s="31"/>
      <c r="S30" s="18"/>
    </row>
    <row r="31" spans="3:19" x14ac:dyDescent="0.5">
      <c r="C31" s="33"/>
      <c r="D31" s="31"/>
      <c r="E31" s="31"/>
      <c r="F31" s="31"/>
      <c r="G31" s="31"/>
      <c r="H31" s="31"/>
      <c r="I31" s="31"/>
      <c r="J31" s="31"/>
      <c r="K31" s="31"/>
      <c r="L31" s="31"/>
      <c r="M31" s="31"/>
      <c r="N31" s="31"/>
      <c r="O31" s="31"/>
      <c r="P31" s="31"/>
      <c r="Q31" s="18"/>
      <c r="R31" s="31"/>
      <c r="S31" s="18"/>
    </row>
    <row r="32" spans="3:19" x14ac:dyDescent="0.5">
      <c r="C32" s="33"/>
      <c r="D32" s="31"/>
      <c r="E32" s="31"/>
      <c r="F32" s="31"/>
      <c r="G32" s="31"/>
      <c r="H32" s="31"/>
      <c r="I32" s="31"/>
      <c r="J32" s="31"/>
      <c r="K32" s="31"/>
      <c r="L32" s="31"/>
      <c r="M32" s="31"/>
      <c r="N32" s="31"/>
      <c r="O32" s="31"/>
      <c r="P32" s="31"/>
      <c r="Q32" s="18"/>
      <c r="R32" s="31"/>
      <c r="S32" s="59"/>
    </row>
    <row r="33" spans="10:19" x14ac:dyDescent="0.5">
      <c r="M33" s="18"/>
      <c r="P33" s="18"/>
      <c r="Q33" s="18"/>
    </row>
    <row r="34" spans="10:19" x14ac:dyDescent="0.5">
      <c r="S34" s="18"/>
    </row>
    <row r="35" spans="10:19" x14ac:dyDescent="0.5">
      <c r="J35" s="18"/>
      <c r="L35" s="18"/>
      <c r="O35" s="18"/>
      <c r="Q35" s="32"/>
    </row>
    <row r="36" spans="10:19" x14ac:dyDescent="0.5">
      <c r="Q36" s="18"/>
    </row>
    <row r="37" spans="10:19" ht="18.75" customHeight="1" x14ac:dyDescent="0.5"/>
    <row r="39" spans="10:19" x14ac:dyDescent="0.5">
      <c r="K39" s="31"/>
      <c r="L39" s="31"/>
      <c r="M39" s="31"/>
      <c r="N39" s="31"/>
      <c r="P39" s="31"/>
    </row>
    <row r="40" spans="10:19" x14ac:dyDescent="0.5">
      <c r="K40" s="31"/>
      <c r="L40" s="18"/>
      <c r="M40" s="31"/>
      <c r="N40" s="31"/>
      <c r="O40" s="18"/>
      <c r="P40" s="31"/>
      <c r="Q40" s="18"/>
    </row>
    <row r="42" spans="10:19" x14ac:dyDescent="0.5">
      <c r="Q42" s="32"/>
    </row>
    <row r="43" spans="10:19" x14ac:dyDescent="0.5">
      <c r="Q43" s="18"/>
    </row>
    <row r="45" spans="10:19" x14ac:dyDescent="0.5">
      <c r="Q45" s="18">
        <f>J22*(1-(((1+D21/100)^10)-1))+J22*(1+E21/100)*(((1+D21/100)^10)-1)-J22</f>
        <v>0</v>
      </c>
    </row>
    <row r="46" spans="10:19" x14ac:dyDescent="0.5">
      <c r="Q46" s="18"/>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B47B-8571-4756-9D95-5F402DC716EC}">
  <dimension ref="C4:F5"/>
  <sheetViews>
    <sheetView workbookViewId="0">
      <selection activeCell="F5" sqref="F5"/>
    </sheetView>
  </sheetViews>
  <sheetFormatPr defaultRowHeight="14.35" x14ac:dyDescent="0.5"/>
  <sheetData>
    <row r="4" spans="3:6" x14ac:dyDescent="0.5">
      <c r="C4" t="s">
        <v>94</v>
      </c>
      <c r="D4">
        <v>140</v>
      </c>
      <c r="F4">
        <f>(1.7-1.4)*D4*D5</f>
        <v>210000.00000000003</v>
      </c>
    </row>
    <row r="5" spans="3:6" x14ac:dyDescent="0.5">
      <c r="C5" t="s">
        <v>149</v>
      </c>
      <c r="D5">
        <v>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0D79C-EC36-4226-8058-736E061840BD}">
  <dimension ref="A1:X44"/>
  <sheetViews>
    <sheetView tabSelected="1" zoomScaleNormal="100" workbookViewId="0">
      <pane xSplit="1" ySplit="1" topLeftCell="G2" activePane="bottomRight" state="frozen"/>
      <selection pane="topRight" activeCell="B1" sqref="B1"/>
      <selection pane="bottomLeft" activeCell="A2" sqref="A2"/>
      <selection pane="bottomRight" activeCell="N5" sqref="N5"/>
    </sheetView>
  </sheetViews>
  <sheetFormatPr defaultRowHeight="14.35" x14ac:dyDescent="0.5"/>
  <cols>
    <col min="1" max="1" width="6.1171875" customWidth="1"/>
    <col min="2" max="2" width="9.52734375" style="13" customWidth="1"/>
    <col min="3" max="3" width="5.3515625" customWidth="1"/>
    <col min="4" max="4" width="15.87890625" customWidth="1"/>
    <col min="5" max="5" width="6.3515625" customWidth="1"/>
    <col min="6" max="6" width="14.87890625" customWidth="1"/>
    <col min="7" max="7" width="10.52734375" customWidth="1"/>
    <col min="8" max="8" width="18.1171875" customWidth="1"/>
    <col min="9" max="9" width="6.52734375" customWidth="1"/>
    <col min="10" max="10" width="14.1171875" customWidth="1"/>
    <col min="11" max="11" width="17.52734375" customWidth="1"/>
    <col min="12" max="12" width="7.87890625" customWidth="1"/>
    <col min="13" max="13" width="14.3515625" customWidth="1"/>
    <col min="14" max="14" width="16.87890625" customWidth="1"/>
    <col min="15" max="15" width="16" customWidth="1"/>
    <col min="16" max="16" width="14.64453125" customWidth="1"/>
    <col min="17" max="17" width="7" style="36" customWidth="1"/>
    <col min="18" max="18" width="11.3515625" customWidth="1"/>
    <col min="19" max="19" width="14.41015625" customWidth="1"/>
    <col min="20" max="20" width="14.87890625" bestFit="1" customWidth="1"/>
    <col min="21" max="21" width="16.1171875" customWidth="1"/>
    <col min="22" max="22" width="13.87890625" bestFit="1" customWidth="1"/>
    <col min="23" max="23" width="14.87890625" bestFit="1" customWidth="1"/>
  </cols>
  <sheetData>
    <row r="1" spans="1:24" ht="28.7" x14ac:dyDescent="0.5">
      <c r="B1" s="37" t="s">
        <v>92</v>
      </c>
      <c r="C1" s="38" t="s">
        <v>93</v>
      </c>
      <c r="D1" s="38" t="s">
        <v>94</v>
      </c>
      <c r="E1" s="38" t="s">
        <v>65</v>
      </c>
      <c r="F1" s="38" t="s">
        <v>95</v>
      </c>
      <c r="G1" s="38" t="s">
        <v>96</v>
      </c>
      <c r="H1" s="38" t="s">
        <v>97</v>
      </c>
      <c r="I1" s="38" t="s">
        <v>98</v>
      </c>
      <c r="J1" s="38" t="s">
        <v>99</v>
      </c>
      <c r="K1" s="79" t="s">
        <v>160</v>
      </c>
      <c r="L1" s="38" t="s">
        <v>100</v>
      </c>
      <c r="M1" s="38" t="s">
        <v>101</v>
      </c>
      <c r="N1" s="79" t="s">
        <v>159</v>
      </c>
      <c r="O1" s="79" t="s">
        <v>158</v>
      </c>
      <c r="P1" s="79" t="s">
        <v>157</v>
      </c>
      <c r="Q1" s="45" t="s">
        <v>119</v>
      </c>
      <c r="R1" t="s">
        <v>126</v>
      </c>
      <c r="S1" t="s">
        <v>127</v>
      </c>
      <c r="T1" s="49" t="s">
        <v>128</v>
      </c>
      <c r="U1" s="58" t="s">
        <v>130</v>
      </c>
    </row>
    <row r="2" spans="1:24" x14ac:dyDescent="0.5">
      <c r="B2" s="13">
        <v>3</v>
      </c>
      <c r="C2">
        <v>30</v>
      </c>
      <c r="K2" s="72"/>
      <c r="N2" s="72"/>
      <c r="O2" s="72"/>
      <c r="P2" s="72"/>
      <c r="T2" s="50"/>
    </row>
    <row r="3" spans="1:24" x14ac:dyDescent="0.5">
      <c r="A3" s="33">
        <v>2020</v>
      </c>
      <c r="B3" s="31">
        <v>0</v>
      </c>
      <c r="C3" s="31"/>
      <c r="D3" s="34">
        <f>calcs!Q169</f>
        <v>3768051.2</v>
      </c>
      <c r="E3" s="31">
        <f>F3/D3</f>
        <v>1.9493439473433904</v>
      </c>
      <c r="F3" s="34">
        <f>calcs!Q197</f>
        <v>7345227.7999999998</v>
      </c>
      <c r="G3" s="31">
        <f>H3/F3</f>
        <v>141.66159922228687</v>
      </c>
      <c r="H3" s="34">
        <f>calcs!Q141*100</f>
        <v>1040536716.8</v>
      </c>
      <c r="I3" s="31">
        <f t="shared" ref="I3:I13" si="0">E$3</f>
        <v>1.9493439473433904</v>
      </c>
      <c r="J3" s="31">
        <f>$D$3-M3</f>
        <v>3768051.2</v>
      </c>
      <c r="K3" s="76">
        <f>J3*(I3*$G$3-$H$8)</f>
        <v>398230101.49135804</v>
      </c>
      <c r="L3" s="31"/>
      <c r="M3" s="31"/>
      <c r="N3" s="74"/>
      <c r="O3" s="72"/>
      <c r="P3" s="78">
        <v>-60000000</v>
      </c>
      <c r="T3" s="48">
        <v>-60000000</v>
      </c>
      <c r="U3" s="48">
        <v>-60000000</v>
      </c>
      <c r="W3" s="18">
        <f t="shared" ref="W3:W13" si="1">T3/1.05^(V3+1)</f>
        <v>-57142857.142857142</v>
      </c>
      <c r="X3">
        <v>1</v>
      </c>
    </row>
    <row r="4" spans="1:24" x14ac:dyDescent="0.5">
      <c r="A4" s="33">
        <v>2021</v>
      </c>
      <c r="B4" s="31"/>
      <c r="C4" s="31"/>
      <c r="D4" s="31"/>
      <c r="E4" s="31"/>
      <c r="F4" s="31"/>
      <c r="G4" s="31"/>
      <c r="H4" s="31"/>
      <c r="I4" s="31">
        <f t="shared" si="0"/>
        <v>1.9493439473433904</v>
      </c>
      <c r="J4" s="31">
        <f t="shared" ref="J4:J13" si="2">$D$3-M4</f>
        <v>3655009.6640000003</v>
      </c>
      <c r="K4" s="73">
        <f>J4*(I4*$G$3-$H$8)</f>
        <v>386283198.44661731</v>
      </c>
      <c r="L4" s="31">
        <f t="shared" ref="L4:L13" si="3">$E$3*(1+$C$2/100)</f>
        <v>2.5341471315464075</v>
      </c>
      <c r="M4" s="31">
        <f t="shared" ref="M4:M13" si="4">J3*($B$2/100)+M3</f>
        <v>113041.53600000001</v>
      </c>
      <c r="N4" s="73">
        <f>M4*(L4*$G$3-$H$9)</f>
        <v>15530973.958162962</v>
      </c>
      <c r="O4" s="75">
        <f t="shared" ref="O4:O12" si="5">(K4+N4)-K$3</f>
        <v>3584070.9134222269</v>
      </c>
      <c r="P4" s="75">
        <v>0</v>
      </c>
      <c r="Q4" s="36">
        <f t="shared" ref="Q4:Q13" si="6">M4/$D$3</f>
        <v>0.03</v>
      </c>
      <c r="R4" s="2">
        <f>0.033*L4*M4*G$3</f>
        <v>1339170.7545216</v>
      </c>
      <c r="S4" s="2">
        <f>O4</f>
        <v>3584070.9134222269</v>
      </c>
      <c r="T4" s="57">
        <f>R4+S4</f>
        <v>4923241.6679438269</v>
      </c>
      <c r="U4" s="18">
        <f>T4/1.05^V4</f>
        <v>4688801.5885179304</v>
      </c>
      <c r="V4">
        <v>1</v>
      </c>
      <c r="W4" s="18">
        <f t="shared" si="1"/>
        <v>4465525.3223980283</v>
      </c>
      <c r="X4">
        <v>2</v>
      </c>
    </row>
    <row r="5" spans="1:24" x14ac:dyDescent="0.5">
      <c r="A5" s="33">
        <v>2022</v>
      </c>
      <c r="B5" s="31"/>
      <c r="C5" s="31"/>
      <c r="D5" s="31"/>
      <c r="E5" s="31"/>
      <c r="F5" s="31"/>
      <c r="G5" s="31"/>
      <c r="H5" s="31"/>
      <c r="I5" s="31">
        <f t="shared" si="0"/>
        <v>1.9493439473433904</v>
      </c>
      <c r="J5" s="31">
        <f t="shared" si="2"/>
        <v>3545359.37408</v>
      </c>
      <c r="K5" s="73">
        <f t="shared" ref="K4:K13" si="7">J5*(I5*$G$3-$H$8)</f>
        <v>374694702.49321872</v>
      </c>
      <c r="L5" s="31">
        <f t="shared" si="3"/>
        <v>2.5341471315464075</v>
      </c>
      <c r="M5" s="31">
        <f t="shared" si="4"/>
        <v>222691.82592000003</v>
      </c>
      <c r="N5" s="73">
        <f t="shared" ref="N5:N13" si="8">M5*(L5*$G$3-$H$9)</f>
        <v>30596018.697581038</v>
      </c>
      <c r="O5" s="75">
        <f t="shared" si="5"/>
        <v>7060619.699441731</v>
      </c>
      <c r="P5" s="75">
        <v>0</v>
      </c>
      <c r="Q5" s="36">
        <f t="shared" si="6"/>
        <v>5.9100000000000007E-2</v>
      </c>
      <c r="R5" s="2">
        <f>0.033*L5*M5*G$3</f>
        <v>2638166.3864075518</v>
      </c>
      <c r="S5" s="2">
        <f t="shared" ref="S5:S13" si="9">O5</f>
        <v>7060619.699441731</v>
      </c>
      <c r="T5" s="57">
        <f t="shared" ref="T5:T13" si="10">R5+S5</f>
        <v>9698786.0858492833</v>
      </c>
      <c r="U5" s="18">
        <f t="shared" ref="U5:U13" si="11">T5/1.05^V5</f>
        <v>8797084.8851240668</v>
      </c>
      <c r="V5">
        <v>2</v>
      </c>
      <c r="W5" s="18">
        <f t="shared" si="1"/>
        <v>8378176.0810705386</v>
      </c>
      <c r="X5">
        <v>3</v>
      </c>
    </row>
    <row r="6" spans="1:24" x14ac:dyDescent="0.5">
      <c r="A6" s="33">
        <v>2023</v>
      </c>
      <c r="B6" s="31"/>
      <c r="C6" s="31"/>
      <c r="D6" s="31"/>
      <c r="E6" s="31"/>
      <c r="F6" s="31"/>
      <c r="G6" s="31"/>
      <c r="H6" s="31"/>
      <c r="I6" s="31">
        <f t="shared" si="0"/>
        <v>1.9493439473433904</v>
      </c>
      <c r="J6" s="31">
        <f t="shared" si="2"/>
        <v>3438998.5928576002</v>
      </c>
      <c r="K6" s="73">
        <f>J6*(I6*$G$3-$H$8)</f>
        <v>363453861.41842222</v>
      </c>
      <c r="L6" s="31">
        <f t="shared" si="3"/>
        <v>2.5341471315464075</v>
      </c>
      <c r="M6" s="31">
        <f t="shared" si="4"/>
        <v>329052.6071424</v>
      </c>
      <c r="N6" s="73">
        <f t="shared" si="8"/>
        <v>45209112.094816566</v>
      </c>
      <c r="O6" s="75">
        <f t="shared" si="5"/>
        <v>10432872.021880746</v>
      </c>
      <c r="P6" s="75">
        <v>0</v>
      </c>
      <c r="Q6" s="36">
        <f t="shared" si="6"/>
        <v>8.7326999999999988E-2</v>
      </c>
      <c r="R6" s="2">
        <f t="shared" ref="R6:R13" si="12">0.033*L6*M6*G$3</f>
        <v>3898192.1493369243</v>
      </c>
      <c r="S6" s="2">
        <f t="shared" si="9"/>
        <v>10432872.021880746</v>
      </c>
      <c r="T6" s="57">
        <f t="shared" si="10"/>
        <v>14331064.171217671</v>
      </c>
      <c r="U6" s="18">
        <f>T6/1.05^V6</f>
        <v>12379712.05806515</v>
      </c>
      <c r="V6">
        <v>3</v>
      </c>
      <c r="W6" s="18">
        <f t="shared" si="1"/>
        <v>11790201.960062049</v>
      </c>
      <c r="X6">
        <v>4</v>
      </c>
    </row>
    <row r="7" spans="1:24" x14ac:dyDescent="0.5">
      <c r="A7" s="33">
        <v>2024</v>
      </c>
      <c r="B7" s="31"/>
      <c r="C7" s="31"/>
      <c r="D7" s="31"/>
      <c r="E7" s="31"/>
      <c r="F7" s="31"/>
      <c r="G7" s="31"/>
      <c r="H7" s="31"/>
      <c r="I7" s="31">
        <f t="shared" si="0"/>
        <v>1.9493439473433904</v>
      </c>
      <c r="J7" s="31">
        <f>$D$3-M7</f>
        <v>3335828.6350718723</v>
      </c>
      <c r="K7" s="73">
        <f t="shared" si="7"/>
        <v>352550245.57586956</v>
      </c>
      <c r="L7" s="31">
        <f t="shared" si="3"/>
        <v>2.5341471315464075</v>
      </c>
      <c r="M7" s="31">
        <f t="shared" si="4"/>
        <v>432222.56492812798</v>
      </c>
      <c r="N7" s="73">
        <f t="shared" si="8"/>
        <v>59383812.690135024</v>
      </c>
      <c r="O7" s="75">
        <f t="shared" si="5"/>
        <v>13703956.774646521</v>
      </c>
      <c r="P7" s="75">
        <v>0</v>
      </c>
      <c r="Q7" s="36">
        <f t="shared" si="6"/>
        <v>0.11470718999999999</v>
      </c>
      <c r="R7" s="2">
        <f t="shared" si="12"/>
        <v>5120417.1393784164</v>
      </c>
      <c r="S7" s="2">
        <f t="shared" si="9"/>
        <v>13703956.774646521</v>
      </c>
      <c r="T7" s="57">
        <f t="shared" si="10"/>
        <v>18824373.914024938</v>
      </c>
      <c r="U7" s="18">
        <f t="shared" si="11"/>
        <v>15486859.005476061</v>
      </c>
      <c r="V7">
        <v>4</v>
      </c>
      <c r="W7" s="18">
        <f t="shared" si="1"/>
        <v>14749389.529024819</v>
      </c>
      <c r="X7">
        <v>5</v>
      </c>
    </row>
    <row r="8" spans="1:24" x14ac:dyDescent="0.5">
      <c r="A8" s="33">
        <v>2025</v>
      </c>
      <c r="B8" s="31"/>
      <c r="C8" s="31"/>
      <c r="D8" s="31"/>
      <c r="E8" s="31"/>
      <c r="F8" s="31"/>
      <c r="G8" s="31" t="s">
        <v>161</v>
      </c>
      <c r="H8" s="31">
        <f>E3*G3/H10</f>
        <v>170.46122284873456</v>
      </c>
      <c r="I8" s="31">
        <f t="shared" si="0"/>
        <v>1.9493439473433904</v>
      </c>
      <c r="J8" s="31">
        <f t="shared" si="2"/>
        <v>3235753.7760197162</v>
      </c>
      <c r="K8" s="73">
        <f>J8*(I8*$G$3-$H$8)</f>
        <v>341973738.20859349</v>
      </c>
      <c r="L8" s="31">
        <f t="shared" si="3"/>
        <v>2.5341471315464075</v>
      </c>
      <c r="M8" s="31">
        <f t="shared" si="4"/>
        <v>532297.42398028413</v>
      </c>
      <c r="N8" s="73">
        <f t="shared" si="8"/>
        <v>73133272.267593935</v>
      </c>
      <c r="O8" s="75">
        <f t="shared" si="5"/>
        <v>16876908.984829366</v>
      </c>
      <c r="P8" s="75">
        <v>0</v>
      </c>
      <c r="Q8" s="36">
        <f t="shared" si="6"/>
        <v>0.14126597429999999</v>
      </c>
      <c r="R8" s="2">
        <f t="shared" si="12"/>
        <v>6305975.3797186632</v>
      </c>
      <c r="S8" s="2">
        <f t="shared" si="9"/>
        <v>16876908.984829366</v>
      </c>
      <c r="T8" s="57">
        <f t="shared" si="10"/>
        <v>23182884.364548028</v>
      </c>
      <c r="U8" s="18">
        <f t="shared" si="11"/>
        <v>18164396.513835892</v>
      </c>
      <c r="V8">
        <v>5</v>
      </c>
      <c r="W8" s="18">
        <f t="shared" si="1"/>
        <v>17299425.25127228</v>
      </c>
      <c r="X8">
        <v>6</v>
      </c>
    </row>
    <row r="9" spans="1:24" x14ac:dyDescent="0.5">
      <c r="A9" s="33">
        <v>2026</v>
      </c>
      <c r="B9" s="31"/>
      <c r="C9" s="31"/>
      <c r="D9" s="31"/>
      <c r="E9" s="31"/>
      <c r="F9" s="31"/>
      <c r="G9" s="31" t="s">
        <v>162</v>
      </c>
      <c r="H9" s="31">
        <f>L4*G3/H10</f>
        <v>221.59958970335495</v>
      </c>
      <c r="I9" s="31">
        <f t="shared" si="0"/>
        <v>1.9493439473433904</v>
      </c>
      <c r="J9" s="31">
        <f t="shared" si="2"/>
        <v>3138681.1627391246</v>
      </c>
      <c r="K9" s="73">
        <f t="shared" si="7"/>
        <v>331714526.06233567</v>
      </c>
      <c r="L9" s="31">
        <f t="shared" si="3"/>
        <v>2.5341471315464075</v>
      </c>
      <c r="M9" s="31">
        <f t="shared" si="4"/>
        <v>629370.03726087557</v>
      </c>
      <c r="N9" s="73">
        <f t="shared" si="8"/>
        <v>86470248.057729065</v>
      </c>
      <c r="O9" s="75">
        <f t="shared" si="5"/>
        <v>19954672.628706694</v>
      </c>
      <c r="P9" s="75">
        <v>0</v>
      </c>
      <c r="Q9" s="36">
        <f t="shared" si="6"/>
        <v>0.16702799507099997</v>
      </c>
      <c r="R9" s="2">
        <f t="shared" si="12"/>
        <v>7455966.8728487035</v>
      </c>
      <c r="S9" s="2">
        <f t="shared" si="9"/>
        <v>19954672.628706694</v>
      </c>
      <c r="T9" s="57">
        <f t="shared" si="10"/>
        <v>27410639.501555398</v>
      </c>
      <c r="U9" s="18">
        <f t="shared" si="11"/>
        <v>20454241.227716774</v>
      </c>
      <c r="V9">
        <v>6</v>
      </c>
      <c r="W9" s="18">
        <f t="shared" si="1"/>
        <v>19480229.740682639</v>
      </c>
      <c r="X9">
        <v>7</v>
      </c>
    </row>
    <row r="10" spans="1:24" x14ac:dyDescent="0.5">
      <c r="A10" s="33">
        <v>2027</v>
      </c>
      <c r="B10" s="31"/>
      <c r="C10" s="31"/>
      <c r="D10" s="31"/>
      <c r="E10" s="31"/>
      <c r="F10" s="31"/>
      <c r="G10" s="31" t="s">
        <v>163</v>
      </c>
      <c r="H10" s="76">
        <v>1.62</v>
      </c>
      <c r="I10" s="31">
        <f t="shared" si="0"/>
        <v>1.9493439473433904</v>
      </c>
      <c r="J10" s="31">
        <f t="shared" si="2"/>
        <v>3044520.7278569508</v>
      </c>
      <c r="K10" s="73">
        <f t="shared" si="7"/>
        <v>321763090.2804656</v>
      </c>
      <c r="L10" s="31">
        <f t="shared" si="3"/>
        <v>2.5341471315464075</v>
      </c>
      <c r="M10" s="31">
        <f t="shared" si="4"/>
        <v>723530.47214304935</v>
      </c>
      <c r="N10" s="73">
        <f t="shared" si="8"/>
        <v>99407114.574160174</v>
      </c>
      <c r="O10" s="75">
        <f t="shared" si="5"/>
        <v>22940103.36326772</v>
      </c>
      <c r="P10" s="75">
        <v>0</v>
      </c>
      <c r="Q10" s="36">
        <f t="shared" si="6"/>
        <v>0.19201715521887</v>
      </c>
      <c r="R10" s="2">
        <f t="shared" si="12"/>
        <v>8571458.6211848427</v>
      </c>
      <c r="S10" s="2">
        <f t="shared" si="9"/>
        <v>22940103.36326772</v>
      </c>
      <c r="T10" s="57">
        <f t="shared" si="10"/>
        <v>31511561.984452561</v>
      </c>
      <c r="U10" s="18">
        <f t="shared" si="11"/>
        <v>22394678.785588514</v>
      </c>
      <c r="V10">
        <v>7</v>
      </c>
      <c r="W10" s="18">
        <f t="shared" si="1"/>
        <v>21328265.510084301</v>
      </c>
      <c r="X10">
        <v>8</v>
      </c>
    </row>
    <row r="11" spans="1:24" x14ac:dyDescent="0.5">
      <c r="A11" s="33">
        <v>2028</v>
      </c>
      <c r="B11" s="31"/>
      <c r="C11" s="31"/>
      <c r="D11" s="31"/>
      <c r="E11" s="31"/>
      <c r="F11" s="31"/>
      <c r="G11" s="31"/>
      <c r="H11" s="31"/>
      <c r="I11" s="31">
        <f t="shared" si="0"/>
        <v>1.9493439473433904</v>
      </c>
      <c r="J11" s="31">
        <f t="shared" si="2"/>
        <v>2953185.1060212422</v>
      </c>
      <c r="K11" s="73">
        <f t="shared" si="7"/>
        <v>312110197.57205158</v>
      </c>
      <c r="L11" s="31">
        <f t="shared" si="3"/>
        <v>2.5341471315464075</v>
      </c>
      <c r="M11" s="31">
        <f t="shared" si="4"/>
        <v>814866.09397875785</v>
      </c>
      <c r="N11" s="73">
        <f t="shared" si="8"/>
        <v>111955875.09509832</v>
      </c>
      <c r="O11" s="75">
        <f t="shared" si="5"/>
        <v>25835971.17579186</v>
      </c>
      <c r="P11" s="75">
        <v>0</v>
      </c>
      <c r="Q11" s="36">
        <f t="shared" si="6"/>
        <v>0.21625664056230387</v>
      </c>
      <c r="R11" s="2">
        <f t="shared" si="12"/>
        <v>9653485.6170708966</v>
      </c>
      <c r="S11" s="2">
        <f t="shared" si="9"/>
        <v>25835971.17579186</v>
      </c>
      <c r="T11" s="57">
        <f t="shared" si="10"/>
        <v>35489456.792862758</v>
      </c>
      <c r="U11" s="18">
        <f t="shared" si="11"/>
        <v>24020661.294425886</v>
      </c>
      <c r="V11">
        <v>8</v>
      </c>
      <c r="W11" s="18">
        <f t="shared" si="1"/>
        <v>22876820.280405607</v>
      </c>
      <c r="X11">
        <v>9</v>
      </c>
    </row>
    <row r="12" spans="1:24" x14ac:dyDescent="0.5">
      <c r="A12" s="33">
        <v>2029</v>
      </c>
      <c r="B12" s="31"/>
      <c r="C12" s="31"/>
      <c r="D12" s="31"/>
      <c r="E12" s="31"/>
      <c r="F12" s="31"/>
      <c r="G12" s="31"/>
      <c r="H12" s="31"/>
      <c r="I12" s="31">
        <f t="shared" si="0"/>
        <v>1.9493439473433904</v>
      </c>
      <c r="J12" s="31">
        <f t="shared" si="2"/>
        <v>2864589.5528406049</v>
      </c>
      <c r="K12" s="73">
        <f t="shared" si="7"/>
        <v>302746891.64489007</v>
      </c>
      <c r="L12" s="31">
        <f t="shared" si="3"/>
        <v>2.5341471315464075</v>
      </c>
      <c r="M12" s="31">
        <f t="shared" si="4"/>
        <v>903461.64715939516</v>
      </c>
      <c r="N12" s="73">
        <f t="shared" si="8"/>
        <v>124128172.80040833</v>
      </c>
      <c r="O12" s="75">
        <f t="shared" si="5"/>
        <v>28644962.953940392</v>
      </c>
      <c r="P12" s="75">
        <v>0</v>
      </c>
      <c r="Q12" s="36">
        <f t="shared" si="6"/>
        <v>0.23976894134543478</v>
      </c>
      <c r="R12" s="2">
        <f t="shared" si="12"/>
        <v>10703051.803080371</v>
      </c>
      <c r="S12" s="2">
        <f t="shared" si="9"/>
        <v>28644962.953940392</v>
      </c>
      <c r="T12" s="57">
        <f t="shared" si="10"/>
        <v>39348014.757020764</v>
      </c>
      <c r="U12" s="18">
        <f t="shared" si="11"/>
        <v>25364081.147845048</v>
      </c>
      <c r="V12">
        <v>9</v>
      </c>
      <c r="W12" s="18">
        <f t="shared" si="1"/>
        <v>24156267.759852428</v>
      </c>
      <c r="X12">
        <v>10</v>
      </c>
    </row>
    <row r="13" spans="1:24" x14ac:dyDescent="0.5">
      <c r="A13" s="33">
        <v>2030</v>
      </c>
      <c r="B13" s="31"/>
      <c r="C13" s="31"/>
      <c r="D13" s="31"/>
      <c r="E13" s="31"/>
      <c r="F13" s="31"/>
      <c r="G13" s="31"/>
      <c r="H13" s="31"/>
      <c r="I13" s="31">
        <f t="shared" si="0"/>
        <v>1.9493439473433904</v>
      </c>
      <c r="J13" s="31">
        <f t="shared" si="2"/>
        <v>2778651.8662553867</v>
      </c>
      <c r="K13" s="73">
        <f t="shared" si="7"/>
        <v>293664484.89554334</v>
      </c>
      <c r="L13" s="31">
        <f t="shared" si="3"/>
        <v>2.5341471315464075</v>
      </c>
      <c r="M13" s="31">
        <f t="shared" si="4"/>
        <v>989399.33374461334</v>
      </c>
      <c r="N13" s="73">
        <f t="shared" si="8"/>
        <v>135935301.57455906</v>
      </c>
      <c r="O13" s="75">
        <f t="shared" ref="O13" si="13">(K13+N13)-K$3</f>
        <v>31369684.978744388</v>
      </c>
      <c r="P13" s="75">
        <v>0</v>
      </c>
      <c r="Q13" s="40">
        <f t="shared" si="6"/>
        <v>0.26257587310507174</v>
      </c>
      <c r="R13" s="2">
        <f t="shared" si="12"/>
        <v>11721131.003509559</v>
      </c>
      <c r="S13" s="2">
        <f t="shared" si="9"/>
        <v>31369684.978744388</v>
      </c>
      <c r="T13" s="57">
        <f t="shared" si="10"/>
        <v>43090815.982253946</v>
      </c>
      <c r="U13" s="18">
        <f t="shared" si="11"/>
        <v>26454023.03739167</v>
      </c>
      <c r="V13">
        <v>10</v>
      </c>
      <c r="W13" s="18">
        <f t="shared" si="1"/>
        <v>25194307.654658731</v>
      </c>
      <c r="X13">
        <v>11</v>
      </c>
    </row>
    <row r="14" spans="1:24" x14ac:dyDescent="0.5">
      <c r="K14" s="18"/>
      <c r="N14" s="18"/>
      <c r="O14" s="18"/>
      <c r="P14" s="18"/>
      <c r="T14" s="47"/>
    </row>
    <row r="15" spans="1:24" x14ac:dyDescent="0.5">
      <c r="R15" s="49" t="s">
        <v>115</v>
      </c>
      <c r="S15" s="54">
        <f>NPV(0.05,T3:T13)</f>
        <v>112575751.94665425</v>
      </c>
      <c r="U15" s="48">
        <f>SUM(U3:U13)</f>
        <v>118204539.54398701</v>
      </c>
      <c r="W15" s="18">
        <f>SUM(W3:W13)</f>
        <v>112575751.94665429</v>
      </c>
    </row>
    <row r="16" spans="1:24" x14ac:dyDescent="0.5">
      <c r="D16" s="80" t="s">
        <v>164</v>
      </c>
      <c r="E16" s="80"/>
      <c r="F16" s="80"/>
      <c r="I16" s="31"/>
      <c r="J16" s="31"/>
      <c r="K16" s="31"/>
      <c r="L16" s="31"/>
      <c r="N16" s="31"/>
      <c r="R16" s="47" t="s">
        <v>116</v>
      </c>
      <c r="S16" s="55">
        <f>IRR(T3:T13,0.1)</f>
        <v>0.25930844497129013</v>
      </c>
      <c r="T16" s="47"/>
      <c r="U16" s="54">
        <f>SUM(T3:T13)/(1+0.05)^10</f>
        <v>115299563.35683219</v>
      </c>
    </row>
    <row r="17" spans="9:22" x14ac:dyDescent="0.5">
      <c r="I17" s="31"/>
      <c r="J17" s="18"/>
      <c r="K17" s="31"/>
      <c r="L17" s="31"/>
      <c r="M17" s="18"/>
      <c r="N17" s="31"/>
      <c r="O17" s="18"/>
      <c r="P17" s="18"/>
      <c r="R17" s="47" t="s">
        <v>117</v>
      </c>
      <c r="S17" s="56">
        <f>NPV(0.05,T4:T13)/ABS(T3)</f>
        <v>2.9700756590664494</v>
      </c>
      <c r="T17" s="47"/>
      <c r="U17" s="56"/>
    </row>
    <row r="19" spans="9:22" x14ac:dyDescent="0.5">
      <c r="O19" s="32"/>
      <c r="P19" s="32"/>
    </row>
    <row r="20" spans="9:22" x14ac:dyDescent="0.5">
      <c r="O20" s="18"/>
      <c r="P20" s="18"/>
      <c r="R20" s="82"/>
      <c r="S20" s="83"/>
      <c r="T20" s="18"/>
      <c r="U20" s="18"/>
    </row>
    <row r="21" spans="9:22" x14ac:dyDescent="0.5">
      <c r="U21" s="18"/>
      <c r="V21" s="18"/>
    </row>
    <row r="22" spans="9:22" x14ac:dyDescent="0.5">
      <c r="O22" s="77"/>
      <c r="P22" s="77"/>
      <c r="U22" s="18"/>
    </row>
    <row r="23" spans="9:22" x14ac:dyDescent="0.5">
      <c r="O23" s="18"/>
      <c r="P23" s="18"/>
      <c r="U23" s="18"/>
    </row>
    <row r="24" spans="9:22" x14ac:dyDescent="0.5">
      <c r="U24" s="18"/>
    </row>
    <row r="25" spans="9:22" x14ac:dyDescent="0.5">
      <c r="U25" s="18"/>
    </row>
    <row r="26" spans="9:22" x14ac:dyDescent="0.5">
      <c r="U26" s="18"/>
    </row>
    <row r="27" spans="9:22" x14ac:dyDescent="0.5">
      <c r="U27" s="18"/>
    </row>
    <row r="28" spans="9:22" x14ac:dyDescent="0.5">
      <c r="U28" s="18"/>
    </row>
    <row r="29" spans="9:22" x14ac:dyDescent="0.5">
      <c r="U29" s="18"/>
    </row>
    <row r="31" spans="9:22" x14ac:dyDescent="0.5">
      <c r="U31" s="18"/>
    </row>
    <row r="33" spans="18:21" x14ac:dyDescent="0.5">
      <c r="R33" s="82"/>
      <c r="S33" s="84"/>
      <c r="T33" s="18"/>
      <c r="U33" s="18"/>
    </row>
    <row r="34" spans="18:21" x14ac:dyDescent="0.5">
      <c r="U34" s="18"/>
    </row>
    <row r="35" spans="18:21" x14ac:dyDescent="0.5">
      <c r="U35" s="18"/>
    </row>
    <row r="36" spans="18:21" x14ac:dyDescent="0.5">
      <c r="U36" s="18"/>
    </row>
    <row r="37" spans="18:21" x14ac:dyDescent="0.5">
      <c r="U37" s="18"/>
    </row>
    <row r="38" spans="18:21" x14ac:dyDescent="0.5">
      <c r="U38" s="18"/>
    </row>
    <row r="39" spans="18:21" x14ac:dyDescent="0.5">
      <c r="U39" s="18"/>
    </row>
    <row r="40" spans="18:21" x14ac:dyDescent="0.5">
      <c r="U40" s="18"/>
    </row>
    <row r="41" spans="18:21" x14ac:dyDescent="0.5">
      <c r="U41" s="18"/>
    </row>
    <row r="42" spans="18:21" x14ac:dyDescent="0.5">
      <c r="U42" s="18"/>
    </row>
    <row r="44" spans="18:21" x14ac:dyDescent="0.5">
      <c r="U44" s="48"/>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57115-AC7C-426F-91A8-1670181B2CB8}">
  <dimension ref="A1:A22"/>
  <sheetViews>
    <sheetView workbookViewId="0">
      <selection activeCell="A13" sqref="A13"/>
    </sheetView>
  </sheetViews>
  <sheetFormatPr defaultRowHeight="14.35" x14ac:dyDescent="0.5"/>
  <sheetData>
    <row r="1" spans="1:1" x14ac:dyDescent="0.5">
      <c r="A1" s="81" t="s">
        <v>165</v>
      </c>
    </row>
    <row r="2" spans="1:1" x14ac:dyDescent="0.5">
      <c r="A2" s="81"/>
    </row>
    <row r="3" spans="1:1" x14ac:dyDescent="0.5">
      <c r="A3" s="81" t="s">
        <v>166</v>
      </c>
    </row>
    <row r="4" spans="1:1" x14ac:dyDescent="0.5">
      <c r="A4" s="81"/>
    </row>
    <row r="5" spans="1:1" x14ac:dyDescent="0.5">
      <c r="A5" s="81" t="s">
        <v>167</v>
      </c>
    </row>
    <row r="6" spans="1:1" x14ac:dyDescent="0.5">
      <c r="A6" s="81"/>
    </row>
    <row r="7" spans="1:1" x14ac:dyDescent="0.5">
      <c r="A7" s="81" t="s">
        <v>177</v>
      </c>
    </row>
    <row r="8" spans="1:1" x14ac:dyDescent="0.5">
      <c r="A8" s="81" t="s">
        <v>168</v>
      </c>
    </row>
    <row r="9" spans="1:1" x14ac:dyDescent="0.5">
      <c r="A9" s="81" t="s">
        <v>169</v>
      </c>
    </row>
    <row r="10" spans="1:1" x14ac:dyDescent="0.5">
      <c r="A10" s="81"/>
    </row>
    <row r="11" spans="1:1" x14ac:dyDescent="0.5">
      <c r="A11" s="81" t="s">
        <v>170</v>
      </c>
    </row>
    <row r="12" spans="1:1" x14ac:dyDescent="0.5">
      <c r="A12" s="81"/>
    </row>
    <row r="13" spans="1:1" x14ac:dyDescent="0.5">
      <c r="A13" s="81" t="s">
        <v>171</v>
      </c>
    </row>
    <row r="14" spans="1:1" x14ac:dyDescent="0.5">
      <c r="A14" s="81"/>
    </row>
    <row r="15" spans="1:1" x14ac:dyDescent="0.5">
      <c r="A15" s="81" t="s">
        <v>172</v>
      </c>
    </row>
    <row r="16" spans="1:1" x14ac:dyDescent="0.5">
      <c r="A16" s="81"/>
    </row>
    <row r="17" spans="1:1" x14ac:dyDescent="0.5">
      <c r="A17" s="81" t="s">
        <v>173</v>
      </c>
    </row>
    <row r="18" spans="1:1" x14ac:dyDescent="0.5">
      <c r="A18" s="81"/>
    </row>
    <row r="19" spans="1:1" x14ac:dyDescent="0.5">
      <c r="A19" s="81" t="s">
        <v>174</v>
      </c>
    </row>
    <row r="20" spans="1:1" x14ac:dyDescent="0.5">
      <c r="A20" s="81"/>
    </row>
    <row r="21" spans="1:1" x14ac:dyDescent="0.5">
      <c r="A21" s="81" t="s">
        <v>175</v>
      </c>
    </row>
    <row r="22" spans="1:1" x14ac:dyDescent="0.5">
      <c r="A22" s="81" t="s">
        <v>176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systems</vt:lpstr>
      <vt:lpstr>calcs</vt:lpstr>
      <vt:lpstr>inv crit</vt:lpstr>
      <vt:lpstr>CIS</vt:lpstr>
      <vt:lpstr>CIS example</vt:lpstr>
      <vt:lpstr>Sheet1</vt:lpstr>
      <vt:lpstr>Jun22 Revision</vt:lpstr>
      <vt:lpstr>Jun22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Thornton, Philip (ILRI)</dc:creator>
  <cp:lastModifiedBy>Pete Steward</cp:lastModifiedBy>
  <dcterms:created xsi:type="dcterms:W3CDTF">2020-07-08T16:40:52Z</dcterms:created>
  <dcterms:modified xsi:type="dcterms:W3CDTF">2022-12-16T09:02:56Z</dcterms:modified>
</cp:coreProperties>
</file>