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IR_\Documents\git\hydro_units_bolivia\inflows\Inflows_all\"/>
    </mc:Choice>
  </mc:AlternateContent>
  <xr:revisionPtr revIDLastSave="0" documentId="13_ncr:1_{F48BE53B-AA61-4366-8719-600BFC880C55}" xr6:coauthVersionLast="47" xr6:coauthVersionMax="47" xr10:uidLastSave="{00000000-0000-0000-0000-000000000000}"/>
  <bookViews>
    <workbookView xWindow="-108" yWindow="-108" windowWidth="23256" windowHeight="12576" tabRatio="524" xr2:uid="{4C1E3A7B-42CD-4CD2-8C85-E2829102D0A1}"/>
  </bookViews>
  <sheets>
    <sheet name="Hoja1" sheetId="1" r:id="rId1"/>
  </sheets>
  <definedNames>
    <definedName name="_xlnm._FilterDatabase" localSheetId="0" hidden="1">Hoja1!$A$1:$X$66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" l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16" i="1"/>
  <c r="AC17" i="1"/>
  <c r="AC18" i="1"/>
  <c r="AC1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2" i="1"/>
  <c r="AA21" i="1"/>
  <c r="AB21" i="1" s="1"/>
  <c r="AA22" i="1"/>
  <c r="AB22" i="1" s="1"/>
  <c r="AA23" i="1"/>
  <c r="AA24" i="1"/>
  <c r="AB24" i="1" s="1"/>
  <c r="AA25" i="1"/>
  <c r="AA26" i="1"/>
  <c r="AA27" i="1"/>
  <c r="AA28" i="1"/>
  <c r="AA29" i="1"/>
  <c r="AB29" i="1" s="1"/>
  <c r="AA30" i="1"/>
  <c r="AB30" i="1" s="1"/>
  <c r="AA31" i="1"/>
  <c r="AB31" i="1" s="1"/>
  <c r="AA32" i="1"/>
  <c r="AB32" i="1" s="1"/>
  <c r="AA33" i="1"/>
  <c r="AA34" i="1"/>
  <c r="AA35" i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A42" i="1"/>
  <c r="AA43" i="1"/>
  <c r="AA44" i="1"/>
  <c r="AA45" i="1"/>
  <c r="AB45" i="1" s="1"/>
  <c r="AA46" i="1"/>
  <c r="AB46" i="1" s="1"/>
  <c r="AA47" i="1"/>
  <c r="AB47" i="1" s="1"/>
  <c r="AA48" i="1"/>
  <c r="AB48" i="1" s="1"/>
  <c r="AA49" i="1"/>
  <c r="AA50" i="1"/>
  <c r="AA51" i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A59" i="1"/>
  <c r="AA60" i="1"/>
  <c r="AA61" i="1"/>
  <c r="AB61" i="1" s="1"/>
  <c r="AA62" i="1"/>
  <c r="AB62" i="1" s="1"/>
  <c r="AA63" i="1"/>
  <c r="AB63" i="1" s="1"/>
  <c r="AA20" i="1"/>
  <c r="AB20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3" i="1"/>
  <c r="AB25" i="1"/>
  <c r="AB26" i="1"/>
  <c r="AB27" i="1"/>
  <c r="AB28" i="1"/>
  <c r="AB33" i="1"/>
  <c r="AB34" i="1"/>
  <c r="AB35" i="1"/>
  <c r="AB41" i="1"/>
  <c r="AB42" i="1"/>
  <c r="AB43" i="1"/>
  <c r="AB44" i="1"/>
  <c r="AB49" i="1"/>
  <c r="AB50" i="1"/>
  <c r="AB51" i="1"/>
  <c r="AB58" i="1"/>
  <c r="AB59" i="1"/>
  <c r="AB60" i="1"/>
  <c r="AB2" i="1"/>
  <c r="M5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2" i="1"/>
  <c r="L24" i="1"/>
  <c r="L29" i="1"/>
  <c r="L47" i="1"/>
  <c r="M56" i="1"/>
  <c r="M55" i="1"/>
  <c r="W38" i="1"/>
  <c r="W33" i="1"/>
  <c r="W32" i="1"/>
  <c r="W25" i="1"/>
  <c r="W20" i="1"/>
  <c r="W49" i="1"/>
  <c r="W45" i="1"/>
  <c r="W46" i="1"/>
  <c r="W35" i="1"/>
  <c r="W44" i="1"/>
  <c r="N31" i="1"/>
  <c r="T31" i="1"/>
  <c r="T30" i="1"/>
  <c r="T29" i="1"/>
  <c r="T24" i="1"/>
  <c r="T25" i="1"/>
  <c r="T26" i="1"/>
  <c r="T23" i="1"/>
  <c r="T16" i="1"/>
  <c r="T15" i="1"/>
  <c r="N15" i="1"/>
  <c r="T14" i="1"/>
  <c r="T13" i="1"/>
  <c r="N11" i="1"/>
  <c r="N10" i="1"/>
  <c r="N9" i="1"/>
  <c r="N12" i="1"/>
  <c r="T12" i="1"/>
  <c r="T11" i="1"/>
  <c r="T10" i="1"/>
  <c r="T9" i="1"/>
  <c r="T7" i="1"/>
  <c r="T6" i="1"/>
  <c r="T8" i="1"/>
  <c r="N5" i="1"/>
  <c r="T5" i="1"/>
  <c r="T4" i="1"/>
  <c r="N4" i="1"/>
  <c r="T3" i="1"/>
  <c r="T2" i="1"/>
  <c r="T22" i="1"/>
  <c r="T21" i="1"/>
  <c r="T20" i="1"/>
  <c r="T28" i="1"/>
  <c r="T27" i="1"/>
  <c r="N28" i="1"/>
  <c r="L28" i="1" s="1"/>
  <c r="N27" i="1"/>
  <c r="L27" i="1" s="1"/>
  <c r="N22" i="1"/>
  <c r="L22" i="1" s="1"/>
  <c r="N23" i="1"/>
  <c r="L23" i="1" s="1"/>
  <c r="N21" i="1"/>
  <c r="W47" i="1" l="1"/>
  <c r="R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VLIR_energy</author>
  </authors>
  <commentList>
    <comment ref="N1" authorId="0" shapeId="0" xr:uid="{000FD12A-CC8A-4A28-B72B-1ED8C744D820}">
      <text>
        <r>
          <rPr>
            <b/>
            <sz val="9"/>
            <color indexed="81"/>
            <rFont val="Tahoma"/>
            <family val="2"/>
          </rPr>
          <t>VLIR_energy:</t>
        </r>
        <r>
          <rPr>
            <sz val="9"/>
            <color indexed="81"/>
            <rFont val="Tahoma"/>
            <family val="2"/>
          </rPr>
          <t xml:space="preserve">
Potencia Efecctiva</t>
        </r>
      </text>
    </comment>
    <comment ref="S1" authorId="0" shapeId="0" xr:uid="{F75F5F6F-3DA8-42D1-A052-473DDA9EF12A}">
      <text>
        <r>
          <rPr>
            <b/>
            <sz val="9"/>
            <color indexed="81"/>
            <rFont val="Tahoma"/>
            <family val="2"/>
          </rPr>
          <t>VLIR_energy:</t>
        </r>
        <r>
          <rPr>
            <sz val="9"/>
            <color indexed="81"/>
            <rFont val="Tahoma"/>
            <family val="2"/>
          </rPr>
          <t xml:space="preserve">
Potencia de la Turbina</t>
        </r>
      </text>
    </comment>
    <comment ref="W21" authorId="0" shapeId="0" xr:uid="{B1843DED-FC06-4A28-AC09-E6D31B380F73}">
      <text>
        <r>
          <rPr>
            <b/>
            <sz val="9"/>
            <color indexed="81"/>
            <rFont val="Tahoma"/>
            <charset val="1"/>
          </rPr>
          <t>VLIR_energy:</t>
        </r>
        <r>
          <rPr>
            <sz val="9"/>
            <color indexed="81"/>
            <rFont val="Tahoma"/>
            <charset val="1"/>
          </rPr>
          <t xml:space="preserve">
Inventado</t>
        </r>
      </text>
    </comment>
    <comment ref="W47" authorId="0" shapeId="0" xr:uid="{5115650E-479A-4E35-A729-EB5BF4E47BC3}">
      <text>
        <r>
          <rPr>
            <b/>
            <sz val="9"/>
            <color indexed="81"/>
            <rFont val="Tahoma"/>
            <charset val="1"/>
          </rPr>
          <t>VLIR_energy:</t>
        </r>
        <r>
          <rPr>
            <sz val="9"/>
            <color indexed="81"/>
            <rFont val="Tahoma"/>
            <charset val="1"/>
          </rPr>
          <t xml:space="preserve">
Estimado
</t>
        </r>
      </text>
    </comment>
    <comment ref="W56" authorId="0" shapeId="0" xr:uid="{C609EBBD-12ED-43E6-8306-4311EB9E4973}">
      <text>
        <r>
          <rPr>
            <b/>
            <sz val="9"/>
            <color indexed="81"/>
            <rFont val="Tahoma"/>
            <charset val="1"/>
          </rPr>
          <t>VLIR_energy:</t>
        </r>
        <r>
          <rPr>
            <sz val="9"/>
            <color indexed="81"/>
            <rFont val="Tahoma"/>
            <charset val="1"/>
          </rPr>
          <t xml:space="preserve">
INVENTADO</t>
        </r>
      </text>
    </comment>
  </commentList>
</comments>
</file>

<file path=xl/sharedStrings.xml><?xml version="1.0" encoding="utf-8"?>
<sst xmlns="http://schemas.openxmlformats.org/spreadsheetml/2006/main" count="613" uniqueCount="196">
  <si>
    <t>Nº</t>
  </si>
  <si>
    <t>City</t>
  </si>
  <si>
    <t>Address</t>
  </si>
  <si>
    <t>River</t>
  </si>
  <si>
    <t>Name</t>
  </si>
  <si>
    <t xml:space="preserve"> Latitude</t>
  </si>
  <si>
    <t xml:space="preserve"> Longitude</t>
  </si>
  <si>
    <t>Status</t>
  </si>
  <si>
    <t>Flow (m3/s)</t>
  </si>
  <si>
    <t>Power (MW)</t>
  </si>
  <si>
    <t>Plant factor (%)</t>
  </si>
  <si>
    <t>Efficiency average of Units (%)</t>
  </si>
  <si>
    <t>Ownership</t>
  </si>
  <si>
    <t>Type of turbine</t>
  </si>
  <si>
    <t># Turbine</t>
  </si>
  <si>
    <t>Power of turbine (MW)</t>
  </si>
  <si>
    <t>CANAHUECAL</t>
  </si>
  <si>
    <t>Reservoir Capacity 
(hm3)</t>
  </si>
  <si>
    <t>Cochabamba</t>
  </si>
  <si>
    <t>Provincia Chapare</t>
  </si>
  <si>
    <t>Ríos paracti y Juntas Corani</t>
  </si>
  <si>
    <t>ICONA</t>
  </si>
  <si>
    <t>Under desing</t>
  </si>
  <si>
    <t>ENDE - Corani</t>
  </si>
  <si>
    <t>Dam height</t>
  </si>
  <si>
    <t>Cochabamba
Santa Cruz</t>
  </si>
  <si>
    <t>Ríos Paracti, Mascota y San Martin</t>
  </si>
  <si>
    <t>BANDA AZUL</t>
  </si>
  <si>
    <t>under construction</t>
  </si>
  <si>
    <t>OKITAS</t>
  </si>
  <si>
    <t>Santa Cruz</t>
  </si>
  <si>
    <t>Rìo Parapetí</t>
  </si>
  <si>
    <t>Under design</t>
  </si>
  <si>
    <t>Provincia Campero</t>
  </si>
  <si>
    <t>Ríos Lope Mendoza, Fuertes e Ivirizu</t>
  </si>
  <si>
    <t>IVIRIZU - SEHUENCAS</t>
  </si>
  <si>
    <t xml:space="preserve">under construction </t>
  </si>
  <si>
    <t>Pelton</t>
  </si>
  <si>
    <t>IVIRIZU - JUNTAS</t>
  </si>
  <si>
    <t>Francis</t>
  </si>
  <si>
    <t>ENDE - Valle Hermoso</t>
  </si>
  <si>
    <t>Chuquisaca
Tarija</t>
  </si>
  <si>
    <t>Provincia Eustaquio Méndez</t>
  </si>
  <si>
    <t>Ríos Tumusla, San Juan y Camblaya</t>
  </si>
  <si>
    <t>ENDE - Valle Hermoso
ENDE - Matriz</t>
  </si>
  <si>
    <t>Potosi
Cochabamba</t>
  </si>
  <si>
    <t>Provincia Charcas
Povincia Mizque</t>
  </si>
  <si>
    <t>Rìo Caine</t>
  </si>
  <si>
    <t>MOLINEROS</t>
  </si>
  <si>
    <t>Chuquisaca</t>
  </si>
  <si>
    <t>Rìo Incahuasi</t>
  </si>
  <si>
    <t>INCAHUASI</t>
  </si>
  <si>
    <t>ENDE - Matriz</t>
  </si>
  <si>
    <t>La Paz</t>
  </si>
  <si>
    <t>Municipio de Ichoca de la provincia Inquisivi</t>
  </si>
  <si>
    <t>Río Coroico</t>
  </si>
  <si>
    <t>MUNECAS</t>
  </si>
  <si>
    <t>INKAPINKINA</t>
  </si>
  <si>
    <t>KIRKI</t>
  </si>
  <si>
    <t>River Chayanta</t>
  </si>
  <si>
    <t>Potosi</t>
  </si>
  <si>
    <t>Uncia Pocoata</t>
  </si>
  <si>
    <t>Chayanta Pocoata</t>
  </si>
  <si>
    <t>Pocoata</t>
  </si>
  <si>
    <t>Under Construction</t>
  </si>
  <si>
    <t>Tarija</t>
  </si>
  <si>
    <t>provincia Eustaquio Méndez, municipio de San Lorenzo</t>
  </si>
  <si>
    <t>Río Casa Cancha y Huacata</t>
  </si>
  <si>
    <t>HUACATA</t>
  </si>
  <si>
    <t>Derretimiento del Glacial Huayna Potosi</t>
  </si>
  <si>
    <t>VALLE DE ZONGO - ZONGO</t>
  </si>
  <si>
    <t>COBEE S.A.</t>
  </si>
  <si>
    <t>Descarga de plantas de Zongo, pequeños ríos y el río Zongo</t>
  </si>
  <si>
    <t>VALLE DE ZONGO - TIQUIMANI</t>
  </si>
  <si>
    <t>VALLE DE ZONGO - BOTIJILACA</t>
  </si>
  <si>
    <t>VALLE DE ZONGO - CUTICUCHO</t>
  </si>
  <si>
    <t>VALLE DE ZONGO - SAINANI</t>
  </si>
  <si>
    <t>VALLE DE ZONGO - CHURURAQUI</t>
  </si>
  <si>
    <t>VALLE DE ZONGO - HARCA</t>
  </si>
  <si>
    <t>VALLE DE ZONGO - CAHUA</t>
  </si>
  <si>
    <t>VALLE DE ZONGO - HUAJI</t>
  </si>
  <si>
    <t>Aguas del glacial el Gigante</t>
  </si>
  <si>
    <t>MIGUILLAS - UMAPALCA</t>
  </si>
  <si>
    <t>Descarga desde la planta Umapalca</t>
  </si>
  <si>
    <t>MIGUILLAS - PALILLADA</t>
  </si>
  <si>
    <t>Ríos Paracty y Malaga</t>
  </si>
  <si>
    <t>SAN JOSE 1</t>
  </si>
  <si>
    <t>In Operation</t>
  </si>
  <si>
    <t>Río Paracti</t>
  </si>
  <si>
    <t>SAN JOSE 2</t>
  </si>
  <si>
    <t>Río Malaga y otros pequeños ríos</t>
  </si>
  <si>
    <t>CORANI</t>
  </si>
  <si>
    <t>Descarga desde la planta Corani</t>
  </si>
  <si>
    <t>SANTA ISABEL</t>
  </si>
  <si>
    <t>Provincia Valle Grande</t>
  </si>
  <si>
    <t>Río Grande</t>
  </si>
  <si>
    <t>ROSITAS</t>
  </si>
  <si>
    <t>ENDE - Corporacion</t>
  </si>
  <si>
    <t>Francis de eje vertical</t>
  </si>
  <si>
    <t>Beni</t>
  </si>
  <si>
    <t>Rìo Beni</t>
  </si>
  <si>
    <t>CACHUELA ESPERANZA</t>
  </si>
  <si>
    <t>Bulbo</t>
  </si>
  <si>
    <t>La Paz
Beni</t>
  </si>
  <si>
    <t>Provincias Abel Iturralde (La Paz) y Gral. Ballivián (Beni)</t>
  </si>
  <si>
    <t>Río Beni</t>
  </si>
  <si>
    <t>EL BALA</t>
  </si>
  <si>
    <t>CHEPETE</t>
  </si>
  <si>
    <t>River Grande</t>
  </si>
  <si>
    <t>LAS JUNTAS</t>
  </si>
  <si>
    <t>OCAMPO</t>
  </si>
  <si>
    <t>PENA BLANCA</t>
  </si>
  <si>
    <t>LA PESCA</t>
  </si>
  <si>
    <t>SERIPOMA</t>
  </si>
  <si>
    <t>SAN JACINTO</t>
  </si>
  <si>
    <t>KANATA</t>
  </si>
  <si>
    <t>Pelthon</t>
  </si>
  <si>
    <t>QUEHATA</t>
  </si>
  <si>
    <t>SDB</t>
  </si>
  <si>
    <t>CHOJLLA</t>
  </si>
  <si>
    <t>YANACACHI</t>
  </si>
  <si>
    <t>HB</t>
  </si>
  <si>
    <t>Rio Misicuni</t>
  </si>
  <si>
    <t>MISICUNI</t>
  </si>
  <si>
    <t>CARRIZAL</t>
  </si>
  <si>
    <t>Provincia Arce</t>
  </si>
  <si>
    <t>Rìo Tarija</t>
  </si>
  <si>
    <t>CAMBARI</t>
  </si>
  <si>
    <t>AMBROSIA</t>
  </si>
  <si>
    <t>Rio Juntas Corani</t>
  </si>
  <si>
    <t>SANTA ROSA 1</t>
  </si>
  <si>
    <t>In Operating</t>
  </si>
  <si>
    <t>Sistema Zongo</t>
  </si>
  <si>
    <t>Sistema Taquesi</t>
  </si>
  <si>
    <t>Sistema Corani</t>
  </si>
  <si>
    <t>Sistema Misicuni</t>
  </si>
  <si>
    <t>MIGUILLA</t>
  </si>
  <si>
    <t>ANGOSTURA</t>
  </si>
  <si>
    <t>CHOQUETANGA</t>
  </si>
  <si>
    <t>CARABUCO</t>
  </si>
  <si>
    <t>Sistema Miguilla</t>
  </si>
  <si>
    <t>Sistema Yura</t>
  </si>
  <si>
    <t>KILPANI</t>
  </si>
  <si>
    <t>LANDARA</t>
  </si>
  <si>
    <t>PUNUTUMA</t>
  </si>
  <si>
    <t>Empresa Río Eléctrico SA
ERESA</t>
  </si>
  <si>
    <t>Different</t>
  </si>
  <si>
    <t>Power of turbine by Units (MW)</t>
  </si>
  <si>
    <t>VALLE DE ZONGO - SANTA ROSA_1</t>
  </si>
  <si>
    <t>VALLE DE ZONGO - SANTA ROSA_2</t>
  </si>
  <si>
    <t>River Yura</t>
  </si>
  <si>
    <t>Township Tamave</t>
  </si>
  <si>
    <t>SYNERGIA S.A.</t>
  </si>
  <si>
    <t>Providence Cercado</t>
  </si>
  <si>
    <t>Aguas PH_Misicuni</t>
  </si>
  <si>
    <t>ENDE Guaracachi S.A.</t>
  </si>
  <si>
    <t>Independent</t>
  </si>
  <si>
    <t xml:space="preserve"> Francis de eje horizontal</t>
  </si>
  <si>
    <t>Municipio de Charagua </t>
  </si>
  <si>
    <t>River Taquesi</t>
  </si>
  <si>
    <t>ProvinceMurillo</t>
  </si>
  <si>
    <t>Province Sur Yungas</t>
  </si>
  <si>
    <t>System</t>
  </si>
  <si>
    <t>Province Inquisivi</t>
  </si>
  <si>
    <t>Province Chapare</t>
  </si>
  <si>
    <t>Province Quillacollo</t>
  </si>
  <si>
    <t>Township Incahuasi</t>
  </si>
  <si>
    <t xml:space="preserve">VILLA JORKA </t>
  </si>
  <si>
    <t>PH Juntas Corani</t>
  </si>
  <si>
    <t>Complejo Hidroelectrico Rìo Grande</t>
  </si>
  <si>
    <t>JATUN PAMPA</t>
  </si>
  <si>
    <t>PH_El Bala</t>
  </si>
  <si>
    <t>PH_Rìo Chayanta</t>
  </si>
  <si>
    <t>River Tolomosa, Tolomosita, Mena and la Vitoria</t>
  </si>
  <si>
    <t xml:space="preserve">CHIUTA </t>
  </si>
  <si>
    <t>Reservoir Capacity TOTAL
(hm3)</t>
  </si>
  <si>
    <t>Reservoir Capacity Useful
(hm3)</t>
  </si>
  <si>
    <t>Falls down (M)</t>
  </si>
  <si>
    <t>PH_Rio Parapeti</t>
  </si>
  <si>
    <t>ENDE Guaracachi S.A</t>
  </si>
  <si>
    <t>SARARENDA</t>
  </si>
  <si>
    <t>SANTA RITA</t>
  </si>
  <si>
    <t>CARRIZAL_2</t>
  </si>
  <si>
    <t>CARRIZAL_3</t>
  </si>
  <si>
    <t>Ríos Lopez Mendoza, e Ivirizu</t>
  </si>
  <si>
    <t>ZONE</t>
  </si>
  <si>
    <t>NO</t>
  </si>
  <si>
    <t>CE</t>
  </si>
  <si>
    <t>SU</t>
  </si>
  <si>
    <t>OR</t>
  </si>
  <si>
    <t>Technology</t>
  </si>
  <si>
    <t>STOCapacity</t>
  </si>
  <si>
    <t>Efficiency</t>
  </si>
  <si>
    <t>HDAM</t>
  </si>
  <si>
    <t>HROR</t>
  </si>
  <si>
    <t>Empty Storage 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</si>
</sst>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0" borderId="0" xfId="0" applyFont="1"/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2" fontId="5" fillId="0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2239-F452-4618-ABB0-89860B2A87C9}">
  <dimension ref="A1:AC63"/>
  <sheetViews>
    <sheetView tabSelected="1" zoomScale="55" zoomScaleNormal="55" workbookViewId="0">
      <pane ySplit="1" topLeftCell="A41" activePane="bottomLeft" state="frozen"/>
      <selection activeCell="P1" sqref="P1"/>
      <selection pane="bottomLeft" activeCell="L47" sqref="L47:L48"/>
    </sheetView>
  </sheetViews>
  <sheetFormatPr baseColWidth="10" defaultRowHeight="13.8" x14ac:dyDescent="0.3"/>
  <cols>
    <col min="1" max="3" width="9.21875" style="9" customWidth="1"/>
    <col min="4" max="4" width="12.5546875" style="9" customWidth="1"/>
    <col min="5" max="5" width="11.21875" style="9" customWidth="1"/>
    <col min="6" max="6" width="25.44140625" style="10" customWidth="1"/>
    <col min="7" max="7" width="20.77734375" style="10" customWidth="1"/>
    <col min="8" max="8" width="9.21875" style="9" customWidth="1"/>
    <col min="9" max="9" width="12.44140625" style="9" customWidth="1"/>
    <col min="10" max="10" width="9.21875" style="9" customWidth="1"/>
    <col min="11" max="11" width="12.88671875" style="9" customWidth="1"/>
    <col min="12" max="15" width="9.21875" style="9" customWidth="1"/>
    <col min="16" max="16" width="12.6640625" style="9" customWidth="1"/>
    <col min="17" max="22" width="9.21875" style="9" customWidth="1"/>
    <col min="23" max="23" width="12.109375" style="9" customWidth="1"/>
    <col min="24" max="24" width="11.5546875" style="9"/>
    <col min="25" max="25" width="12.44140625" style="9" customWidth="1"/>
    <col min="26" max="26" width="11.5546875" style="9"/>
    <col min="27" max="27" width="20.33203125" style="9" customWidth="1"/>
    <col min="28" max="28" width="20.44140625" style="9" customWidth="1"/>
    <col min="29" max="16384" width="11.5546875" style="9"/>
  </cols>
  <sheetData>
    <row r="1" spans="1:29" s="14" customFormat="1" ht="55.2" customHeight="1" x14ac:dyDescent="0.3">
      <c r="A1" s="1" t="s">
        <v>0</v>
      </c>
      <c r="B1" s="1" t="s">
        <v>1</v>
      </c>
      <c r="C1" s="1" t="s">
        <v>2</v>
      </c>
      <c r="D1" s="1" t="s">
        <v>162</v>
      </c>
      <c r="E1" s="1" t="s">
        <v>3</v>
      </c>
      <c r="F1" s="1" t="s">
        <v>4</v>
      </c>
      <c r="G1" s="1" t="s">
        <v>185</v>
      </c>
      <c r="H1" s="1" t="s">
        <v>5</v>
      </c>
      <c r="I1" s="1" t="s">
        <v>6</v>
      </c>
      <c r="J1" s="29" t="s">
        <v>190</v>
      </c>
      <c r="K1" s="1" t="s">
        <v>7</v>
      </c>
      <c r="L1" s="1" t="s">
        <v>8</v>
      </c>
      <c r="M1" s="1" t="s">
        <v>177</v>
      </c>
      <c r="N1" s="31" t="s">
        <v>9</v>
      </c>
      <c r="O1" s="1" t="s">
        <v>10</v>
      </c>
      <c r="P1" s="1" t="s">
        <v>11</v>
      </c>
      <c r="Q1" s="1" t="s">
        <v>13</v>
      </c>
      <c r="R1" s="1" t="s">
        <v>14</v>
      </c>
      <c r="S1" s="1" t="s">
        <v>147</v>
      </c>
      <c r="T1" s="1" t="s">
        <v>15</v>
      </c>
      <c r="U1" s="1" t="s">
        <v>175</v>
      </c>
      <c r="V1" s="1" t="s">
        <v>176</v>
      </c>
      <c r="W1" s="1" t="s">
        <v>17</v>
      </c>
      <c r="X1" s="11" t="s">
        <v>24</v>
      </c>
      <c r="Y1" s="1" t="s">
        <v>12</v>
      </c>
      <c r="Z1" s="42" t="s">
        <v>192</v>
      </c>
      <c r="AA1" s="30" t="s">
        <v>191</v>
      </c>
      <c r="AB1" s="1" t="s">
        <v>195</v>
      </c>
    </row>
    <row r="2" spans="1:29" s="15" customFormat="1" ht="25.8" customHeight="1" x14ac:dyDescent="0.3">
      <c r="A2" s="2">
        <v>1</v>
      </c>
      <c r="B2" s="2" t="s">
        <v>60</v>
      </c>
      <c r="C2" s="2" t="s">
        <v>160</v>
      </c>
      <c r="D2" s="2" t="s">
        <v>132</v>
      </c>
      <c r="E2" s="2" t="s">
        <v>69</v>
      </c>
      <c r="F2" s="1" t="s">
        <v>70</v>
      </c>
      <c r="G2" s="1" t="s">
        <v>186</v>
      </c>
      <c r="H2" s="2">
        <v>-16.280186</v>
      </c>
      <c r="I2" s="2">
        <v>-68.122296000000006</v>
      </c>
      <c r="J2" s="2" t="s">
        <v>193</v>
      </c>
      <c r="K2" s="2" t="s">
        <v>131</v>
      </c>
      <c r="L2" s="2">
        <v>0.37</v>
      </c>
      <c r="M2" s="2">
        <v>379</v>
      </c>
      <c r="N2" s="2">
        <v>11</v>
      </c>
      <c r="O2" s="3"/>
      <c r="P2" s="3"/>
      <c r="Q2" s="2" t="s">
        <v>37</v>
      </c>
      <c r="R2" s="2">
        <v>1</v>
      </c>
      <c r="S2" s="2">
        <v>10.8</v>
      </c>
      <c r="T2" s="2">
        <f>+S2*R2</f>
        <v>10.8</v>
      </c>
      <c r="U2" s="2">
        <v>3.6</v>
      </c>
      <c r="V2" s="2">
        <v>3.6</v>
      </c>
      <c r="W2" s="2">
        <v>3.0590000000000002</v>
      </c>
      <c r="X2" s="12"/>
      <c r="Y2" s="2" t="s">
        <v>71</v>
      </c>
      <c r="Z2" s="39">
        <f>+IF(O2="",0.85,O2)</f>
        <v>0.85</v>
      </c>
      <c r="AA2" s="40">
        <f>IF(W2="","",ROUND(1019*9.81*M2*(W2*1000000)*0.000001/3600,2))</f>
        <v>3219.28</v>
      </c>
      <c r="AB2" s="41">
        <f>IF(AA2="","",AA2/(N2*24))</f>
        <v>12.194242424242425</v>
      </c>
      <c r="AC2" s="15">
        <f>IF(AA2="","",AA2/N2)</f>
        <v>292.66181818181821</v>
      </c>
    </row>
    <row r="3" spans="1:29" s="15" customFormat="1" ht="25.8" customHeight="1" x14ac:dyDescent="0.3">
      <c r="A3" s="2">
        <v>2</v>
      </c>
      <c r="B3" s="2" t="s">
        <v>60</v>
      </c>
      <c r="C3" s="2" t="s">
        <v>160</v>
      </c>
      <c r="D3" s="2" t="s">
        <v>132</v>
      </c>
      <c r="E3" s="2" t="s">
        <v>72</v>
      </c>
      <c r="F3" s="1" t="s">
        <v>73</v>
      </c>
      <c r="G3" s="1" t="s">
        <v>186</v>
      </c>
      <c r="H3" s="2">
        <v>-16.207193</v>
      </c>
      <c r="I3" s="2">
        <v>-68.123644999999996</v>
      </c>
      <c r="J3" s="2" t="s">
        <v>194</v>
      </c>
      <c r="K3" s="2" t="s">
        <v>131</v>
      </c>
      <c r="L3" s="2">
        <v>0.18</v>
      </c>
      <c r="M3" s="2">
        <v>513</v>
      </c>
      <c r="N3" s="2">
        <v>9.6999999999999993</v>
      </c>
      <c r="O3" s="2"/>
      <c r="P3" s="2"/>
      <c r="Q3" s="2" t="s">
        <v>37</v>
      </c>
      <c r="R3" s="2">
        <v>1</v>
      </c>
      <c r="S3" s="2">
        <v>9.6</v>
      </c>
      <c r="T3" s="2">
        <f>+S3*R3</f>
        <v>9.6</v>
      </c>
      <c r="U3" s="2">
        <v>6.4109999999999993E-6</v>
      </c>
      <c r="V3" s="2">
        <v>6.4109999999999996</v>
      </c>
      <c r="W3" s="2">
        <v>6.125</v>
      </c>
      <c r="X3" s="12"/>
      <c r="Y3" s="2" t="s">
        <v>71</v>
      </c>
      <c r="Z3" s="39">
        <f t="shared" ref="Z3:Z63" si="0">+IF(O3="",0.85,O3)</f>
        <v>0.85</v>
      </c>
      <c r="AA3" s="40">
        <f t="shared" ref="AA3:AA63" si="1">IF(W3="","",ROUND(1019*9.81*M3*(W3*1000000)*0.000001/3600,2))</f>
        <v>8724.9699999999993</v>
      </c>
      <c r="AB3" s="41">
        <f t="shared" ref="AB3:AB63" si="2">IF(AA3="","",AA3/(N3*24))</f>
        <v>37.47839347079038</v>
      </c>
      <c r="AC3" s="15">
        <f t="shared" ref="AC3:AC63" si="3">IF(AA3="","",AA3/N3)</f>
        <v>899.48144329896911</v>
      </c>
    </row>
    <row r="4" spans="1:29" s="15" customFormat="1" ht="25.8" customHeight="1" x14ac:dyDescent="0.3">
      <c r="A4" s="2">
        <v>3</v>
      </c>
      <c r="B4" s="2" t="s">
        <v>60</v>
      </c>
      <c r="C4" s="2" t="s">
        <v>160</v>
      </c>
      <c r="D4" s="2" t="s">
        <v>132</v>
      </c>
      <c r="E4" s="2" t="s">
        <v>72</v>
      </c>
      <c r="F4" s="1" t="s">
        <v>74</v>
      </c>
      <c r="G4" s="1" t="s">
        <v>186</v>
      </c>
      <c r="H4" s="2">
        <v>-16.192387</v>
      </c>
      <c r="I4" s="2">
        <v>-68.140777999999997</v>
      </c>
      <c r="J4" s="2" t="s">
        <v>194</v>
      </c>
      <c r="K4" s="2" t="s">
        <v>131</v>
      </c>
      <c r="L4" s="2">
        <v>1.31</v>
      </c>
      <c r="M4" s="2">
        <v>383</v>
      </c>
      <c r="N4" s="2">
        <f>1.9+1.5+3.4</f>
        <v>6.8</v>
      </c>
      <c r="O4" s="2"/>
      <c r="P4" s="2"/>
      <c r="Q4" s="2" t="s">
        <v>37</v>
      </c>
      <c r="R4" s="2">
        <v>3</v>
      </c>
      <c r="S4" s="2" t="s">
        <v>146</v>
      </c>
      <c r="T4" s="2">
        <f>2.2+1.5+3.2</f>
        <v>6.9</v>
      </c>
      <c r="U4" s="2"/>
      <c r="V4" s="2"/>
      <c r="W4" s="2"/>
      <c r="X4" s="12"/>
      <c r="Y4" s="2" t="s">
        <v>71</v>
      </c>
      <c r="Z4" s="39">
        <f t="shared" si="0"/>
        <v>0.85</v>
      </c>
      <c r="AA4" s="2" t="str">
        <f t="shared" si="1"/>
        <v/>
      </c>
      <c r="AB4" s="39" t="str">
        <f t="shared" si="2"/>
        <v/>
      </c>
      <c r="AC4" s="15" t="str">
        <f t="shared" si="3"/>
        <v/>
      </c>
    </row>
    <row r="5" spans="1:29" s="15" customFormat="1" ht="25.8" customHeight="1" x14ac:dyDescent="0.3">
      <c r="A5" s="2">
        <v>4</v>
      </c>
      <c r="B5" s="2" t="s">
        <v>60</v>
      </c>
      <c r="C5" s="2" t="s">
        <v>160</v>
      </c>
      <c r="D5" s="2" t="s">
        <v>132</v>
      </c>
      <c r="E5" s="2" t="s">
        <v>72</v>
      </c>
      <c r="F5" s="1" t="s">
        <v>75</v>
      </c>
      <c r="G5" s="1" t="s">
        <v>186</v>
      </c>
      <c r="H5" s="2">
        <v>-16.142104</v>
      </c>
      <c r="I5" s="2">
        <v>-68.116080999999994</v>
      </c>
      <c r="J5" s="2" t="s">
        <v>194</v>
      </c>
      <c r="K5" s="2" t="s">
        <v>87</v>
      </c>
      <c r="L5" s="2">
        <v>0.23</v>
      </c>
      <c r="M5" s="2">
        <v>668</v>
      </c>
      <c r="N5" s="2">
        <f>2.5+2.4+2.3+1.5+14.3</f>
        <v>23</v>
      </c>
      <c r="O5" s="2"/>
      <c r="P5" s="2"/>
      <c r="Q5" s="2" t="s">
        <v>37</v>
      </c>
      <c r="R5" s="2">
        <v>5</v>
      </c>
      <c r="S5" s="2" t="s">
        <v>146</v>
      </c>
      <c r="T5" s="2">
        <f>2.7+2.4+2.4+1.5+13</f>
        <v>22</v>
      </c>
      <c r="U5" s="2"/>
      <c r="V5" s="2"/>
      <c r="W5" s="2"/>
      <c r="X5" s="12"/>
      <c r="Y5" s="2" t="s">
        <v>71</v>
      </c>
      <c r="Z5" s="39">
        <f t="shared" si="0"/>
        <v>0.85</v>
      </c>
      <c r="AA5" s="2" t="str">
        <f t="shared" si="1"/>
        <v/>
      </c>
      <c r="AB5" s="39" t="str">
        <f t="shared" si="2"/>
        <v/>
      </c>
      <c r="AC5" s="15" t="str">
        <f t="shared" si="3"/>
        <v/>
      </c>
    </row>
    <row r="6" spans="1:29" s="15" customFormat="1" ht="25.8" customHeight="1" x14ac:dyDescent="0.3">
      <c r="A6" s="2">
        <v>5</v>
      </c>
      <c r="B6" s="2" t="s">
        <v>60</v>
      </c>
      <c r="C6" s="2" t="s">
        <v>160</v>
      </c>
      <c r="D6" s="2" t="s">
        <v>132</v>
      </c>
      <c r="E6" s="2" t="s">
        <v>72</v>
      </c>
      <c r="F6" s="1" t="s">
        <v>148</v>
      </c>
      <c r="G6" s="1" t="s">
        <v>186</v>
      </c>
      <c r="H6" s="2">
        <v>-16.131703000000002</v>
      </c>
      <c r="I6" s="2">
        <v>-68.109686999999994</v>
      </c>
      <c r="J6" s="2" t="s">
        <v>194</v>
      </c>
      <c r="K6" s="2" t="s">
        <v>87</v>
      </c>
      <c r="L6" s="2">
        <v>0.27</v>
      </c>
      <c r="M6" s="2">
        <v>187.5</v>
      </c>
      <c r="N6" s="2">
        <v>6.9</v>
      </c>
      <c r="O6" s="2"/>
      <c r="P6" s="2"/>
      <c r="Q6" s="2" t="s">
        <v>39</v>
      </c>
      <c r="R6" s="2">
        <v>1</v>
      </c>
      <c r="S6" s="2">
        <v>6.9</v>
      </c>
      <c r="T6" s="2">
        <f>+S6*R6</f>
        <v>6.9</v>
      </c>
      <c r="U6" s="2"/>
      <c r="V6" s="2"/>
      <c r="W6" s="2"/>
      <c r="X6" s="12"/>
      <c r="Y6" s="2" t="s">
        <v>71</v>
      </c>
      <c r="Z6" s="39">
        <f t="shared" si="0"/>
        <v>0.85</v>
      </c>
      <c r="AA6" s="2" t="str">
        <f t="shared" si="1"/>
        <v/>
      </c>
      <c r="AB6" s="39" t="str">
        <f t="shared" si="2"/>
        <v/>
      </c>
      <c r="AC6" s="15" t="str">
        <f t="shared" si="3"/>
        <v/>
      </c>
    </row>
    <row r="7" spans="1:29" s="15" customFormat="1" ht="25.8" customHeight="1" x14ac:dyDescent="0.3">
      <c r="A7" s="2">
        <v>6</v>
      </c>
      <c r="B7" s="2" t="s">
        <v>60</v>
      </c>
      <c r="C7" s="2" t="s">
        <v>160</v>
      </c>
      <c r="D7" s="2" t="s">
        <v>132</v>
      </c>
      <c r="E7" s="2" t="s">
        <v>72</v>
      </c>
      <c r="F7" s="1" t="s">
        <v>149</v>
      </c>
      <c r="G7" s="1" t="s">
        <v>186</v>
      </c>
      <c r="H7" s="2">
        <v>-16.131703000000002</v>
      </c>
      <c r="I7" s="2">
        <v>-68.109686999999994</v>
      </c>
      <c r="J7" s="2" t="s">
        <v>193</v>
      </c>
      <c r="K7" s="2" t="s">
        <v>87</v>
      </c>
      <c r="L7" s="2">
        <v>0.33</v>
      </c>
      <c r="M7" s="2">
        <v>836.2</v>
      </c>
      <c r="N7" s="2">
        <v>10.7</v>
      </c>
      <c r="O7" s="2"/>
      <c r="P7" s="2"/>
      <c r="Q7" s="2" t="s">
        <v>37</v>
      </c>
      <c r="R7" s="2">
        <v>1</v>
      </c>
      <c r="S7" s="2">
        <v>10.5</v>
      </c>
      <c r="T7" s="2">
        <f>+S7*R7</f>
        <v>10.5</v>
      </c>
      <c r="U7" s="2"/>
      <c r="V7" s="2"/>
      <c r="W7" s="2">
        <v>0.44500000000000001</v>
      </c>
      <c r="X7" s="12"/>
      <c r="Y7" s="2" t="s">
        <v>71</v>
      </c>
      <c r="Z7" s="39">
        <f t="shared" si="0"/>
        <v>0.85</v>
      </c>
      <c r="AA7" s="40">
        <f t="shared" si="1"/>
        <v>1033.26</v>
      </c>
      <c r="AB7" s="41">
        <f t="shared" si="2"/>
        <v>4.0235981308411226</v>
      </c>
      <c r="AC7" s="15">
        <f t="shared" si="3"/>
        <v>96.566355140186928</v>
      </c>
    </row>
    <row r="8" spans="1:29" s="15" customFormat="1" ht="25.8" customHeight="1" x14ac:dyDescent="0.3">
      <c r="A8" s="2">
        <v>7</v>
      </c>
      <c r="B8" s="2" t="s">
        <v>60</v>
      </c>
      <c r="C8" s="2" t="s">
        <v>160</v>
      </c>
      <c r="D8" s="2" t="s">
        <v>132</v>
      </c>
      <c r="E8" s="2" t="s">
        <v>72</v>
      </c>
      <c r="F8" s="1" t="s">
        <v>76</v>
      </c>
      <c r="G8" s="1" t="s">
        <v>186</v>
      </c>
      <c r="H8" s="2">
        <v>-16.123923999999999</v>
      </c>
      <c r="I8" s="2">
        <v>-68.090125</v>
      </c>
      <c r="J8" s="2" t="s">
        <v>194</v>
      </c>
      <c r="K8" s="2" t="s">
        <v>87</v>
      </c>
      <c r="L8" s="2">
        <v>0.45</v>
      </c>
      <c r="M8" s="2">
        <v>291</v>
      </c>
      <c r="N8" s="2">
        <v>10.5</v>
      </c>
      <c r="O8" s="2"/>
      <c r="P8" s="2"/>
      <c r="Q8" s="2" t="s">
        <v>37</v>
      </c>
      <c r="R8" s="2">
        <v>1</v>
      </c>
      <c r="S8" s="2">
        <v>11.6</v>
      </c>
      <c r="T8" s="2">
        <f>+R8*S8</f>
        <v>11.6</v>
      </c>
      <c r="U8" s="2"/>
      <c r="V8" s="2"/>
      <c r="W8" s="2"/>
      <c r="X8" s="12"/>
      <c r="Y8" s="2" t="s">
        <v>71</v>
      </c>
      <c r="Z8" s="39">
        <f t="shared" si="0"/>
        <v>0.85</v>
      </c>
      <c r="AA8" s="2" t="str">
        <f t="shared" si="1"/>
        <v/>
      </c>
      <c r="AB8" s="39" t="str">
        <f t="shared" si="2"/>
        <v/>
      </c>
      <c r="AC8" s="15" t="str">
        <f t="shared" si="3"/>
        <v/>
      </c>
    </row>
    <row r="9" spans="1:29" s="15" customFormat="1" ht="25.8" customHeight="1" x14ac:dyDescent="0.3">
      <c r="A9" s="2">
        <v>8</v>
      </c>
      <c r="B9" s="2" t="s">
        <v>60</v>
      </c>
      <c r="C9" s="2" t="s">
        <v>160</v>
      </c>
      <c r="D9" s="2" t="s">
        <v>132</v>
      </c>
      <c r="E9" s="2" t="s">
        <v>72</v>
      </c>
      <c r="F9" s="1" t="s">
        <v>77</v>
      </c>
      <c r="G9" s="1" t="s">
        <v>186</v>
      </c>
      <c r="H9" s="2">
        <v>-16.107182000000002</v>
      </c>
      <c r="I9" s="2">
        <v>-68.071036000000007</v>
      </c>
      <c r="J9" s="2" t="s">
        <v>194</v>
      </c>
      <c r="K9" s="2" t="s">
        <v>87</v>
      </c>
      <c r="L9" s="2">
        <v>1.5</v>
      </c>
      <c r="M9" s="2">
        <v>375</v>
      </c>
      <c r="N9" s="2">
        <f>13.2+12.2</f>
        <v>25.4</v>
      </c>
      <c r="O9" s="2"/>
      <c r="P9" s="2"/>
      <c r="Q9" s="2" t="s">
        <v>37</v>
      </c>
      <c r="R9" s="2">
        <v>2</v>
      </c>
      <c r="S9" s="2">
        <v>13.3</v>
      </c>
      <c r="T9" s="2">
        <f>+R9*S9</f>
        <v>26.6</v>
      </c>
      <c r="U9" s="2"/>
      <c r="V9" s="2"/>
      <c r="W9" s="2"/>
      <c r="X9" s="12"/>
      <c r="Y9" s="2" t="s">
        <v>71</v>
      </c>
      <c r="Z9" s="39">
        <f t="shared" si="0"/>
        <v>0.85</v>
      </c>
      <c r="AA9" s="2" t="str">
        <f t="shared" si="1"/>
        <v/>
      </c>
      <c r="AB9" s="39" t="str">
        <f t="shared" si="2"/>
        <v/>
      </c>
      <c r="AC9" s="15" t="str">
        <f t="shared" si="3"/>
        <v/>
      </c>
    </row>
    <row r="10" spans="1:29" s="15" customFormat="1" ht="25.8" customHeight="1" x14ac:dyDescent="0.3">
      <c r="A10" s="2">
        <v>9</v>
      </c>
      <c r="B10" s="2" t="s">
        <v>60</v>
      </c>
      <c r="C10" s="2" t="s">
        <v>160</v>
      </c>
      <c r="D10" s="2" t="s">
        <v>132</v>
      </c>
      <c r="E10" s="2" t="s">
        <v>72</v>
      </c>
      <c r="F10" s="1" t="s">
        <v>78</v>
      </c>
      <c r="G10" s="1" t="s">
        <v>186</v>
      </c>
      <c r="H10" s="2">
        <v>-16.088616999999999</v>
      </c>
      <c r="I10" s="2">
        <v>-68.044599000000005</v>
      </c>
      <c r="J10" s="2" t="s">
        <v>194</v>
      </c>
      <c r="K10" s="2" t="s">
        <v>87</v>
      </c>
      <c r="L10" s="2">
        <v>0.85</v>
      </c>
      <c r="M10" s="2">
        <v>345</v>
      </c>
      <c r="N10" s="2">
        <f>13.5+12.3</f>
        <v>25.8</v>
      </c>
      <c r="O10" s="2"/>
      <c r="P10" s="2"/>
      <c r="Q10" s="2" t="s">
        <v>37</v>
      </c>
      <c r="R10" s="2">
        <v>2</v>
      </c>
      <c r="S10" s="2">
        <v>12.5</v>
      </c>
      <c r="T10" s="2">
        <f>+R10*S10</f>
        <v>25</v>
      </c>
      <c r="U10" s="2"/>
      <c r="V10" s="2"/>
      <c r="W10" s="2"/>
      <c r="X10" s="12"/>
      <c r="Y10" s="2" t="s">
        <v>71</v>
      </c>
      <c r="Z10" s="39">
        <f t="shared" si="0"/>
        <v>0.85</v>
      </c>
      <c r="AA10" s="2" t="str">
        <f t="shared" si="1"/>
        <v/>
      </c>
      <c r="AB10" s="39" t="str">
        <f t="shared" si="2"/>
        <v/>
      </c>
      <c r="AC10" s="15" t="str">
        <f t="shared" si="3"/>
        <v/>
      </c>
    </row>
    <row r="11" spans="1:29" s="15" customFormat="1" ht="25.8" customHeight="1" x14ac:dyDescent="0.3">
      <c r="A11" s="2">
        <v>10</v>
      </c>
      <c r="B11" s="2" t="s">
        <v>60</v>
      </c>
      <c r="C11" s="2" t="s">
        <v>160</v>
      </c>
      <c r="D11" s="2" t="s">
        <v>132</v>
      </c>
      <c r="E11" s="2" t="s">
        <v>72</v>
      </c>
      <c r="F11" s="1" t="s">
        <v>79</v>
      </c>
      <c r="G11" s="1" t="s">
        <v>186</v>
      </c>
      <c r="H11" s="2">
        <v>-16.056248</v>
      </c>
      <c r="I11" s="2">
        <v>-68.014534999999995</v>
      </c>
      <c r="J11" s="2" t="s">
        <v>194</v>
      </c>
      <c r="K11" s="2" t="s">
        <v>87</v>
      </c>
      <c r="L11" s="2">
        <v>1.01</v>
      </c>
      <c r="M11" s="2">
        <v>285</v>
      </c>
      <c r="N11" s="2">
        <f>13.7+14.4</f>
        <v>28.1</v>
      </c>
      <c r="O11" s="2"/>
      <c r="P11" s="2"/>
      <c r="Q11" s="2" t="s">
        <v>37</v>
      </c>
      <c r="R11" s="2">
        <v>2</v>
      </c>
      <c r="S11" s="2">
        <v>13.3</v>
      </c>
      <c r="T11" s="2">
        <f>+S11*R11</f>
        <v>26.6</v>
      </c>
      <c r="U11" s="2"/>
      <c r="V11" s="2"/>
      <c r="W11" s="2"/>
      <c r="X11" s="12"/>
      <c r="Y11" s="2" t="s">
        <v>71</v>
      </c>
      <c r="Z11" s="39">
        <f t="shared" si="0"/>
        <v>0.85</v>
      </c>
      <c r="AA11" s="2" t="str">
        <f t="shared" si="1"/>
        <v/>
      </c>
      <c r="AB11" s="39" t="str">
        <f t="shared" si="2"/>
        <v/>
      </c>
      <c r="AC11" s="15" t="str">
        <f t="shared" si="3"/>
        <v/>
      </c>
    </row>
    <row r="12" spans="1:29" s="15" customFormat="1" ht="25.8" customHeight="1" x14ac:dyDescent="0.3">
      <c r="A12" s="2">
        <v>11</v>
      </c>
      <c r="B12" s="2" t="s">
        <v>60</v>
      </c>
      <c r="C12" s="2" t="s">
        <v>160</v>
      </c>
      <c r="D12" s="2" t="s">
        <v>132</v>
      </c>
      <c r="E12" s="2" t="s">
        <v>72</v>
      </c>
      <c r="F12" s="1" t="s">
        <v>80</v>
      </c>
      <c r="G12" s="1" t="s">
        <v>186</v>
      </c>
      <c r="H12" s="2">
        <v>-16.041117</v>
      </c>
      <c r="I12" s="2">
        <v>-68.977232999999998</v>
      </c>
      <c r="J12" s="2" t="s">
        <v>194</v>
      </c>
      <c r="K12" s="2" t="s">
        <v>87</v>
      </c>
      <c r="L12" s="2">
        <v>1.48</v>
      </c>
      <c r="M12" s="2">
        <v>250</v>
      </c>
      <c r="N12" s="2">
        <f>15.1+15.1</f>
        <v>30.2</v>
      </c>
      <c r="O12" s="3">
        <v>0.64</v>
      </c>
      <c r="P12" s="2"/>
      <c r="Q12" s="2" t="s">
        <v>37</v>
      </c>
      <c r="R12" s="2">
        <v>2</v>
      </c>
      <c r="S12" s="2">
        <v>14.7</v>
      </c>
      <c r="T12" s="2">
        <f>+S12*R12</f>
        <v>29.4</v>
      </c>
      <c r="U12" s="2"/>
      <c r="V12" s="2"/>
      <c r="W12" s="2"/>
      <c r="X12" s="12"/>
      <c r="Y12" s="2" t="s">
        <v>71</v>
      </c>
      <c r="Z12" s="39">
        <f t="shared" si="0"/>
        <v>0.64</v>
      </c>
      <c r="AA12" s="2" t="str">
        <f t="shared" si="1"/>
        <v/>
      </c>
      <c r="AB12" s="39" t="str">
        <f t="shared" si="2"/>
        <v/>
      </c>
      <c r="AC12" s="15" t="str">
        <f t="shared" si="3"/>
        <v/>
      </c>
    </row>
    <row r="13" spans="1:29" ht="41.4" x14ac:dyDescent="0.3">
      <c r="A13" s="2">
        <v>12</v>
      </c>
      <c r="B13" s="4" t="s">
        <v>53</v>
      </c>
      <c r="C13" s="2" t="s">
        <v>161</v>
      </c>
      <c r="D13" s="2" t="s">
        <v>133</v>
      </c>
      <c r="E13" s="4" t="s">
        <v>159</v>
      </c>
      <c r="F13" s="5" t="s">
        <v>119</v>
      </c>
      <c r="G13" s="1" t="s">
        <v>186</v>
      </c>
      <c r="H13" s="4">
        <v>-16.412500000000001</v>
      </c>
      <c r="I13" s="4">
        <v>-67.772499999999994</v>
      </c>
      <c r="J13" s="4" t="s">
        <v>193</v>
      </c>
      <c r="K13" s="2" t="s">
        <v>87</v>
      </c>
      <c r="L13" s="4">
        <v>0.79</v>
      </c>
      <c r="M13" s="4">
        <v>560.79999999999995</v>
      </c>
      <c r="N13" s="4">
        <v>38.4</v>
      </c>
      <c r="O13" s="4"/>
      <c r="P13" s="4"/>
      <c r="Q13" s="2" t="s">
        <v>98</v>
      </c>
      <c r="R13" s="4">
        <v>1</v>
      </c>
      <c r="S13" s="4">
        <v>39</v>
      </c>
      <c r="T13" s="4">
        <f>+S13*R13</f>
        <v>39</v>
      </c>
      <c r="U13" s="4"/>
      <c r="V13" s="4"/>
      <c r="W13" s="4">
        <v>5.4349999999999996</v>
      </c>
      <c r="X13" s="13"/>
      <c r="Y13" s="4" t="s">
        <v>121</v>
      </c>
      <c r="Z13" s="39">
        <f t="shared" si="0"/>
        <v>0.85</v>
      </c>
      <c r="AA13" s="40">
        <f t="shared" si="1"/>
        <v>8463.4699999999993</v>
      </c>
      <c r="AB13" s="41">
        <f t="shared" si="2"/>
        <v>9.1834526909722225</v>
      </c>
      <c r="AC13" s="15">
        <f t="shared" si="3"/>
        <v>220.40286458333333</v>
      </c>
    </row>
    <row r="14" spans="1:29" ht="41.4" x14ac:dyDescent="0.3">
      <c r="A14" s="2">
        <v>13</v>
      </c>
      <c r="B14" s="4" t="s">
        <v>53</v>
      </c>
      <c r="C14" s="2" t="s">
        <v>161</v>
      </c>
      <c r="D14" s="2" t="s">
        <v>133</v>
      </c>
      <c r="E14" s="4" t="s">
        <v>159</v>
      </c>
      <c r="F14" s="5" t="s">
        <v>120</v>
      </c>
      <c r="G14" s="1" t="s">
        <v>186</v>
      </c>
      <c r="H14" s="4">
        <v>-16.387899999999998</v>
      </c>
      <c r="I14" s="4">
        <v>-61.7376</v>
      </c>
      <c r="J14" s="2" t="s">
        <v>194</v>
      </c>
      <c r="K14" s="2" t="s">
        <v>87</v>
      </c>
      <c r="L14" s="4">
        <v>1.1499999999999999</v>
      </c>
      <c r="M14" s="4">
        <v>492.3</v>
      </c>
      <c r="N14" s="4">
        <v>50.8</v>
      </c>
      <c r="O14" s="4"/>
      <c r="P14" s="4"/>
      <c r="Q14" s="2" t="s">
        <v>98</v>
      </c>
      <c r="R14" s="4">
        <v>1</v>
      </c>
      <c r="S14" s="4">
        <v>51.8</v>
      </c>
      <c r="T14" s="4">
        <f>+S14*R14</f>
        <v>51.8</v>
      </c>
      <c r="U14" s="4"/>
      <c r="V14" s="4"/>
      <c r="W14" s="4"/>
      <c r="X14" s="13"/>
      <c r="Y14" s="4" t="s">
        <v>121</v>
      </c>
      <c r="Z14" s="39">
        <f t="shared" si="0"/>
        <v>0.85</v>
      </c>
      <c r="AA14" s="2" t="str">
        <f t="shared" si="1"/>
        <v/>
      </c>
      <c r="AB14" s="39" t="str">
        <f t="shared" si="2"/>
        <v/>
      </c>
      <c r="AC14" s="15" t="str">
        <f t="shared" si="3"/>
        <v/>
      </c>
    </row>
    <row r="15" spans="1:29" s="15" customFormat="1" ht="55.2" x14ac:dyDescent="0.3">
      <c r="A15" s="2">
        <v>14</v>
      </c>
      <c r="B15" s="2" t="s">
        <v>18</v>
      </c>
      <c r="C15" s="2" t="s">
        <v>164</v>
      </c>
      <c r="D15" s="2" t="s">
        <v>134</v>
      </c>
      <c r="E15" s="2" t="s">
        <v>90</v>
      </c>
      <c r="F15" s="1" t="s">
        <v>91</v>
      </c>
      <c r="G15" s="1" t="s">
        <v>187</v>
      </c>
      <c r="H15" s="2">
        <v>-17.227732</v>
      </c>
      <c r="I15" s="2">
        <v>-65.892758999999998</v>
      </c>
      <c r="J15" s="2" t="s">
        <v>193</v>
      </c>
      <c r="K15" s="2" t="s">
        <v>87</v>
      </c>
      <c r="L15" s="2">
        <v>21.4</v>
      </c>
      <c r="M15" s="2">
        <v>622.29999999999995</v>
      </c>
      <c r="N15" s="32">
        <f>13.5*4</f>
        <v>54</v>
      </c>
      <c r="O15" s="6">
        <v>0.73370000000000002</v>
      </c>
      <c r="P15" s="6">
        <v>0.87780000000000002</v>
      </c>
      <c r="Q15" s="2" t="s">
        <v>37</v>
      </c>
      <c r="R15" s="2">
        <v>4</v>
      </c>
      <c r="S15" s="2">
        <v>15.3</v>
      </c>
      <c r="T15" s="2">
        <f>+S15*R15</f>
        <v>61.2</v>
      </c>
      <c r="U15" s="2">
        <v>168</v>
      </c>
      <c r="V15" s="2">
        <v>137.99600000000001</v>
      </c>
      <c r="W15" s="2">
        <v>137.99</v>
      </c>
      <c r="X15" s="12">
        <v>26</v>
      </c>
      <c r="Y15" s="2" t="s">
        <v>23</v>
      </c>
      <c r="Z15" s="35">
        <f t="shared" si="0"/>
        <v>0.73370000000000002</v>
      </c>
      <c r="AA15" s="40">
        <f t="shared" si="1"/>
        <v>238444.94</v>
      </c>
      <c r="AB15" s="41">
        <f t="shared" si="2"/>
        <v>183.98529320987655</v>
      </c>
      <c r="AC15" s="15">
        <f t="shared" si="3"/>
        <v>4415.6470370370371</v>
      </c>
    </row>
    <row r="16" spans="1:29" s="15" customFormat="1" ht="55.2" x14ac:dyDescent="0.3">
      <c r="A16" s="2">
        <v>15</v>
      </c>
      <c r="B16" s="2" t="s">
        <v>18</v>
      </c>
      <c r="C16" s="2" t="s">
        <v>164</v>
      </c>
      <c r="D16" s="2" t="s">
        <v>134</v>
      </c>
      <c r="E16" s="2" t="s">
        <v>92</v>
      </c>
      <c r="F16" s="1" t="s">
        <v>93</v>
      </c>
      <c r="G16" s="1" t="s">
        <v>187</v>
      </c>
      <c r="H16" s="2">
        <v>-17.191557</v>
      </c>
      <c r="I16" s="2">
        <v>-65.823164000000006</v>
      </c>
      <c r="J16" s="2" t="s">
        <v>194</v>
      </c>
      <c r="K16" s="2" t="s">
        <v>87</v>
      </c>
      <c r="L16" s="2">
        <v>21.4</v>
      </c>
      <c r="M16" s="2">
        <v>856.7</v>
      </c>
      <c r="N16" s="32">
        <v>93</v>
      </c>
      <c r="O16" s="6">
        <v>0.74480000000000002</v>
      </c>
      <c r="P16" s="6">
        <v>0.88919999999999999</v>
      </c>
      <c r="Q16" s="2" t="s">
        <v>37</v>
      </c>
      <c r="R16" s="2">
        <v>5</v>
      </c>
      <c r="S16" s="2" t="s">
        <v>146</v>
      </c>
      <c r="T16" s="2">
        <f>18.4+18.4+19.4+19.4+21.7</f>
        <v>97.3</v>
      </c>
      <c r="U16" s="2"/>
      <c r="V16" s="2"/>
      <c r="W16" s="2"/>
      <c r="X16" s="12"/>
      <c r="Y16" s="2" t="s">
        <v>23</v>
      </c>
      <c r="Z16" s="35">
        <f t="shared" si="0"/>
        <v>0.74480000000000002</v>
      </c>
      <c r="AA16" s="2" t="str">
        <f t="shared" si="1"/>
        <v/>
      </c>
      <c r="AB16" s="39" t="str">
        <f t="shared" si="2"/>
        <v/>
      </c>
      <c r="AC16" s="15" t="str">
        <f t="shared" si="3"/>
        <v/>
      </c>
    </row>
    <row r="17" spans="1:29" s="15" customFormat="1" ht="41.4" x14ac:dyDescent="0.3">
      <c r="A17" s="2">
        <v>16</v>
      </c>
      <c r="B17" s="2" t="s">
        <v>18</v>
      </c>
      <c r="C17" s="2" t="s">
        <v>164</v>
      </c>
      <c r="D17" s="2" t="s">
        <v>134</v>
      </c>
      <c r="E17" s="2" t="s">
        <v>85</v>
      </c>
      <c r="F17" s="1" t="s">
        <v>86</v>
      </c>
      <c r="G17" s="1" t="s">
        <v>187</v>
      </c>
      <c r="H17" s="2">
        <v>-17.169316999999999</v>
      </c>
      <c r="I17" s="2">
        <v>-65.786452999999995</v>
      </c>
      <c r="J17" s="2" t="s">
        <v>194</v>
      </c>
      <c r="K17" s="2" t="s">
        <v>87</v>
      </c>
      <c r="L17" s="2">
        <v>21.4</v>
      </c>
      <c r="M17" s="2">
        <v>313</v>
      </c>
      <c r="N17" s="32">
        <v>55</v>
      </c>
      <c r="O17" s="6">
        <v>0.73209999999999997</v>
      </c>
      <c r="P17" s="6">
        <v>0.90049999999999997</v>
      </c>
      <c r="Q17" s="2"/>
      <c r="R17" s="2">
        <v>2</v>
      </c>
      <c r="S17" s="2"/>
      <c r="T17" s="2"/>
      <c r="U17" s="2"/>
      <c r="V17" s="2"/>
      <c r="W17" s="2"/>
      <c r="X17" s="12"/>
      <c r="Y17" s="2" t="s">
        <v>23</v>
      </c>
      <c r="Z17" s="35">
        <f t="shared" si="0"/>
        <v>0.73209999999999997</v>
      </c>
      <c r="AA17" s="2" t="str">
        <f t="shared" si="1"/>
        <v/>
      </c>
      <c r="AB17" s="39" t="str">
        <f t="shared" si="2"/>
        <v/>
      </c>
      <c r="AC17" s="15" t="str">
        <f t="shared" si="3"/>
        <v/>
      </c>
    </row>
    <row r="18" spans="1:29" s="15" customFormat="1" ht="27.6" x14ac:dyDescent="0.3">
      <c r="A18" s="2">
        <v>17</v>
      </c>
      <c r="B18" s="2" t="s">
        <v>18</v>
      </c>
      <c r="C18" s="2" t="s">
        <v>164</v>
      </c>
      <c r="D18" s="2" t="s">
        <v>134</v>
      </c>
      <c r="E18" s="2" t="s">
        <v>88</v>
      </c>
      <c r="F18" s="1" t="s">
        <v>89</v>
      </c>
      <c r="G18" s="1" t="s">
        <v>187</v>
      </c>
      <c r="H18" s="2">
        <v>-17.104057000000001</v>
      </c>
      <c r="I18" s="2">
        <v>-65.784445000000005</v>
      </c>
      <c r="J18" s="2" t="s">
        <v>194</v>
      </c>
      <c r="K18" s="2" t="s">
        <v>87</v>
      </c>
      <c r="L18" s="2">
        <v>21.4</v>
      </c>
      <c r="M18" s="2">
        <v>369</v>
      </c>
      <c r="N18" s="32">
        <v>69</v>
      </c>
      <c r="O18" s="6">
        <v>0.60580000000000001</v>
      </c>
      <c r="P18" s="6">
        <v>0.89339999999999997</v>
      </c>
      <c r="Q18" s="2" t="s">
        <v>37</v>
      </c>
      <c r="R18" s="2">
        <v>2</v>
      </c>
      <c r="S18" s="2"/>
      <c r="T18" s="2"/>
      <c r="U18" s="2"/>
      <c r="V18" s="2"/>
      <c r="W18" s="2"/>
      <c r="X18" s="12"/>
      <c r="Y18" s="2" t="s">
        <v>23</v>
      </c>
      <c r="Z18" s="35">
        <f t="shared" si="0"/>
        <v>0.60580000000000001</v>
      </c>
      <c r="AA18" s="2" t="str">
        <f t="shared" si="1"/>
        <v/>
      </c>
      <c r="AB18" s="39" t="str">
        <f t="shared" si="2"/>
        <v/>
      </c>
      <c r="AC18" s="15" t="str">
        <f t="shared" si="3"/>
        <v/>
      </c>
    </row>
    <row r="19" spans="1:29" s="15" customFormat="1" ht="55.2" x14ac:dyDescent="0.3">
      <c r="A19" s="2">
        <v>18</v>
      </c>
      <c r="B19" s="2" t="s">
        <v>25</v>
      </c>
      <c r="C19" s="2" t="s">
        <v>164</v>
      </c>
      <c r="D19" s="2" t="s">
        <v>134</v>
      </c>
      <c r="E19" s="2" t="s">
        <v>26</v>
      </c>
      <c r="F19" s="1" t="s">
        <v>27</v>
      </c>
      <c r="G19" s="1" t="s">
        <v>187</v>
      </c>
      <c r="H19" s="2">
        <v>-17.052610000000001</v>
      </c>
      <c r="I19" s="2">
        <v>-65.748086000000001</v>
      </c>
      <c r="J19" s="2" t="s">
        <v>194</v>
      </c>
      <c r="K19" s="2" t="s">
        <v>28</v>
      </c>
      <c r="L19" s="2">
        <v>60</v>
      </c>
      <c r="M19" s="2">
        <v>100</v>
      </c>
      <c r="N19" s="32">
        <v>147</v>
      </c>
      <c r="O19" s="2"/>
      <c r="P19" s="2"/>
      <c r="Q19" s="2"/>
      <c r="R19" s="2"/>
      <c r="S19" s="2"/>
      <c r="T19" s="2"/>
      <c r="U19" s="2"/>
      <c r="V19" s="2"/>
      <c r="W19" s="2"/>
      <c r="X19" s="12"/>
      <c r="Y19" s="2" t="s">
        <v>23</v>
      </c>
      <c r="Z19" s="35">
        <f t="shared" si="0"/>
        <v>0.85</v>
      </c>
      <c r="AA19" s="2" t="str">
        <f t="shared" si="1"/>
        <v/>
      </c>
      <c r="AB19" s="39" t="str">
        <f t="shared" si="2"/>
        <v/>
      </c>
      <c r="AC19" s="15" t="str">
        <f t="shared" si="3"/>
        <v/>
      </c>
    </row>
    <row r="20" spans="1:29" s="15" customFormat="1" ht="41.4" x14ac:dyDescent="0.3">
      <c r="A20" s="2">
        <v>19</v>
      </c>
      <c r="B20" s="2" t="s">
        <v>18</v>
      </c>
      <c r="C20" s="2" t="s">
        <v>165</v>
      </c>
      <c r="D20" s="2" t="s">
        <v>135</v>
      </c>
      <c r="E20" s="2" t="s">
        <v>122</v>
      </c>
      <c r="F20" s="1" t="s">
        <v>123</v>
      </c>
      <c r="G20" s="1" t="s">
        <v>187</v>
      </c>
      <c r="H20" s="2">
        <v>-17.097173999999999</v>
      </c>
      <c r="I20" s="2">
        <v>-66.328953999999996</v>
      </c>
      <c r="J20" s="2" t="s">
        <v>193</v>
      </c>
      <c r="K20" s="2" t="s">
        <v>87</v>
      </c>
      <c r="L20" s="2">
        <v>2.39</v>
      </c>
      <c r="M20" s="2">
        <v>1035.5</v>
      </c>
      <c r="N20" s="32">
        <v>120</v>
      </c>
      <c r="O20" s="2"/>
      <c r="P20" s="2"/>
      <c r="Q20" s="2" t="s">
        <v>37</v>
      </c>
      <c r="R20" s="2">
        <v>3</v>
      </c>
      <c r="S20" s="2">
        <v>40</v>
      </c>
      <c r="T20" s="2">
        <f>+S20*R20</f>
        <v>120</v>
      </c>
      <c r="U20" s="2">
        <v>185.5</v>
      </c>
      <c r="V20" s="2">
        <v>156.1</v>
      </c>
      <c r="W20" s="2">
        <f>+V20</f>
        <v>156.1</v>
      </c>
      <c r="X20" s="12"/>
      <c r="Y20" s="2" t="s">
        <v>97</v>
      </c>
      <c r="Z20" s="35">
        <f t="shared" si="0"/>
        <v>0.85</v>
      </c>
      <c r="AA20" s="40">
        <f t="shared" si="1"/>
        <v>448842.22</v>
      </c>
      <c r="AB20" s="41">
        <f t="shared" si="2"/>
        <v>155.84799305555555</v>
      </c>
      <c r="AC20" s="15">
        <f t="shared" si="3"/>
        <v>3740.3518333333332</v>
      </c>
    </row>
    <row r="21" spans="1:29" s="15" customFormat="1" ht="25.8" customHeight="1" x14ac:dyDescent="0.3">
      <c r="A21" s="2">
        <v>20</v>
      </c>
      <c r="B21" s="2" t="s">
        <v>53</v>
      </c>
      <c r="C21" s="2" t="s">
        <v>163</v>
      </c>
      <c r="D21" s="2" t="s">
        <v>140</v>
      </c>
      <c r="E21" s="2"/>
      <c r="F21" s="1" t="s">
        <v>136</v>
      </c>
      <c r="G21" s="1" t="s">
        <v>186</v>
      </c>
      <c r="H21" s="2">
        <v>-16.925599999999999</v>
      </c>
      <c r="I21" s="2">
        <v>-67.324799999999996</v>
      </c>
      <c r="J21" s="2" t="s">
        <v>193</v>
      </c>
      <c r="K21" s="2" t="s">
        <v>87</v>
      </c>
      <c r="L21" s="2">
        <v>16</v>
      </c>
      <c r="M21" s="2">
        <v>480</v>
      </c>
      <c r="N21" s="2">
        <f>1.3+1.2</f>
        <v>2.5</v>
      </c>
      <c r="O21" s="2"/>
      <c r="P21" s="2"/>
      <c r="Q21" s="2" t="s">
        <v>37</v>
      </c>
      <c r="R21" s="2">
        <v>2</v>
      </c>
      <c r="S21" s="2">
        <v>1.5</v>
      </c>
      <c r="T21" s="2">
        <f>+S21*R21</f>
        <v>3</v>
      </c>
      <c r="U21" s="2"/>
      <c r="V21" s="2"/>
      <c r="W21" s="37">
        <v>5.4349999999999996</v>
      </c>
      <c r="X21" s="12"/>
      <c r="Y21" s="2" t="s">
        <v>71</v>
      </c>
      <c r="Z21" s="39">
        <f t="shared" si="0"/>
        <v>0.85</v>
      </c>
      <c r="AA21" s="40">
        <f t="shared" si="1"/>
        <v>7244.05</v>
      </c>
      <c r="AB21" s="41">
        <f t="shared" si="2"/>
        <v>120.73416666666667</v>
      </c>
      <c r="AC21" s="15">
        <f t="shared" si="3"/>
        <v>2897.62</v>
      </c>
    </row>
    <row r="22" spans="1:29" s="15" customFormat="1" ht="25.8" customHeight="1" x14ac:dyDescent="0.3">
      <c r="A22" s="2">
        <v>21</v>
      </c>
      <c r="B22" s="2" t="s">
        <v>53</v>
      </c>
      <c r="C22" s="2" t="s">
        <v>163</v>
      </c>
      <c r="D22" s="2" t="s">
        <v>140</v>
      </c>
      <c r="E22" s="2"/>
      <c r="F22" s="1" t="s">
        <v>137</v>
      </c>
      <c r="G22" s="1" t="s">
        <v>186</v>
      </c>
      <c r="H22" s="2">
        <v>-16.893699999999999</v>
      </c>
      <c r="I22" s="2">
        <v>-67.315399999999997</v>
      </c>
      <c r="J22" s="37" t="s">
        <v>194</v>
      </c>
      <c r="K22" s="2" t="s">
        <v>87</v>
      </c>
      <c r="L22" s="22">
        <f>+N22*1000000/(M22*9.81*1019)</f>
        <v>1.1636470934863019</v>
      </c>
      <c r="M22" s="2">
        <v>533</v>
      </c>
      <c r="N22" s="2">
        <f>2.2+1.3+2.7</f>
        <v>6.2</v>
      </c>
      <c r="O22" s="2"/>
      <c r="P22" s="2"/>
      <c r="Q22" s="2" t="s">
        <v>37</v>
      </c>
      <c r="R22" s="2">
        <v>3</v>
      </c>
      <c r="S22" s="2" t="s">
        <v>146</v>
      </c>
      <c r="T22" s="2">
        <f>2.5+1.5+2.8</f>
        <v>6.8</v>
      </c>
      <c r="U22" s="2"/>
      <c r="V22" s="2"/>
      <c r="W22" s="2"/>
      <c r="X22" s="12"/>
      <c r="Y22" s="2" t="s">
        <v>71</v>
      </c>
      <c r="Z22" s="39">
        <f t="shared" si="0"/>
        <v>0.85</v>
      </c>
      <c r="AA22" s="2" t="str">
        <f t="shared" si="1"/>
        <v/>
      </c>
      <c r="AB22" s="39" t="str">
        <f t="shared" si="2"/>
        <v/>
      </c>
      <c r="AC22" s="15" t="str">
        <f t="shared" si="3"/>
        <v/>
      </c>
    </row>
    <row r="23" spans="1:29" s="15" customFormat="1" ht="25.8" customHeight="1" x14ac:dyDescent="0.3">
      <c r="A23" s="2">
        <v>22</v>
      </c>
      <c r="B23" s="2" t="s">
        <v>53</v>
      </c>
      <c r="C23" s="2" t="s">
        <v>163</v>
      </c>
      <c r="D23" s="2" t="s">
        <v>140</v>
      </c>
      <c r="E23" s="2"/>
      <c r="F23" s="1" t="s">
        <v>138</v>
      </c>
      <c r="G23" s="1" t="s">
        <v>186</v>
      </c>
      <c r="H23" s="2">
        <v>-16.8508</v>
      </c>
      <c r="I23" s="2">
        <v>-67.3155</v>
      </c>
      <c r="J23" s="37" t="s">
        <v>194</v>
      </c>
      <c r="K23" s="2" t="s">
        <v>87</v>
      </c>
      <c r="L23" s="22">
        <f>+N23*1000000/(M23*9.81*1019)</f>
        <v>1.2504514129600786</v>
      </c>
      <c r="M23" s="2">
        <v>488</v>
      </c>
      <c r="N23" s="2">
        <f>1.9+2.4+1.8</f>
        <v>6.1</v>
      </c>
      <c r="O23" s="2"/>
      <c r="P23" s="2"/>
      <c r="Q23" s="2" t="s">
        <v>37</v>
      </c>
      <c r="R23" s="2">
        <v>3</v>
      </c>
      <c r="S23" s="2">
        <v>2.6</v>
      </c>
      <c r="T23" s="2">
        <f>+S23*R23</f>
        <v>7.8000000000000007</v>
      </c>
      <c r="U23" s="2"/>
      <c r="V23" s="2"/>
      <c r="W23" s="2"/>
      <c r="X23" s="12"/>
      <c r="Y23" s="2" t="s">
        <v>71</v>
      </c>
      <c r="Z23" s="39">
        <f t="shared" si="0"/>
        <v>0.85</v>
      </c>
      <c r="AA23" s="2" t="str">
        <f t="shared" si="1"/>
        <v/>
      </c>
      <c r="AB23" s="39" t="str">
        <f t="shared" si="2"/>
        <v/>
      </c>
      <c r="AC23" s="15" t="str">
        <f t="shared" si="3"/>
        <v/>
      </c>
    </row>
    <row r="24" spans="1:29" s="15" customFormat="1" ht="25.8" customHeight="1" x14ac:dyDescent="0.3">
      <c r="A24" s="2">
        <v>23</v>
      </c>
      <c r="B24" s="2" t="s">
        <v>53</v>
      </c>
      <c r="C24" s="2" t="s">
        <v>163</v>
      </c>
      <c r="D24" s="2" t="s">
        <v>140</v>
      </c>
      <c r="E24" s="2"/>
      <c r="F24" s="1" t="s">
        <v>139</v>
      </c>
      <c r="G24" s="1" t="s">
        <v>186</v>
      </c>
      <c r="H24" s="2">
        <v>-16.8157</v>
      </c>
      <c r="I24" s="2">
        <v>-67.324799999999996</v>
      </c>
      <c r="J24" s="37" t="s">
        <v>194</v>
      </c>
      <c r="K24" s="2" t="s">
        <v>87</v>
      </c>
      <c r="L24" s="22">
        <f>+N24*1000000/(M24*9.81*1019)</f>
        <v>1.8107426988858111</v>
      </c>
      <c r="M24" s="2">
        <v>337</v>
      </c>
      <c r="N24" s="2">
        <v>6.1</v>
      </c>
      <c r="O24" s="2"/>
      <c r="P24" s="2"/>
      <c r="Q24" s="2" t="s">
        <v>37</v>
      </c>
      <c r="R24" s="2">
        <v>1</v>
      </c>
      <c r="S24" s="2">
        <v>6.4</v>
      </c>
      <c r="T24" s="2">
        <f t="shared" ref="T24:T26" si="4">+S24*R24</f>
        <v>6.4</v>
      </c>
      <c r="U24" s="2"/>
      <c r="V24" s="2"/>
      <c r="W24" s="2"/>
      <c r="X24" s="12"/>
      <c r="Y24" s="2" t="s">
        <v>71</v>
      </c>
      <c r="Z24" s="39">
        <f t="shared" si="0"/>
        <v>0.85</v>
      </c>
      <c r="AA24" s="2" t="str">
        <f t="shared" si="1"/>
        <v/>
      </c>
      <c r="AB24" s="39" t="str">
        <f t="shared" si="2"/>
        <v/>
      </c>
      <c r="AC24" s="15" t="str">
        <f t="shared" si="3"/>
        <v/>
      </c>
    </row>
    <row r="25" spans="1:29" s="15" customFormat="1" ht="22.2" customHeight="1" x14ac:dyDescent="0.3">
      <c r="A25" s="2">
        <v>24</v>
      </c>
      <c r="B25" s="2" t="s">
        <v>53</v>
      </c>
      <c r="C25" s="2" t="s">
        <v>163</v>
      </c>
      <c r="D25" s="2" t="s">
        <v>140</v>
      </c>
      <c r="E25" s="2" t="s">
        <v>81</v>
      </c>
      <c r="F25" s="1" t="s">
        <v>82</v>
      </c>
      <c r="G25" s="1" t="s">
        <v>186</v>
      </c>
      <c r="H25" s="2">
        <v>-16.934691999999998</v>
      </c>
      <c r="I25" s="2">
        <v>-67.326780999999997</v>
      </c>
      <c r="J25" s="2" t="s">
        <v>193</v>
      </c>
      <c r="K25" s="2" t="s">
        <v>64</v>
      </c>
      <c r="L25" s="2">
        <v>11.53</v>
      </c>
      <c r="M25" s="2">
        <v>859</v>
      </c>
      <c r="N25" s="2">
        <v>84</v>
      </c>
      <c r="O25" s="3">
        <v>0.6</v>
      </c>
      <c r="P25" s="2"/>
      <c r="Q25" s="2" t="s">
        <v>37</v>
      </c>
      <c r="R25" s="2">
        <v>3</v>
      </c>
      <c r="S25" s="2">
        <v>87</v>
      </c>
      <c r="T25" s="2">
        <f t="shared" si="4"/>
        <v>261</v>
      </c>
      <c r="U25" s="2">
        <v>4.04</v>
      </c>
      <c r="V25" s="2">
        <v>2.9830000000000001</v>
      </c>
      <c r="W25" s="2">
        <f>+V25</f>
        <v>2.9830000000000001</v>
      </c>
      <c r="X25" s="12"/>
      <c r="Y25" s="2" t="s">
        <v>40</v>
      </c>
      <c r="Z25" s="39">
        <f t="shared" si="0"/>
        <v>0.6</v>
      </c>
      <c r="AA25" s="40">
        <f t="shared" si="1"/>
        <v>7115.2</v>
      </c>
      <c r="AB25" s="41">
        <f t="shared" si="2"/>
        <v>3.5293650793650793</v>
      </c>
      <c r="AC25" s="15">
        <f t="shared" si="3"/>
        <v>84.704761904761909</v>
      </c>
    </row>
    <row r="26" spans="1:29" s="15" customFormat="1" ht="22.2" customHeight="1" x14ac:dyDescent="0.3">
      <c r="A26" s="2">
        <v>25</v>
      </c>
      <c r="B26" s="2" t="s">
        <v>53</v>
      </c>
      <c r="C26" s="2" t="s">
        <v>163</v>
      </c>
      <c r="D26" s="2" t="s">
        <v>140</v>
      </c>
      <c r="E26" s="2" t="s">
        <v>83</v>
      </c>
      <c r="F26" s="1" t="s">
        <v>84</v>
      </c>
      <c r="G26" s="1" t="s">
        <v>186</v>
      </c>
      <c r="H26" s="2">
        <v>-16.666439</v>
      </c>
      <c r="I26" s="2">
        <v>-67.352575000000002</v>
      </c>
      <c r="J26" s="2" t="s">
        <v>194</v>
      </c>
      <c r="K26" s="2" t="s">
        <v>64</v>
      </c>
      <c r="L26" s="2">
        <v>20</v>
      </c>
      <c r="M26" s="2">
        <v>757</v>
      </c>
      <c r="N26" s="2">
        <v>116</v>
      </c>
      <c r="O26" s="3">
        <v>0.6</v>
      </c>
      <c r="P26" s="2"/>
      <c r="Q26" s="2" t="s">
        <v>37</v>
      </c>
      <c r="R26" s="2">
        <v>3</v>
      </c>
      <c r="S26" s="2">
        <v>120</v>
      </c>
      <c r="T26" s="2">
        <f t="shared" si="4"/>
        <v>360</v>
      </c>
      <c r="U26" s="2"/>
      <c r="V26" s="2"/>
      <c r="W26" s="2"/>
      <c r="X26" s="12"/>
      <c r="Y26" s="2" t="s">
        <v>40</v>
      </c>
      <c r="Z26" s="39">
        <f t="shared" si="0"/>
        <v>0.6</v>
      </c>
      <c r="AA26" s="2" t="str">
        <f t="shared" si="1"/>
        <v/>
      </c>
      <c r="AB26" s="39" t="str">
        <f t="shared" si="2"/>
        <v/>
      </c>
      <c r="AC26" s="15" t="str">
        <f t="shared" si="3"/>
        <v/>
      </c>
    </row>
    <row r="27" spans="1:29" s="15" customFormat="1" ht="22.2" customHeight="1" x14ac:dyDescent="0.3">
      <c r="A27" s="2">
        <v>26</v>
      </c>
      <c r="B27" s="2" t="s">
        <v>60</v>
      </c>
      <c r="C27" s="2" t="s">
        <v>151</v>
      </c>
      <c r="D27" s="2" t="s">
        <v>141</v>
      </c>
      <c r="E27" s="2" t="s">
        <v>150</v>
      </c>
      <c r="F27" s="1" t="s">
        <v>142</v>
      </c>
      <c r="G27" s="1" t="s">
        <v>188</v>
      </c>
      <c r="H27" s="2">
        <v>-19.782519000000001</v>
      </c>
      <c r="I27" s="2">
        <v>-66.347838999999993</v>
      </c>
      <c r="J27" s="2" t="s">
        <v>194</v>
      </c>
      <c r="K27" s="2" t="s">
        <v>87</v>
      </c>
      <c r="L27" s="22">
        <f>+N27*1000000/(M27*9.81*1019)</f>
        <v>4.1086260711545437</v>
      </c>
      <c r="M27" s="2">
        <v>280</v>
      </c>
      <c r="N27" s="2">
        <f>3.9+1.8+5.8</f>
        <v>11.5</v>
      </c>
      <c r="O27" s="3"/>
      <c r="P27" s="2"/>
      <c r="Q27" s="2" t="s">
        <v>37</v>
      </c>
      <c r="R27" s="2">
        <v>3</v>
      </c>
      <c r="S27" s="2" t="s">
        <v>146</v>
      </c>
      <c r="T27" s="2">
        <f>4+2.1+5.8</f>
        <v>11.899999999999999</v>
      </c>
      <c r="U27" s="2"/>
      <c r="V27" s="2"/>
      <c r="W27" s="2"/>
      <c r="X27" s="12"/>
      <c r="Y27" s="2" t="s">
        <v>145</v>
      </c>
      <c r="Z27" s="39">
        <f t="shared" si="0"/>
        <v>0.85</v>
      </c>
      <c r="AA27" s="2" t="str">
        <f t="shared" si="1"/>
        <v/>
      </c>
      <c r="AB27" s="39" t="str">
        <f t="shared" si="2"/>
        <v/>
      </c>
      <c r="AC27" s="15" t="str">
        <f t="shared" si="3"/>
        <v/>
      </c>
    </row>
    <row r="28" spans="1:29" s="15" customFormat="1" ht="22.2" customHeight="1" x14ac:dyDescent="0.3">
      <c r="A28" s="2">
        <v>27</v>
      </c>
      <c r="B28" s="2" t="s">
        <v>60</v>
      </c>
      <c r="C28" s="2" t="s">
        <v>151</v>
      </c>
      <c r="D28" s="2" t="s">
        <v>141</v>
      </c>
      <c r="E28" s="2" t="s">
        <v>150</v>
      </c>
      <c r="F28" s="1" t="s">
        <v>143</v>
      </c>
      <c r="G28" s="1" t="s">
        <v>188</v>
      </c>
      <c r="H28" s="2">
        <v>-19.816689</v>
      </c>
      <c r="I28" s="2">
        <v>-66.322036999999995</v>
      </c>
      <c r="J28" s="2" t="s">
        <v>194</v>
      </c>
      <c r="K28" s="2" t="s">
        <v>87</v>
      </c>
      <c r="L28" s="22">
        <f>+N28*1000000/(M28*9.81*1019)</f>
        <v>5.101841764877121</v>
      </c>
      <c r="M28" s="2">
        <v>100</v>
      </c>
      <c r="N28" s="2">
        <f>1.6+0.2+3.3</f>
        <v>5.0999999999999996</v>
      </c>
      <c r="O28" s="3"/>
      <c r="P28" s="2"/>
      <c r="Q28" s="2" t="s">
        <v>39</v>
      </c>
      <c r="R28" s="2">
        <v>3</v>
      </c>
      <c r="S28" s="2" t="s">
        <v>146</v>
      </c>
      <c r="T28" s="2">
        <f>2.1+0.2+3.4</f>
        <v>5.7</v>
      </c>
      <c r="U28" s="2"/>
      <c r="V28" s="2"/>
      <c r="W28" s="2"/>
      <c r="X28" s="12"/>
      <c r="Y28" s="2" t="s">
        <v>145</v>
      </c>
      <c r="Z28" s="39">
        <f t="shared" si="0"/>
        <v>0.85</v>
      </c>
      <c r="AA28" s="2" t="str">
        <f t="shared" si="1"/>
        <v/>
      </c>
      <c r="AB28" s="39" t="str">
        <f t="shared" si="2"/>
        <v/>
      </c>
      <c r="AC28" s="15" t="str">
        <f t="shared" si="3"/>
        <v/>
      </c>
    </row>
    <row r="29" spans="1:29" s="15" customFormat="1" ht="22.2" customHeight="1" x14ac:dyDescent="0.3">
      <c r="A29" s="2">
        <v>28</v>
      </c>
      <c r="B29" s="2" t="s">
        <v>60</v>
      </c>
      <c r="C29" s="2" t="s">
        <v>151</v>
      </c>
      <c r="D29" s="2" t="s">
        <v>141</v>
      </c>
      <c r="E29" s="2" t="s">
        <v>150</v>
      </c>
      <c r="F29" s="1" t="s">
        <v>144</v>
      </c>
      <c r="G29" s="1" t="s">
        <v>188</v>
      </c>
      <c r="H29" s="2">
        <v>-20.048134999999998</v>
      </c>
      <c r="I29" s="2">
        <v>-66.134484</v>
      </c>
      <c r="J29" s="2" t="s">
        <v>194</v>
      </c>
      <c r="K29" s="2" t="s">
        <v>87</v>
      </c>
      <c r="L29" s="22">
        <f>+N29*1000000/(M29*9.81*1019)</f>
        <v>2.4280609960389876</v>
      </c>
      <c r="M29" s="2">
        <v>103</v>
      </c>
      <c r="N29" s="2">
        <v>2.5</v>
      </c>
      <c r="O29" s="3"/>
      <c r="P29" s="2"/>
      <c r="Q29" s="2" t="s">
        <v>39</v>
      </c>
      <c r="R29" s="2">
        <v>1</v>
      </c>
      <c r="S29" s="2">
        <v>3</v>
      </c>
      <c r="T29" s="2">
        <f>+S29*R29</f>
        <v>3</v>
      </c>
      <c r="U29" s="2"/>
      <c r="V29" s="2"/>
      <c r="W29" s="2"/>
      <c r="X29" s="12"/>
      <c r="Y29" s="2" t="s">
        <v>145</v>
      </c>
      <c r="Z29" s="39">
        <f t="shared" si="0"/>
        <v>0.85</v>
      </c>
      <c r="AA29" s="2" t="str">
        <f t="shared" si="1"/>
        <v/>
      </c>
      <c r="AB29" s="39" t="str">
        <f t="shared" si="2"/>
        <v/>
      </c>
      <c r="AC29" s="15" t="str">
        <f t="shared" si="3"/>
        <v/>
      </c>
    </row>
    <row r="30" spans="1:29" x14ac:dyDescent="0.3">
      <c r="A30" s="2">
        <v>30</v>
      </c>
      <c r="B30" s="4" t="s">
        <v>18</v>
      </c>
      <c r="C30" s="4" t="s">
        <v>153</v>
      </c>
      <c r="D30" s="4" t="s">
        <v>156</v>
      </c>
      <c r="E30" s="4" t="s">
        <v>154</v>
      </c>
      <c r="F30" s="5" t="s">
        <v>115</v>
      </c>
      <c r="G30" s="5" t="s">
        <v>187</v>
      </c>
      <c r="H30" s="4">
        <v>-17.316400000000002</v>
      </c>
      <c r="I30" s="4">
        <v>-66.222173999999995</v>
      </c>
      <c r="J30" s="2" t="s">
        <v>194</v>
      </c>
      <c r="K30" s="2" t="s">
        <v>87</v>
      </c>
      <c r="L30" s="4">
        <v>0.25</v>
      </c>
      <c r="M30" s="4">
        <v>1210</v>
      </c>
      <c r="N30" s="33">
        <v>7.8</v>
      </c>
      <c r="O30" s="4"/>
      <c r="P30" s="4"/>
      <c r="Q30" s="4" t="s">
        <v>37</v>
      </c>
      <c r="R30" s="4">
        <v>1</v>
      </c>
      <c r="S30" s="4">
        <v>7.9</v>
      </c>
      <c r="T30" s="4">
        <f>+S30*R30</f>
        <v>7.9</v>
      </c>
      <c r="U30" s="4"/>
      <c r="V30" s="4"/>
      <c r="W30" s="4"/>
      <c r="X30" s="13"/>
      <c r="Y30" s="4" t="s">
        <v>152</v>
      </c>
      <c r="Z30" s="35">
        <f t="shared" si="0"/>
        <v>0.85</v>
      </c>
      <c r="AA30" s="2" t="str">
        <f t="shared" si="1"/>
        <v/>
      </c>
      <c r="AB30" s="39" t="str">
        <f t="shared" si="2"/>
        <v/>
      </c>
      <c r="AC30" s="15" t="str">
        <f t="shared" si="3"/>
        <v/>
      </c>
    </row>
    <row r="31" spans="1:29" x14ac:dyDescent="0.3">
      <c r="A31" s="2">
        <v>31</v>
      </c>
      <c r="B31" s="4" t="s">
        <v>65</v>
      </c>
      <c r="C31" s="4"/>
      <c r="D31" s="4" t="s">
        <v>156</v>
      </c>
      <c r="E31" s="4" t="s">
        <v>173</v>
      </c>
      <c r="F31" s="5" t="s">
        <v>114</v>
      </c>
      <c r="G31" s="5" t="s">
        <v>188</v>
      </c>
      <c r="H31" s="4">
        <v>-21.599288999999999</v>
      </c>
      <c r="I31" s="4">
        <v>-64.738467999999997</v>
      </c>
      <c r="J31" s="4" t="s">
        <v>193</v>
      </c>
      <c r="K31" s="2" t="s">
        <v>87</v>
      </c>
      <c r="L31" s="4">
        <v>2.46</v>
      </c>
      <c r="M31" s="4">
        <v>47.9</v>
      </c>
      <c r="N31" s="4">
        <f>3.5+3.5</f>
        <v>7</v>
      </c>
      <c r="O31" s="4"/>
      <c r="P31" s="4"/>
      <c r="Q31" s="4" t="s">
        <v>157</v>
      </c>
      <c r="R31" s="4">
        <v>2</v>
      </c>
      <c r="S31" s="4">
        <v>1.9</v>
      </c>
      <c r="T31" s="4">
        <f>+S31*R31</f>
        <v>3.8</v>
      </c>
      <c r="U31" s="4"/>
      <c r="V31" s="4"/>
      <c r="W31" s="7">
        <v>50</v>
      </c>
      <c r="X31" s="13">
        <v>46</v>
      </c>
      <c r="Y31" s="4" t="s">
        <v>155</v>
      </c>
      <c r="Z31" s="39">
        <f t="shared" si="0"/>
        <v>0.85</v>
      </c>
      <c r="AA31" s="40">
        <f t="shared" si="1"/>
        <v>6650.38</v>
      </c>
      <c r="AB31" s="41">
        <f t="shared" si="2"/>
        <v>39.585595238095237</v>
      </c>
      <c r="AC31" s="15">
        <f t="shared" si="3"/>
        <v>950.0542857142857</v>
      </c>
    </row>
    <row r="32" spans="1:29" s="15" customFormat="1" ht="41.4" x14ac:dyDescent="0.3">
      <c r="A32" s="2">
        <v>32</v>
      </c>
      <c r="B32" s="2" t="s">
        <v>18</v>
      </c>
      <c r="C32" s="2" t="s">
        <v>19</v>
      </c>
      <c r="D32" s="4" t="s">
        <v>156</v>
      </c>
      <c r="E32" s="2" t="s">
        <v>20</v>
      </c>
      <c r="F32" s="1" t="s">
        <v>21</v>
      </c>
      <c r="G32" s="1" t="s">
        <v>187</v>
      </c>
      <c r="H32" s="2">
        <v>-17.025421000000001</v>
      </c>
      <c r="I32" s="2">
        <v>-65.694005000000004</v>
      </c>
      <c r="J32" s="2" t="s">
        <v>193</v>
      </c>
      <c r="K32" s="2" t="s">
        <v>22</v>
      </c>
      <c r="L32" s="2">
        <v>80</v>
      </c>
      <c r="M32" s="2">
        <v>159</v>
      </c>
      <c r="N32" s="32">
        <v>102</v>
      </c>
      <c r="O32" s="2"/>
      <c r="P32" s="2"/>
      <c r="Q32" s="2"/>
      <c r="R32" s="2"/>
      <c r="S32" s="2"/>
      <c r="T32" s="2"/>
      <c r="U32" s="2">
        <v>236</v>
      </c>
      <c r="V32" s="2">
        <v>172</v>
      </c>
      <c r="W32" s="2">
        <f>+V32</f>
        <v>172</v>
      </c>
      <c r="X32" s="12">
        <v>120</v>
      </c>
      <c r="Y32" s="2" t="s">
        <v>23</v>
      </c>
      <c r="Z32" s="35">
        <f t="shared" si="0"/>
        <v>0.85</v>
      </c>
      <c r="AA32" s="40">
        <f t="shared" si="1"/>
        <v>75939.240000000005</v>
      </c>
      <c r="AB32" s="41">
        <f t="shared" si="2"/>
        <v>31.020931372549022</v>
      </c>
      <c r="AC32" s="15">
        <f t="shared" si="3"/>
        <v>744.50235294117647</v>
      </c>
    </row>
    <row r="33" spans="1:29" s="15" customFormat="1" ht="55.2" x14ac:dyDescent="0.3">
      <c r="A33" s="2">
        <v>33</v>
      </c>
      <c r="B33" s="2" t="s">
        <v>18</v>
      </c>
      <c r="C33" s="2" t="s">
        <v>33</v>
      </c>
      <c r="D33" s="4" t="s">
        <v>156</v>
      </c>
      <c r="E33" s="2" t="s">
        <v>34</v>
      </c>
      <c r="F33" s="1" t="s">
        <v>35</v>
      </c>
      <c r="G33" s="1" t="s">
        <v>187</v>
      </c>
      <c r="H33" s="2">
        <v>-17.546365000000002</v>
      </c>
      <c r="I33" s="2">
        <v>-65.267331999999996</v>
      </c>
      <c r="J33" s="2" t="s">
        <v>193</v>
      </c>
      <c r="K33" s="2" t="s">
        <v>36</v>
      </c>
      <c r="L33" s="2">
        <v>26.5</v>
      </c>
      <c r="M33" s="2">
        <v>811.6</v>
      </c>
      <c r="N33" s="32">
        <v>188</v>
      </c>
      <c r="O33" s="3">
        <v>0.46</v>
      </c>
      <c r="P33" s="2"/>
      <c r="Q33" s="2" t="s">
        <v>37</v>
      </c>
      <c r="R33" s="2">
        <v>3</v>
      </c>
      <c r="S33" s="2">
        <v>67.748999999999995</v>
      </c>
      <c r="T33" s="2"/>
      <c r="U33" s="2">
        <v>40</v>
      </c>
      <c r="V33" s="2">
        <v>40</v>
      </c>
      <c r="W33" s="2">
        <f>+V33</f>
        <v>40</v>
      </c>
      <c r="X33" s="12">
        <v>105</v>
      </c>
      <c r="Y33" s="2" t="s">
        <v>40</v>
      </c>
      <c r="Z33" s="35">
        <f t="shared" si="0"/>
        <v>0.46</v>
      </c>
      <c r="AA33" s="40">
        <f t="shared" si="1"/>
        <v>90145.22</v>
      </c>
      <c r="AB33" s="41">
        <f t="shared" si="2"/>
        <v>19.978993794326243</v>
      </c>
      <c r="AC33" s="15">
        <f t="shared" si="3"/>
        <v>479.49585106382978</v>
      </c>
    </row>
    <row r="34" spans="1:29" s="15" customFormat="1" ht="41.4" x14ac:dyDescent="0.3">
      <c r="A34" s="2">
        <v>34</v>
      </c>
      <c r="B34" s="2" t="s">
        <v>18</v>
      </c>
      <c r="C34" s="2" t="s">
        <v>33</v>
      </c>
      <c r="D34" s="4" t="s">
        <v>156</v>
      </c>
      <c r="E34" s="2" t="s">
        <v>184</v>
      </c>
      <c r="F34" s="1" t="s">
        <v>38</v>
      </c>
      <c r="G34" s="1" t="s">
        <v>187</v>
      </c>
      <c r="H34" s="2">
        <v>-17.474449</v>
      </c>
      <c r="I34" s="2">
        <v>-65.275771000000006</v>
      </c>
      <c r="J34" s="2" t="s">
        <v>194</v>
      </c>
      <c r="K34" s="2" t="s">
        <v>28</v>
      </c>
      <c r="L34" s="2">
        <v>32.5</v>
      </c>
      <c r="M34" s="2">
        <v>326.5</v>
      </c>
      <c r="N34" s="32">
        <v>91</v>
      </c>
      <c r="O34" s="3">
        <v>0.44</v>
      </c>
      <c r="P34" s="2"/>
      <c r="Q34" s="2" t="s">
        <v>39</v>
      </c>
      <c r="R34" s="2">
        <v>2</v>
      </c>
      <c r="S34" s="2">
        <v>46.994</v>
      </c>
      <c r="T34" s="2"/>
      <c r="U34" s="2"/>
      <c r="V34" s="2"/>
      <c r="W34" s="2"/>
      <c r="X34" s="12"/>
      <c r="Y34" s="2" t="s">
        <v>40</v>
      </c>
      <c r="Z34" s="35">
        <f t="shared" si="0"/>
        <v>0.44</v>
      </c>
      <c r="AA34" s="2" t="str">
        <f t="shared" si="1"/>
        <v/>
      </c>
      <c r="AB34" s="39" t="str">
        <f t="shared" si="2"/>
        <v/>
      </c>
      <c r="AC34" s="15" t="str">
        <f t="shared" si="3"/>
        <v/>
      </c>
    </row>
    <row r="35" spans="1:29" s="15" customFormat="1" ht="55.2" x14ac:dyDescent="0.3">
      <c r="A35" s="24">
        <v>35</v>
      </c>
      <c r="B35" s="24" t="s">
        <v>41</v>
      </c>
      <c r="C35" s="24" t="s">
        <v>42</v>
      </c>
      <c r="D35" s="25" t="s">
        <v>156</v>
      </c>
      <c r="E35" s="24" t="s">
        <v>43</v>
      </c>
      <c r="F35" s="26" t="s">
        <v>124</v>
      </c>
      <c r="G35" s="26" t="s">
        <v>188</v>
      </c>
      <c r="H35" s="24">
        <v>-21.019233</v>
      </c>
      <c r="I35" s="24">
        <v>-64.971986000000001</v>
      </c>
      <c r="J35" s="24" t="s">
        <v>193</v>
      </c>
      <c r="K35" s="24" t="s">
        <v>32</v>
      </c>
      <c r="L35" s="24">
        <v>63</v>
      </c>
      <c r="M35" s="24">
        <v>120</v>
      </c>
      <c r="N35" s="24">
        <v>75</v>
      </c>
      <c r="O35" s="27">
        <v>0.53</v>
      </c>
      <c r="P35" s="24"/>
      <c r="Q35" s="24"/>
      <c r="R35" s="24"/>
      <c r="S35" s="24"/>
      <c r="T35" s="24"/>
      <c r="U35" s="24">
        <v>1238</v>
      </c>
      <c r="V35" s="24">
        <v>627</v>
      </c>
      <c r="W35" s="24">
        <f>+V35</f>
        <v>627</v>
      </c>
      <c r="X35" s="28">
        <v>160</v>
      </c>
      <c r="Y35" s="24" t="s">
        <v>44</v>
      </c>
      <c r="Z35" s="39">
        <f t="shared" si="0"/>
        <v>0.53</v>
      </c>
      <c r="AA35" s="40">
        <f t="shared" si="1"/>
        <v>208924.55</v>
      </c>
      <c r="AB35" s="41">
        <f t="shared" si="2"/>
        <v>116.06919444444443</v>
      </c>
      <c r="AC35" s="15">
        <f t="shared" si="3"/>
        <v>2785.6606666666667</v>
      </c>
    </row>
    <row r="36" spans="1:29" s="15" customFormat="1" ht="55.2" x14ac:dyDescent="0.3">
      <c r="A36" s="24">
        <v>35</v>
      </c>
      <c r="B36" s="24" t="s">
        <v>41</v>
      </c>
      <c r="C36" s="24" t="s">
        <v>42</v>
      </c>
      <c r="D36" s="25" t="s">
        <v>156</v>
      </c>
      <c r="E36" s="24" t="s">
        <v>43</v>
      </c>
      <c r="F36" s="26" t="s">
        <v>182</v>
      </c>
      <c r="G36" s="26" t="s">
        <v>188</v>
      </c>
      <c r="H36" s="24"/>
      <c r="I36" s="24"/>
      <c r="J36" s="2" t="s">
        <v>194</v>
      </c>
      <c r="K36" s="24" t="s">
        <v>32</v>
      </c>
      <c r="L36" s="24">
        <v>68</v>
      </c>
      <c r="M36" s="24">
        <v>163</v>
      </c>
      <c r="N36" s="24">
        <v>68</v>
      </c>
      <c r="O36" s="27">
        <v>0.66</v>
      </c>
      <c r="P36" s="24"/>
      <c r="Q36" s="24"/>
      <c r="R36" s="24"/>
      <c r="S36" s="24"/>
      <c r="T36" s="24"/>
      <c r="U36" s="24"/>
      <c r="V36" s="24"/>
      <c r="W36" s="24"/>
      <c r="X36" s="28"/>
      <c r="Y36" s="24" t="s">
        <v>44</v>
      </c>
      <c r="Z36" s="39">
        <f t="shared" si="0"/>
        <v>0.66</v>
      </c>
      <c r="AA36" s="2" t="str">
        <f t="shared" si="1"/>
        <v/>
      </c>
      <c r="AB36" s="39" t="str">
        <f t="shared" si="2"/>
        <v/>
      </c>
      <c r="AC36" s="15" t="str">
        <f t="shared" si="3"/>
        <v/>
      </c>
    </row>
    <row r="37" spans="1:29" s="15" customFormat="1" ht="55.2" x14ac:dyDescent="0.3">
      <c r="A37" s="24">
        <v>35</v>
      </c>
      <c r="B37" s="24" t="s">
        <v>41</v>
      </c>
      <c r="C37" s="24" t="s">
        <v>42</v>
      </c>
      <c r="D37" s="25" t="s">
        <v>156</v>
      </c>
      <c r="E37" s="24" t="s">
        <v>43</v>
      </c>
      <c r="F37" s="26" t="s">
        <v>183</v>
      </c>
      <c r="G37" s="26" t="s">
        <v>188</v>
      </c>
      <c r="H37" s="24"/>
      <c r="I37" s="24"/>
      <c r="J37" s="2" t="s">
        <v>194</v>
      </c>
      <c r="K37" s="24" t="s">
        <v>32</v>
      </c>
      <c r="L37" s="24">
        <v>65</v>
      </c>
      <c r="M37" s="24">
        <v>457</v>
      </c>
      <c r="N37" s="24">
        <v>203.5</v>
      </c>
      <c r="O37" s="27">
        <v>0.66</v>
      </c>
      <c r="P37" s="24"/>
      <c r="Q37" s="24"/>
      <c r="R37" s="24"/>
      <c r="S37" s="24"/>
      <c r="T37" s="24"/>
      <c r="U37" s="24"/>
      <c r="V37" s="24"/>
      <c r="W37" s="24"/>
      <c r="X37" s="28"/>
      <c r="Y37" s="24" t="s">
        <v>44</v>
      </c>
      <c r="Z37" s="39">
        <f t="shared" si="0"/>
        <v>0.66</v>
      </c>
      <c r="AA37" s="2" t="str">
        <f t="shared" si="1"/>
        <v/>
      </c>
      <c r="AB37" s="39" t="str">
        <f t="shared" si="2"/>
        <v/>
      </c>
      <c r="AC37" s="15" t="str">
        <f t="shared" si="3"/>
        <v/>
      </c>
    </row>
    <row r="38" spans="1:29" s="15" customFormat="1" ht="55.2" x14ac:dyDescent="0.3">
      <c r="A38" s="2">
        <v>36</v>
      </c>
      <c r="B38" s="2" t="s">
        <v>45</v>
      </c>
      <c r="C38" s="2" t="s">
        <v>46</v>
      </c>
      <c r="D38" s="4" t="s">
        <v>156</v>
      </c>
      <c r="E38" s="2" t="s">
        <v>47</v>
      </c>
      <c r="F38" s="1" t="s">
        <v>48</v>
      </c>
      <c r="G38" s="1" t="s">
        <v>187</v>
      </c>
      <c r="H38" s="2">
        <v>-17.956</v>
      </c>
      <c r="I38" s="2">
        <v>-65.944000000000003</v>
      </c>
      <c r="J38" s="2" t="s">
        <v>193</v>
      </c>
      <c r="K38" s="2" t="s">
        <v>32</v>
      </c>
      <c r="L38" s="2">
        <v>44.6</v>
      </c>
      <c r="M38" s="2">
        <v>197.5</v>
      </c>
      <c r="N38" s="32">
        <v>100</v>
      </c>
      <c r="O38" s="3">
        <v>0.5</v>
      </c>
      <c r="P38" s="2"/>
      <c r="Q38" s="2" t="s">
        <v>39</v>
      </c>
      <c r="R38" s="2">
        <v>4</v>
      </c>
      <c r="S38" s="2">
        <v>33</v>
      </c>
      <c r="T38" s="2"/>
      <c r="U38" s="2">
        <v>3310</v>
      </c>
      <c r="V38" s="2">
        <v>3310</v>
      </c>
      <c r="W38" s="2">
        <f>+V38</f>
        <v>3310</v>
      </c>
      <c r="X38" s="12">
        <v>200</v>
      </c>
      <c r="Y38" s="2" t="s">
        <v>40</v>
      </c>
      <c r="Z38" s="35">
        <f t="shared" si="0"/>
        <v>0.5</v>
      </c>
      <c r="AA38" s="40">
        <f t="shared" si="1"/>
        <v>1815247.24</v>
      </c>
      <c r="AB38" s="41">
        <f t="shared" si="2"/>
        <v>756.35301666666669</v>
      </c>
      <c r="AC38" s="15">
        <f t="shared" si="3"/>
        <v>18152.472399999999</v>
      </c>
    </row>
    <row r="39" spans="1:29" s="15" customFormat="1" ht="27.6" x14ac:dyDescent="0.3">
      <c r="A39" s="2">
        <v>37</v>
      </c>
      <c r="B39" s="2" t="s">
        <v>49</v>
      </c>
      <c r="C39" s="2" t="s">
        <v>166</v>
      </c>
      <c r="D39" s="4" t="s">
        <v>156</v>
      </c>
      <c r="E39" s="2" t="s">
        <v>50</v>
      </c>
      <c r="F39" s="1" t="s">
        <v>51</v>
      </c>
      <c r="G39" s="1" t="s">
        <v>188</v>
      </c>
      <c r="H39" s="2">
        <v>-20.238</v>
      </c>
      <c r="I39" s="2">
        <v>-64.656000000000006</v>
      </c>
      <c r="J39" s="2" t="s">
        <v>193</v>
      </c>
      <c r="K39" s="2" t="s">
        <v>32</v>
      </c>
      <c r="L39" s="2">
        <v>1.2</v>
      </c>
      <c r="M39" s="2">
        <v>1226</v>
      </c>
      <c r="N39" s="2">
        <v>12.27</v>
      </c>
      <c r="O39" s="3">
        <v>0.68</v>
      </c>
      <c r="P39" s="2"/>
      <c r="Q39" s="2"/>
      <c r="R39" s="2"/>
      <c r="S39" s="2"/>
      <c r="T39" s="2"/>
      <c r="U39" s="2"/>
      <c r="V39" s="2"/>
      <c r="W39" s="2">
        <v>0.15</v>
      </c>
      <c r="X39" s="12">
        <v>40</v>
      </c>
      <c r="Y39" s="2" t="s">
        <v>52</v>
      </c>
      <c r="Z39" s="39">
        <f t="shared" si="0"/>
        <v>0.68</v>
      </c>
      <c r="AA39" s="40">
        <f t="shared" si="1"/>
        <v>510.65</v>
      </c>
      <c r="AB39" s="41">
        <f t="shared" si="2"/>
        <v>1.7340736212985599</v>
      </c>
      <c r="AC39" s="15">
        <f t="shared" si="3"/>
        <v>41.617766911165447</v>
      </c>
    </row>
    <row r="40" spans="1:29" s="15" customFormat="1" ht="69" x14ac:dyDescent="0.3">
      <c r="A40" s="2">
        <v>38</v>
      </c>
      <c r="B40" s="2" t="s">
        <v>53</v>
      </c>
      <c r="C40" s="2" t="s">
        <v>54</v>
      </c>
      <c r="D40" s="4" t="s">
        <v>156</v>
      </c>
      <c r="E40" s="2" t="s">
        <v>55</v>
      </c>
      <c r="F40" s="1" t="s">
        <v>56</v>
      </c>
      <c r="G40" s="1" t="s">
        <v>186</v>
      </c>
      <c r="H40" s="2">
        <v>-15.882999999999999</v>
      </c>
      <c r="I40" s="2">
        <v>-68.986999999999995</v>
      </c>
      <c r="J40" s="37" t="s">
        <v>194</v>
      </c>
      <c r="K40" s="2" t="s">
        <v>32</v>
      </c>
      <c r="L40" s="2">
        <v>101.8</v>
      </c>
      <c r="M40" s="2">
        <v>32</v>
      </c>
      <c r="N40" s="2">
        <v>27.3</v>
      </c>
      <c r="O40" s="2"/>
      <c r="P40" s="2"/>
      <c r="Q40" s="2"/>
      <c r="R40" s="2"/>
      <c r="S40" s="2"/>
      <c r="T40" s="2"/>
      <c r="U40" s="2"/>
      <c r="V40" s="2"/>
      <c r="W40" s="2"/>
      <c r="X40" s="12">
        <v>35</v>
      </c>
      <c r="Y40" s="2" t="s">
        <v>40</v>
      </c>
      <c r="Z40" s="39">
        <f t="shared" si="0"/>
        <v>0.85</v>
      </c>
      <c r="AA40" s="2" t="str">
        <f t="shared" si="1"/>
        <v/>
      </c>
      <c r="AB40" s="39" t="str">
        <f t="shared" si="2"/>
        <v/>
      </c>
      <c r="AC40" s="15" t="str">
        <f t="shared" si="3"/>
        <v/>
      </c>
    </row>
    <row r="41" spans="1:29" ht="27.6" x14ac:dyDescent="0.3">
      <c r="A41" s="2">
        <v>39</v>
      </c>
      <c r="B41" s="2" t="s">
        <v>60</v>
      </c>
      <c r="C41" s="2" t="s">
        <v>61</v>
      </c>
      <c r="D41" s="4" t="s">
        <v>172</v>
      </c>
      <c r="E41" s="2" t="s">
        <v>59</v>
      </c>
      <c r="F41" s="5" t="s">
        <v>174</v>
      </c>
      <c r="G41" s="5" t="s">
        <v>188</v>
      </c>
      <c r="H41" s="38">
        <v>-18.513133</v>
      </c>
      <c r="I41" s="38">
        <v>-66.290052000000003</v>
      </c>
      <c r="J41" s="2" t="s">
        <v>194</v>
      </c>
      <c r="K41" s="2" t="s">
        <v>32</v>
      </c>
      <c r="L41" s="2">
        <v>16</v>
      </c>
      <c r="M41" s="2">
        <v>162.26</v>
      </c>
      <c r="N41" s="2">
        <v>10.14</v>
      </c>
      <c r="O41" s="4"/>
      <c r="P41" s="4"/>
      <c r="Q41" s="4"/>
      <c r="R41" s="4"/>
      <c r="S41" s="4"/>
      <c r="T41" s="4"/>
      <c r="U41" s="4"/>
      <c r="V41" s="4"/>
      <c r="W41" s="4"/>
      <c r="X41" s="13">
        <v>140</v>
      </c>
      <c r="Y41" s="4"/>
      <c r="Z41" s="39">
        <f t="shared" si="0"/>
        <v>0.85</v>
      </c>
      <c r="AA41" s="2" t="str">
        <f t="shared" si="1"/>
        <v/>
      </c>
      <c r="AB41" s="39" t="str">
        <f t="shared" si="2"/>
        <v/>
      </c>
      <c r="AC41" s="15" t="str">
        <f t="shared" si="3"/>
        <v/>
      </c>
    </row>
    <row r="42" spans="1:29" ht="27.6" x14ac:dyDescent="0.3">
      <c r="A42" s="2">
        <v>40</v>
      </c>
      <c r="B42" s="2" t="s">
        <v>60</v>
      </c>
      <c r="C42" s="2" t="s">
        <v>62</v>
      </c>
      <c r="D42" s="4" t="s">
        <v>172</v>
      </c>
      <c r="E42" s="2" t="s">
        <v>59</v>
      </c>
      <c r="F42" s="5" t="s">
        <v>57</v>
      </c>
      <c r="G42" s="5" t="s">
        <v>188</v>
      </c>
      <c r="H42" s="38">
        <v>-18.505303000000001</v>
      </c>
      <c r="I42" s="38">
        <v>-66.086472999999998</v>
      </c>
      <c r="J42" s="2" t="s">
        <v>194</v>
      </c>
      <c r="K42" s="2" t="s">
        <v>32</v>
      </c>
      <c r="L42" s="2">
        <v>14</v>
      </c>
      <c r="M42" s="2">
        <v>161.24</v>
      </c>
      <c r="N42" s="2">
        <v>20.149999999999999</v>
      </c>
      <c r="O42" s="4"/>
      <c r="P42" s="4"/>
      <c r="Q42" s="4"/>
      <c r="R42" s="4"/>
      <c r="S42" s="4"/>
      <c r="T42" s="4"/>
      <c r="U42" s="4"/>
      <c r="V42" s="4"/>
      <c r="W42" s="4"/>
      <c r="X42" s="13">
        <v>25</v>
      </c>
      <c r="Y42" s="4"/>
      <c r="Z42" s="39">
        <f t="shared" si="0"/>
        <v>0.85</v>
      </c>
      <c r="AA42" s="2" t="str">
        <f t="shared" si="1"/>
        <v/>
      </c>
      <c r="AB42" s="39" t="str">
        <f t="shared" si="2"/>
        <v/>
      </c>
      <c r="AC42" s="15" t="str">
        <f t="shared" si="3"/>
        <v/>
      </c>
    </row>
    <row r="43" spans="1:29" ht="27.6" x14ac:dyDescent="0.3">
      <c r="A43" s="2">
        <v>41</v>
      </c>
      <c r="B43" s="2" t="s">
        <v>60</v>
      </c>
      <c r="C43" s="2" t="s">
        <v>63</v>
      </c>
      <c r="D43" s="4" t="s">
        <v>172</v>
      </c>
      <c r="E43" s="2" t="s">
        <v>59</v>
      </c>
      <c r="F43" s="5" t="s">
        <v>58</v>
      </c>
      <c r="G43" s="5" t="s">
        <v>188</v>
      </c>
      <c r="H43" s="38">
        <v>-18.442663</v>
      </c>
      <c r="I43" s="38">
        <v>-65.820255000000003</v>
      </c>
      <c r="J43" s="2" t="s">
        <v>194</v>
      </c>
      <c r="K43" s="2" t="s">
        <v>32</v>
      </c>
      <c r="L43" s="2">
        <v>47</v>
      </c>
      <c r="M43" s="2">
        <v>235.9</v>
      </c>
      <c r="N43" s="2">
        <v>56.25</v>
      </c>
      <c r="O43" s="4"/>
      <c r="P43" s="4"/>
      <c r="Q43" s="4"/>
      <c r="R43" s="4"/>
      <c r="S43" s="4"/>
      <c r="T43" s="4"/>
      <c r="U43" s="4"/>
      <c r="V43" s="4"/>
      <c r="W43" s="4"/>
      <c r="X43" s="13">
        <v>140</v>
      </c>
      <c r="Y43" s="4"/>
      <c r="Z43" s="39">
        <f t="shared" si="0"/>
        <v>0.85</v>
      </c>
      <c r="AA43" s="2" t="str">
        <f t="shared" si="1"/>
        <v/>
      </c>
      <c r="AB43" s="39" t="str">
        <f t="shared" si="2"/>
        <v/>
      </c>
      <c r="AC43" s="15" t="str">
        <f t="shared" si="3"/>
        <v/>
      </c>
    </row>
    <row r="44" spans="1:29" s="15" customFormat="1" ht="82.8" x14ac:dyDescent="0.3">
      <c r="A44" s="2">
        <v>42</v>
      </c>
      <c r="B44" s="2" t="s">
        <v>65</v>
      </c>
      <c r="C44" s="2" t="s">
        <v>66</v>
      </c>
      <c r="D44" s="4" t="s">
        <v>156</v>
      </c>
      <c r="E44" s="2" t="s">
        <v>67</v>
      </c>
      <c r="F44" s="1" t="s">
        <v>68</v>
      </c>
      <c r="G44" s="1" t="s">
        <v>188</v>
      </c>
      <c r="H44" s="38">
        <v>-21.198919</v>
      </c>
      <c r="I44" s="38">
        <v>-64.802087</v>
      </c>
      <c r="J44" s="2" t="s">
        <v>193</v>
      </c>
      <c r="K44" s="2" t="s">
        <v>32</v>
      </c>
      <c r="L44" s="2">
        <v>1.4</v>
      </c>
      <c r="M44" s="2">
        <v>536</v>
      </c>
      <c r="N44" s="2">
        <v>5.83</v>
      </c>
      <c r="O44" s="3">
        <v>0.25</v>
      </c>
      <c r="P44" s="2"/>
      <c r="Q44" s="2"/>
      <c r="R44" s="2">
        <v>1</v>
      </c>
      <c r="S44" s="2"/>
      <c r="T44" s="2"/>
      <c r="U44" s="2">
        <v>11.2</v>
      </c>
      <c r="V44" s="2">
        <v>10.9</v>
      </c>
      <c r="W44" s="2">
        <f>+V44</f>
        <v>10.9</v>
      </c>
      <c r="X44" s="12">
        <v>27</v>
      </c>
      <c r="Y44" s="2" t="s">
        <v>40</v>
      </c>
      <c r="Z44" s="39">
        <f t="shared" si="0"/>
        <v>0.25</v>
      </c>
      <c r="AA44" s="40">
        <f t="shared" si="1"/>
        <v>16223.03</v>
      </c>
      <c r="AB44" s="41">
        <f t="shared" si="2"/>
        <v>115.9450400228702</v>
      </c>
      <c r="AC44" s="15">
        <f t="shared" si="3"/>
        <v>2782.6809605488852</v>
      </c>
    </row>
    <row r="45" spans="1:29" s="15" customFormat="1" ht="27.6" x14ac:dyDescent="0.3">
      <c r="A45" s="2">
        <v>43</v>
      </c>
      <c r="B45" s="2" t="s">
        <v>99</v>
      </c>
      <c r="C45" s="2"/>
      <c r="D45" s="4" t="s">
        <v>156</v>
      </c>
      <c r="E45" s="2" t="s">
        <v>100</v>
      </c>
      <c r="F45" s="1" t="s">
        <v>101</v>
      </c>
      <c r="G45" s="1" t="s">
        <v>186</v>
      </c>
      <c r="H45" s="2">
        <v>-10.827</v>
      </c>
      <c r="I45" s="2">
        <v>-65.903000000000006</v>
      </c>
      <c r="J45" s="2" t="s">
        <v>193</v>
      </c>
      <c r="K45" s="2" t="s">
        <v>32</v>
      </c>
      <c r="L45" s="2">
        <v>10150</v>
      </c>
      <c r="M45" s="2">
        <v>10.8</v>
      </c>
      <c r="N45" s="2">
        <v>990</v>
      </c>
      <c r="O45" s="3">
        <v>0.65</v>
      </c>
      <c r="P45" s="2"/>
      <c r="Q45" s="2" t="s">
        <v>102</v>
      </c>
      <c r="R45" s="2">
        <v>18</v>
      </c>
      <c r="S45" s="2">
        <v>55</v>
      </c>
      <c r="T45" s="2"/>
      <c r="U45" s="2">
        <v>25530</v>
      </c>
      <c r="V45" s="2">
        <v>25530</v>
      </c>
      <c r="W45" s="2">
        <f>+V45</f>
        <v>25530</v>
      </c>
      <c r="X45" s="12"/>
      <c r="Y45" s="2" t="s">
        <v>97</v>
      </c>
      <c r="Z45" s="39">
        <f t="shared" si="0"/>
        <v>0.65</v>
      </c>
      <c r="AA45" s="40">
        <f t="shared" si="1"/>
        <v>765623.51</v>
      </c>
      <c r="AB45" s="41">
        <f t="shared" si="2"/>
        <v>32.223211700336698</v>
      </c>
      <c r="AC45" s="15">
        <f t="shared" si="3"/>
        <v>773.35708080808081</v>
      </c>
    </row>
    <row r="46" spans="1:29" s="15" customFormat="1" ht="96.6" x14ac:dyDescent="0.3">
      <c r="A46" s="2">
        <v>44</v>
      </c>
      <c r="B46" s="2" t="s">
        <v>53</v>
      </c>
      <c r="C46" s="2" t="s">
        <v>104</v>
      </c>
      <c r="D46" s="4" t="s">
        <v>171</v>
      </c>
      <c r="E46" s="2" t="s">
        <v>105</v>
      </c>
      <c r="F46" s="1" t="s">
        <v>107</v>
      </c>
      <c r="G46" s="1" t="s">
        <v>186</v>
      </c>
      <c r="H46" s="2">
        <v>-14.972098000000001</v>
      </c>
      <c r="I46" s="2">
        <v>-67.685147000000001</v>
      </c>
      <c r="J46" s="2" t="s">
        <v>193</v>
      </c>
      <c r="K46" s="2" t="s">
        <v>32</v>
      </c>
      <c r="L46" s="2">
        <v>1600</v>
      </c>
      <c r="M46" s="2">
        <v>183</v>
      </c>
      <c r="N46" s="2">
        <v>3251</v>
      </c>
      <c r="O46" s="2"/>
      <c r="P46" s="2"/>
      <c r="Q46" s="2" t="s">
        <v>98</v>
      </c>
      <c r="R46" s="2">
        <f>2*8</f>
        <v>16</v>
      </c>
      <c r="S46" s="2">
        <v>168.75</v>
      </c>
      <c r="T46" s="2"/>
      <c r="U46" s="2">
        <v>31429.999999999996</v>
      </c>
      <c r="V46" s="2">
        <v>25900</v>
      </c>
      <c r="W46" s="2">
        <f>+V46</f>
        <v>25900</v>
      </c>
      <c r="X46" s="12"/>
      <c r="Y46" s="2" t="s">
        <v>97</v>
      </c>
      <c r="Z46" s="39">
        <f t="shared" si="0"/>
        <v>0.85</v>
      </c>
      <c r="AA46" s="40">
        <f t="shared" si="1"/>
        <v>13161080.470000001</v>
      </c>
      <c r="AB46" s="41">
        <f t="shared" si="2"/>
        <v>168.67989938993131</v>
      </c>
      <c r="AC46" s="15">
        <f t="shared" si="3"/>
        <v>4048.3175853583516</v>
      </c>
    </row>
    <row r="47" spans="1:29" s="15" customFormat="1" ht="96.6" x14ac:dyDescent="0.3">
      <c r="A47" s="2">
        <v>45</v>
      </c>
      <c r="B47" s="2" t="s">
        <v>103</v>
      </c>
      <c r="C47" s="2" t="s">
        <v>104</v>
      </c>
      <c r="D47" s="4" t="s">
        <v>171</v>
      </c>
      <c r="E47" s="2" t="s">
        <v>105</v>
      </c>
      <c r="F47" s="1" t="s">
        <v>106</v>
      </c>
      <c r="G47" s="1" t="s">
        <v>186</v>
      </c>
      <c r="H47" s="2">
        <v>-14.546955000000001</v>
      </c>
      <c r="I47" s="2">
        <v>-67.498613000000006</v>
      </c>
      <c r="J47" s="2" t="s">
        <v>193</v>
      </c>
      <c r="K47" s="2" t="s">
        <v>32</v>
      </c>
      <c r="L47" s="23">
        <f>+N47*1000000/(M47*9.81*1019)</f>
        <v>1062.8837010160667</v>
      </c>
      <c r="M47" s="2">
        <v>40</v>
      </c>
      <c r="N47" s="2">
        <v>425</v>
      </c>
      <c r="O47" s="2"/>
      <c r="P47" s="2"/>
      <c r="Q47" s="2" t="s">
        <v>102</v>
      </c>
      <c r="R47" s="2">
        <v>12</v>
      </c>
      <c r="S47" s="2"/>
      <c r="T47" s="2"/>
      <c r="U47" s="2"/>
      <c r="V47" s="2"/>
      <c r="W47" s="2">
        <f>94*W46/677</f>
        <v>3596.1595273264402</v>
      </c>
      <c r="X47" s="12"/>
      <c r="Y47" s="2" t="s">
        <v>97</v>
      </c>
      <c r="Z47" s="39">
        <f t="shared" si="0"/>
        <v>0.85</v>
      </c>
      <c r="AA47" s="40">
        <f t="shared" si="1"/>
        <v>399429.03</v>
      </c>
      <c r="AB47" s="41">
        <f t="shared" si="2"/>
        <v>39.159708823529414</v>
      </c>
      <c r="AC47" s="15">
        <f t="shared" si="3"/>
        <v>939.83301176470593</v>
      </c>
    </row>
    <row r="48" spans="1:29" x14ac:dyDescent="0.3">
      <c r="A48" s="2">
        <v>46</v>
      </c>
      <c r="B48" s="4"/>
      <c r="C48" s="4"/>
      <c r="D48" s="4" t="s">
        <v>156</v>
      </c>
      <c r="E48" s="4"/>
      <c r="F48" s="5" t="s">
        <v>117</v>
      </c>
      <c r="G48" s="5"/>
      <c r="H48" s="4"/>
      <c r="I48" s="4"/>
      <c r="J48" s="4" t="s">
        <v>193</v>
      </c>
      <c r="K48" s="2" t="s">
        <v>87</v>
      </c>
      <c r="L48" s="23">
        <f>+N48*1000000/(M48*9.81*1019)</f>
        <v>1.159242015779461</v>
      </c>
      <c r="M48" s="4">
        <v>170</v>
      </c>
      <c r="N48" s="4">
        <v>1.97</v>
      </c>
      <c r="O48" s="4"/>
      <c r="P48" s="4"/>
      <c r="Q48" s="4" t="s">
        <v>116</v>
      </c>
      <c r="R48" s="4">
        <v>2</v>
      </c>
      <c r="S48" s="4">
        <v>1</v>
      </c>
      <c r="T48" s="4"/>
      <c r="U48" s="4"/>
      <c r="V48" s="4"/>
      <c r="W48" s="4"/>
      <c r="X48" s="13"/>
      <c r="Y48" s="4" t="s">
        <v>118</v>
      </c>
      <c r="Z48" s="39">
        <f t="shared" si="0"/>
        <v>0.85</v>
      </c>
      <c r="AA48" s="2" t="str">
        <f t="shared" si="1"/>
        <v/>
      </c>
      <c r="AB48" s="39" t="str">
        <f t="shared" si="2"/>
        <v/>
      </c>
      <c r="AC48" s="15" t="str">
        <f t="shared" si="3"/>
        <v/>
      </c>
    </row>
    <row r="49" spans="1:29" s="15" customFormat="1" ht="27.6" x14ac:dyDescent="0.3">
      <c r="A49" s="2">
        <v>47</v>
      </c>
      <c r="B49" s="2" t="s">
        <v>65</v>
      </c>
      <c r="C49" s="2" t="s">
        <v>125</v>
      </c>
      <c r="D49" s="4" t="s">
        <v>156</v>
      </c>
      <c r="E49" s="2" t="s">
        <v>126</v>
      </c>
      <c r="F49" s="1" t="s">
        <v>127</v>
      </c>
      <c r="G49" s="1" t="s">
        <v>188</v>
      </c>
      <c r="H49" s="2">
        <v>-22.247</v>
      </c>
      <c r="I49" s="2">
        <v>-64.436999999999998</v>
      </c>
      <c r="J49" s="2" t="s">
        <v>193</v>
      </c>
      <c r="K49" s="2" t="s">
        <v>32</v>
      </c>
      <c r="L49" s="2">
        <v>115</v>
      </c>
      <c r="M49" s="2">
        <v>105</v>
      </c>
      <c r="N49" s="2">
        <v>93</v>
      </c>
      <c r="O49" s="2"/>
      <c r="P49" s="2"/>
      <c r="Q49" s="2" t="s">
        <v>39</v>
      </c>
      <c r="R49" s="2">
        <v>2</v>
      </c>
      <c r="S49" s="2"/>
      <c r="T49" s="2"/>
      <c r="U49" s="2">
        <v>1007</v>
      </c>
      <c r="V49" s="2">
        <v>1007</v>
      </c>
      <c r="W49" s="2">
        <f>+V49</f>
        <v>1007</v>
      </c>
      <c r="X49" s="12">
        <v>120</v>
      </c>
      <c r="Y49" s="2" t="s">
        <v>40</v>
      </c>
      <c r="Z49" s="39">
        <f t="shared" si="0"/>
        <v>0.85</v>
      </c>
      <c r="AA49" s="40">
        <f t="shared" si="1"/>
        <v>293602.3</v>
      </c>
      <c r="AB49" s="41">
        <f t="shared" si="2"/>
        <v>131.54224910394265</v>
      </c>
      <c r="AC49" s="15">
        <f t="shared" si="3"/>
        <v>3157.0139784946236</v>
      </c>
    </row>
    <row r="50" spans="1:29" s="15" customFormat="1" ht="27.6" x14ac:dyDescent="0.3">
      <c r="A50" s="2">
        <v>48</v>
      </c>
      <c r="B50" s="2" t="s">
        <v>18</v>
      </c>
      <c r="C50" s="2" t="s">
        <v>164</v>
      </c>
      <c r="D50" s="4" t="s">
        <v>156</v>
      </c>
      <c r="E50" s="2"/>
      <c r="F50" s="1" t="s">
        <v>128</v>
      </c>
      <c r="G50" s="1"/>
      <c r="H50" s="2">
        <v>-16.422999999999998</v>
      </c>
      <c r="I50" s="2">
        <v>-65.402000000000001</v>
      </c>
      <c r="J50" s="2" t="s">
        <v>194</v>
      </c>
      <c r="K50" s="2" t="s">
        <v>32</v>
      </c>
      <c r="L50" s="2"/>
      <c r="M50" s="2"/>
      <c r="N50" s="2">
        <v>87</v>
      </c>
      <c r="O50" s="2"/>
      <c r="P50" s="2"/>
      <c r="Q50" s="2"/>
      <c r="R50" s="2"/>
      <c r="S50" s="2"/>
      <c r="T50" s="2"/>
      <c r="U50" s="2"/>
      <c r="V50" s="2"/>
      <c r="W50" s="2"/>
      <c r="X50" s="12"/>
      <c r="Y50" s="2" t="s">
        <v>23</v>
      </c>
      <c r="Z50" s="39">
        <f t="shared" si="0"/>
        <v>0.85</v>
      </c>
      <c r="AA50" s="2" t="str">
        <f t="shared" si="1"/>
        <v/>
      </c>
      <c r="AB50" s="39" t="str">
        <f t="shared" si="2"/>
        <v/>
      </c>
      <c r="AC50" s="15" t="str">
        <f t="shared" si="3"/>
        <v/>
      </c>
    </row>
    <row r="51" spans="1:29" s="15" customFormat="1" ht="27.6" x14ac:dyDescent="0.3">
      <c r="A51" s="2">
        <v>49</v>
      </c>
      <c r="B51" s="2" t="s">
        <v>18</v>
      </c>
      <c r="C51" s="2" t="s">
        <v>164</v>
      </c>
      <c r="D51" s="4" t="s">
        <v>168</v>
      </c>
      <c r="E51" s="2" t="s">
        <v>129</v>
      </c>
      <c r="F51" s="1" t="s">
        <v>167</v>
      </c>
      <c r="G51" s="1" t="s">
        <v>187</v>
      </c>
      <c r="H51" s="2">
        <v>-16.911514</v>
      </c>
      <c r="I51" s="2">
        <v>-65.888968000000006</v>
      </c>
      <c r="J51" s="2" t="s">
        <v>193</v>
      </c>
      <c r="K51" s="2" t="s">
        <v>32</v>
      </c>
      <c r="L51" s="2">
        <v>60</v>
      </c>
      <c r="M51" s="2">
        <v>297</v>
      </c>
      <c r="N51" s="32">
        <v>140</v>
      </c>
      <c r="O51" s="2"/>
      <c r="P51" s="2"/>
      <c r="Q51" s="2" t="s">
        <v>39</v>
      </c>
      <c r="R51" s="2">
        <v>2</v>
      </c>
      <c r="S51" s="2"/>
      <c r="T51" s="2"/>
      <c r="U51" s="2">
        <v>70</v>
      </c>
      <c r="V51" s="2">
        <v>70</v>
      </c>
      <c r="W51" s="2">
        <v>308</v>
      </c>
      <c r="X51" s="12">
        <v>154</v>
      </c>
      <c r="Y51" s="2" t="s">
        <v>23</v>
      </c>
      <c r="Z51" s="35">
        <f t="shared" si="0"/>
        <v>0.85</v>
      </c>
      <c r="AA51" s="40">
        <f t="shared" si="1"/>
        <v>254008.27</v>
      </c>
      <c r="AB51" s="41">
        <f t="shared" si="2"/>
        <v>75.597699404761897</v>
      </c>
      <c r="AC51" s="15">
        <f t="shared" si="3"/>
        <v>1814.3447857142855</v>
      </c>
    </row>
    <row r="52" spans="1:29" s="15" customFormat="1" ht="27.6" x14ac:dyDescent="0.3">
      <c r="A52" s="2">
        <v>50</v>
      </c>
      <c r="B52" s="2" t="s">
        <v>18</v>
      </c>
      <c r="C52" s="2" t="s">
        <v>164</v>
      </c>
      <c r="D52" s="4" t="s">
        <v>168</v>
      </c>
      <c r="E52" s="2" t="s">
        <v>129</v>
      </c>
      <c r="F52" s="1" t="s">
        <v>130</v>
      </c>
      <c r="G52" s="1" t="s">
        <v>187</v>
      </c>
      <c r="H52" s="2">
        <v>-16.975517</v>
      </c>
      <c r="I52" s="2">
        <v>-65.742490000000004</v>
      </c>
      <c r="J52" s="2" t="s">
        <v>193</v>
      </c>
      <c r="K52" s="2" t="s">
        <v>32</v>
      </c>
      <c r="L52" s="23">
        <v>60</v>
      </c>
      <c r="M52" s="22">
        <f>+N52*1000000/(L52*9.81*1019)</f>
        <v>500.18056518403142</v>
      </c>
      <c r="N52" s="32">
        <v>300</v>
      </c>
      <c r="O52" s="2"/>
      <c r="P52" s="2"/>
      <c r="Q52" s="2"/>
      <c r="R52" s="2"/>
      <c r="S52" s="2"/>
      <c r="T52" s="2"/>
      <c r="U52" s="2"/>
      <c r="V52" s="2"/>
      <c r="W52" s="2">
        <v>308</v>
      </c>
      <c r="X52" s="12"/>
      <c r="Y52" s="2" t="s">
        <v>23</v>
      </c>
      <c r="Z52" s="35">
        <f t="shared" si="0"/>
        <v>0.85</v>
      </c>
      <c r="AA52" s="40">
        <f t="shared" si="1"/>
        <v>427777.78</v>
      </c>
      <c r="AB52" s="41">
        <f t="shared" si="2"/>
        <v>59.413580555555562</v>
      </c>
      <c r="AC52" s="15">
        <f t="shared" si="3"/>
        <v>1425.9259333333334</v>
      </c>
    </row>
    <row r="53" spans="1:29" s="15" customFormat="1" ht="41.4" x14ac:dyDescent="0.3">
      <c r="A53" s="2"/>
      <c r="B53" s="2" t="s">
        <v>30</v>
      </c>
      <c r="C53" s="2" t="s">
        <v>158</v>
      </c>
      <c r="D53" s="4" t="s">
        <v>178</v>
      </c>
      <c r="E53" s="2" t="s">
        <v>31</v>
      </c>
      <c r="F53" s="1" t="s">
        <v>180</v>
      </c>
      <c r="G53" s="1" t="s">
        <v>189</v>
      </c>
      <c r="H53" s="2"/>
      <c r="I53" s="2"/>
      <c r="J53" s="23" t="s">
        <v>194</v>
      </c>
      <c r="K53" s="2" t="s">
        <v>32</v>
      </c>
      <c r="L53" s="2"/>
      <c r="M53" s="2"/>
      <c r="N53" s="2">
        <v>60</v>
      </c>
      <c r="O53" s="2"/>
      <c r="P53" s="2"/>
      <c r="Q53" s="2"/>
      <c r="R53" s="2"/>
      <c r="S53" s="2"/>
      <c r="T53" s="2"/>
      <c r="U53" s="2"/>
      <c r="V53" s="2"/>
      <c r="W53" s="2"/>
      <c r="X53" s="12"/>
      <c r="Y53" s="2"/>
      <c r="Z53" s="39">
        <f t="shared" si="0"/>
        <v>0.85</v>
      </c>
      <c r="AA53" s="2" t="str">
        <f t="shared" si="1"/>
        <v/>
      </c>
      <c r="AB53" s="39" t="str">
        <f t="shared" si="2"/>
        <v/>
      </c>
      <c r="AC53" s="15" t="str">
        <f t="shared" si="3"/>
        <v/>
      </c>
    </row>
    <row r="54" spans="1:29" s="15" customFormat="1" ht="41.4" x14ac:dyDescent="0.3">
      <c r="A54" s="2"/>
      <c r="B54" s="2" t="s">
        <v>30</v>
      </c>
      <c r="C54" s="2" t="s">
        <v>158</v>
      </c>
      <c r="D54" s="4" t="s">
        <v>178</v>
      </c>
      <c r="E54" s="2" t="s">
        <v>31</v>
      </c>
      <c r="F54" s="1" t="s">
        <v>181</v>
      </c>
      <c r="G54" s="1" t="s">
        <v>189</v>
      </c>
      <c r="H54" s="2"/>
      <c r="I54" s="2"/>
      <c r="J54" s="23" t="s">
        <v>194</v>
      </c>
      <c r="K54" s="2" t="s">
        <v>32</v>
      </c>
      <c r="L54" s="2"/>
      <c r="M54" s="2"/>
      <c r="N54" s="2">
        <v>28</v>
      </c>
      <c r="O54" s="2"/>
      <c r="P54" s="2"/>
      <c r="Q54" s="2"/>
      <c r="R54" s="2"/>
      <c r="S54" s="2"/>
      <c r="T54" s="2"/>
      <c r="U54" s="2"/>
      <c r="V54" s="2"/>
      <c r="W54" s="2"/>
      <c r="X54" s="12"/>
      <c r="Y54" s="2"/>
      <c r="Z54" s="39">
        <f t="shared" si="0"/>
        <v>0.85</v>
      </c>
      <c r="AA54" s="2" t="str">
        <f t="shared" si="1"/>
        <v/>
      </c>
      <c r="AB54" s="39" t="str">
        <f t="shared" si="2"/>
        <v/>
      </c>
      <c r="AC54" s="15" t="str">
        <f t="shared" si="3"/>
        <v/>
      </c>
    </row>
    <row r="55" spans="1:29" s="15" customFormat="1" ht="41.4" x14ac:dyDescent="0.3">
      <c r="A55" s="2">
        <v>51</v>
      </c>
      <c r="B55" s="2" t="s">
        <v>30</v>
      </c>
      <c r="C55" s="2" t="s">
        <v>158</v>
      </c>
      <c r="D55" s="4" t="s">
        <v>178</v>
      </c>
      <c r="E55" s="2" t="s">
        <v>31</v>
      </c>
      <c r="F55" s="1" t="s">
        <v>29</v>
      </c>
      <c r="G55" s="1" t="s">
        <v>189</v>
      </c>
      <c r="H55" s="2">
        <v>-17.736000000000001</v>
      </c>
      <c r="I55" s="2">
        <v>-62.679000000000002</v>
      </c>
      <c r="J55" s="23" t="s">
        <v>194</v>
      </c>
      <c r="K55" s="2" t="s">
        <v>32</v>
      </c>
      <c r="L55" s="2">
        <v>32</v>
      </c>
      <c r="M55" s="22">
        <f>+N55*1000000/(L55*9.81*1019)</f>
        <v>87.531598907205492</v>
      </c>
      <c r="N55" s="2">
        <v>28</v>
      </c>
      <c r="O55" s="2"/>
      <c r="P55" s="2"/>
      <c r="Q55" s="2"/>
      <c r="R55" s="2"/>
      <c r="S55" s="2"/>
      <c r="T55" s="2"/>
      <c r="U55" s="2"/>
      <c r="V55" s="2"/>
      <c r="W55" s="2"/>
      <c r="X55" s="12"/>
      <c r="Y55" s="2" t="s">
        <v>179</v>
      </c>
      <c r="Z55" s="39">
        <f t="shared" si="0"/>
        <v>0.85</v>
      </c>
      <c r="AA55" s="2" t="str">
        <f t="shared" si="1"/>
        <v/>
      </c>
      <c r="AB55" s="39" t="str">
        <f t="shared" si="2"/>
        <v/>
      </c>
      <c r="AC55" s="15" t="str">
        <f t="shared" si="3"/>
        <v/>
      </c>
    </row>
    <row r="56" spans="1:29" s="21" customFormat="1" ht="43.8" customHeight="1" x14ac:dyDescent="0.3">
      <c r="A56" s="17">
        <v>52</v>
      </c>
      <c r="B56" s="17" t="s">
        <v>30</v>
      </c>
      <c r="C56" s="17" t="s">
        <v>94</v>
      </c>
      <c r="D56" s="18" t="s">
        <v>169</v>
      </c>
      <c r="E56" s="17" t="s">
        <v>95</v>
      </c>
      <c r="F56" s="19" t="s">
        <v>170</v>
      </c>
      <c r="G56" s="14" t="s">
        <v>187</v>
      </c>
      <c r="H56" s="16">
        <v>-18.466152999999998</v>
      </c>
      <c r="I56" s="16">
        <v>-64.872831000000005</v>
      </c>
      <c r="J56" s="17" t="s">
        <v>193</v>
      </c>
      <c r="K56" s="17" t="s">
        <v>32</v>
      </c>
      <c r="L56" s="17">
        <v>214</v>
      </c>
      <c r="M56" s="22">
        <f>+N56*1000000/(L56*9.81*1019)</f>
        <v>60.76960137749915</v>
      </c>
      <c r="N56" s="34">
        <v>130</v>
      </c>
      <c r="O56" s="17"/>
      <c r="P56" s="17"/>
      <c r="Q56" s="17"/>
      <c r="R56" s="17"/>
      <c r="S56" s="17"/>
      <c r="T56" s="17"/>
      <c r="U56" s="17"/>
      <c r="V56" s="17"/>
      <c r="W56" s="37">
        <v>3148</v>
      </c>
      <c r="X56" s="20"/>
      <c r="Y56" s="17" t="s">
        <v>97</v>
      </c>
      <c r="Z56" s="35">
        <f t="shared" si="0"/>
        <v>0.85</v>
      </c>
      <c r="AA56" s="40">
        <f t="shared" si="1"/>
        <v>531204.56999999995</v>
      </c>
      <c r="AB56" s="41">
        <f t="shared" si="2"/>
        <v>170.25787499999998</v>
      </c>
      <c r="AC56" s="15">
        <f t="shared" si="3"/>
        <v>4086.1889999999994</v>
      </c>
    </row>
    <row r="57" spans="1:29" ht="41.4" x14ac:dyDescent="0.3">
      <c r="A57" s="2">
        <v>53</v>
      </c>
      <c r="B57" s="2" t="s">
        <v>30</v>
      </c>
      <c r="C57" s="2" t="s">
        <v>94</v>
      </c>
      <c r="D57" s="4" t="s">
        <v>169</v>
      </c>
      <c r="E57" s="4" t="s">
        <v>108</v>
      </c>
      <c r="F57" s="5" t="s">
        <v>113</v>
      </c>
      <c r="G57" s="10" t="s">
        <v>187</v>
      </c>
      <c r="H57" s="36">
        <v>-18.505303000000001</v>
      </c>
      <c r="I57" s="36">
        <v>-64.669252</v>
      </c>
      <c r="J57" s="4" t="s">
        <v>193</v>
      </c>
      <c r="K57" s="2" t="s">
        <v>22</v>
      </c>
      <c r="L57" s="4">
        <v>171</v>
      </c>
      <c r="M57" s="4">
        <v>184</v>
      </c>
      <c r="N57" s="33">
        <v>400</v>
      </c>
      <c r="O57" s="4"/>
      <c r="P57" s="4"/>
      <c r="Q57" s="4"/>
      <c r="R57" s="4"/>
      <c r="S57" s="4"/>
      <c r="T57" s="4"/>
      <c r="U57" s="4"/>
      <c r="V57" s="4"/>
      <c r="W57" s="4">
        <v>3148</v>
      </c>
      <c r="X57" s="13">
        <v>190</v>
      </c>
      <c r="Y57" s="2" t="s">
        <v>97</v>
      </c>
      <c r="Z57" s="35">
        <f t="shared" si="0"/>
        <v>0.85</v>
      </c>
      <c r="AA57" s="40">
        <f t="shared" si="1"/>
        <v>1608396.94</v>
      </c>
      <c r="AB57" s="41">
        <f t="shared" si="2"/>
        <v>167.54134791666667</v>
      </c>
      <c r="AC57" s="15">
        <f t="shared" si="3"/>
        <v>4020.99235</v>
      </c>
    </row>
    <row r="58" spans="1:29" ht="41.4" x14ac:dyDescent="0.3">
      <c r="A58" s="2">
        <v>54</v>
      </c>
      <c r="B58" s="2" t="s">
        <v>30</v>
      </c>
      <c r="C58" s="2" t="s">
        <v>94</v>
      </c>
      <c r="D58" s="4" t="s">
        <v>169</v>
      </c>
      <c r="E58" s="4" t="s">
        <v>108</v>
      </c>
      <c r="F58" s="5" t="s">
        <v>16</v>
      </c>
      <c r="G58" s="10" t="s">
        <v>187</v>
      </c>
      <c r="H58" s="8">
        <v>-18.607092000000002</v>
      </c>
      <c r="I58" s="8">
        <v>-64.567463000000004</v>
      </c>
      <c r="J58" s="4" t="s">
        <v>193</v>
      </c>
      <c r="K58" s="2" t="s">
        <v>22</v>
      </c>
      <c r="L58" s="4">
        <v>194</v>
      </c>
      <c r="M58" s="4">
        <v>206</v>
      </c>
      <c r="N58" s="33">
        <v>500</v>
      </c>
      <c r="O58" s="4"/>
      <c r="P58" s="4"/>
      <c r="Q58" s="4"/>
      <c r="R58" s="4"/>
      <c r="S58" s="4"/>
      <c r="T58" s="4"/>
      <c r="U58" s="4"/>
      <c r="V58" s="4"/>
      <c r="W58" s="4">
        <v>8388</v>
      </c>
      <c r="X58" s="13">
        <v>196</v>
      </c>
      <c r="Y58" s="2" t="s">
        <v>97</v>
      </c>
      <c r="Z58" s="35">
        <f t="shared" si="0"/>
        <v>0.85</v>
      </c>
      <c r="AA58" s="40">
        <f t="shared" si="1"/>
        <v>4798067.2699999996</v>
      </c>
      <c r="AB58" s="41">
        <f t="shared" si="2"/>
        <v>399.83893916666665</v>
      </c>
      <c r="AC58" s="15">
        <f t="shared" si="3"/>
        <v>9596.1345399999991</v>
      </c>
    </row>
    <row r="59" spans="1:29" ht="41.4" x14ac:dyDescent="0.3">
      <c r="A59" s="2">
        <v>55</v>
      </c>
      <c r="B59" s="2" t="s">
        <v>30</v>
      </c>
      <c r="C59" s="2" t="s">
        <v>94</v>
      </c>
      <c r="D59" s="4" t="s">
        <v>169</v>
      </c>
      <c r="E59" s="4" t="s">
        <v>108</v>
      </c>
      <c r="F59" s="5" t="s">
        <v>109</v>
      </c>
      <c r="G59" s="10" t="s">
        <v>189</v>
      </c>
      <c r="H59" s="8">
        <v>-18.779350999999998</v>
      </c>
      <c r="I59" s="8">
        <v>-64.262095000000002</v>
      </c>
      <c r="J59" s="4" t="s">
        <v>193</v>
      </c>
      <c r="K59" s="2" t="s">
        <v>22</v>
      </c>
      <c r="L59" s="4">
        <v>273</v>
      </c>
      <c r="M59" s="4">
        <v>64</v>
      </c>
      <c r="N59" s="4">
        <v>170</v>
      </c>
      <c r="O59" s="4"/>
      <c r="P59" s="4"/>
      <c r="Q59" s="4"/>
      <c r="R59" s="4"/>
      <c r="S59" s="4"/>
      <c r="T59" s="4"/>
      <c r="U59" s="4"/>
      <c r="V59" s="4"/>
      <c r="W59" s="4">
        <v>516</v>
      </c>
      <c r="X59" s="13">
        <v>75</v>
      </c>
      <c r="Y59" s="2" t="s">
        <v>97</v>
      </c>
      <c r="Z59" s="39">
        <f t="shared" si="0"/>
        <v>0.85</v>
      </c>
      <c r="AA59" s="40">
        <f t="shared" si="1"/>
        <v>91700.22</v>
      </c>
      <c r="AB59" s="41">
        <f t="shared" si="2"/>
        <v>22.475544117647058</v>
      </c>
      <c r="AC59" s="15">
        <f t="shared" si="3"/>
        <v>539.41305882352947</v>
      </c>
    </row>
    <row r="60" spans="1:29" ht="41.4" x14ac:dyDescent="0.3">
      <c r="A60" s="2">
        <v>56</v>
      </c>
      <c r="B60" s="2" t="s">
        <v>30</v>
      </c>
      <c r="C60" s="2" t="s">
        <v>94</v>
      </c>
      <c r="D60" s="4" t="s">
        <v>169</v>
      </c>
      <c r="E60" s="4" t="s">
        <v>108</v>
      </c>
      <c r="F60" s="5" t="s">
        <v>110</v>
      </c>
      <c r="G60" s="10" t="s">
        <v>189</v>
      </c>
      <c r="H60" s="8">
        <v>-18.888971000000002</v>
      </c>
      <c r="I60" s="8">
        <v>-64.191625000000002</v>
      </c>
      <c r="J60" s="4" t="s">
        <v>193</v>
      </c>
      <c r="K60" s="2" t="s">
        <v>22</v>
      </c>
      <c r="L60" s="4">
        <v>276</v>
      </c>
      <c r="M60" s="4">
        <v>56</v>
      </c>
      <c r="N60" s="4">
        <v>300</v>
      </c>
      <c r="O60" s="4"/>
      <c r="P60" s="4"/>
      <c r="Q60" s="4"/>
      <c r="R60" s="4"/>
      <c r="S60" s="4"/>
      <c r="T60" s="4"/>
      <c r="U60" s="4"/>
      <c r="V60" s="4"/>
      <c r="W60" s="4">
        <v>835</v>
      </c>
      <c r="X60" s="13">
        <v>67</v>
      </c>
      <c r="Y60" s="2" t="s">
        <v>97</v>
      </c>
      <c r="Z60" s="39">
        <f t="shared" si="0"/>
        <v>0.85</v>
      </c>
      <c r="AA60" s="40">
        <f t="shared" si="1"/>
        <v>129842</v>
      </c>
      <c r="AB60" s="41">
        <f t="shared" si="2"/>
        <v>18.03361111111111</v>
      </c>
      <c r="AC60" s="15">
        <f t="shared" si="3"/>
        <v>432.80666666666667</v>
      </c>
    </row>
    <row r="61" spans="1:29" ht="41.4" x14ac:dyDescent="0.3">
      <c r="A61" s="2">
        <v>57</v>
      </c>
      <c r="B61" s="2" t="s">
        <v>30</v>
      </c>
      <c r="C61" s="2" t="s">
        <v>94</v>
      </c>
      <c r="D61" s="4" t="s">
        <v>169</v>
      </c>
      <c r="E61" s="4" t="s">
        <v>108</v>
      </c>
      <c r="F61" s="5" t="s">
        <v>111</v>
      </c>
      <c r="G61" s="10" t="s">
        <v>189</v>
      </c>
      <c r="H61" s="8">
        <v>-18.990760000000002</v>
      </c>
      <c r="I61" s="8">
        <v>-63.909747000000003</v>
      </c>
      <c r="J61" s="4" t="s">
        <v>193</v>
      </c>
      <c r="K61" s="2" t="s">
        <v>22</v>
      </c>
      <c r="L61" s="4">
        <v>285</v>
      </c>
      <c r="M61" s="4">
        <v>135</v>
      </c>
      <c r="N61" s="4">
        <v>500</v>
      </c>
      <c r="O61" s="4"/>
      <c r="P61" s="4"/>
      <c r="Q61" s="4"/>
      <c r="R61" s="4"/>
      <c r="S61" s="4"/>
      <c r="T61" s="4"/>
      <c r="U61" s="4"/>
      <c r="V61" s="4"/>
      <c r="W61" s="4">
        <v>1038</v>
      </c>
      <c r="X61" s="13">
        <v>145</v>
      </c>
      <c r="Y61" s="2" t="s">
        <v>97</v>
      </c>
      <c r="Z61" s="39">
        <f t="shared" si="0"/>
        <v>0.85</v>
      </c>
      <c r="AA61" s="40">
        <f t="shared" si="1"/>
        <v>389109.48</v>
      </c>
      <c r="AB61" s="41">
        <f t="shared" si="2"/>
        <v>32.425789999999999</v>
      </c>
      <c r="AC61" s="15">
        <f t="shared" si="3"/>
        <v>778.21895999999992</v>
      </c>
    </row>
    <row r="62" spans="1:29" ht="41.4" x14ac:dyDescent="0.3">
      <c r="A62" s="2">
        <v>58</v>
      </c>
      <c r="B62" s="2" t="s">
        <v>30</v>
      </c>
      <c r="C62" s="2" t="s">
        <v>94</v>
      </c>
      <c r="D62" s="4" t="s">
        <v>169</v>
      </c>
      <c r="E62" s="4" t="s">
        <v>108</v>
      </c>
      <c r="F62" s="5" t="s">
        <v>112</v>
      </c>
      <c r="G62" s="10" t="s">
        <v>189</v>
      </c>
      <c r="H62" s="8">
        <v>-19.014250000000001</v>
      </c>
      <c r="I62" s="8">
        <v>-63.713997999999997</v>
      </c>
      <c r="J62" s="4" t="s">
        <v>193</v>
      </c>
      <c r="K62" s="2" t="s">
        <v>22</v>
      </c>
      <c r="L62" s="4">
        <v>304</v>
      </c>
      <c r="M62" s="4">
        <v>135</v>
      </c>
      <c r="N62" s="4">
        <v>700</v>
      </c>
      <c r="O62" s="4"/>
      <c r="P62" s="4"/>
      <c r="Q62" s="4"/>
      <c r="R62" s="4"/>
      <c r="S62" s="4"/>
      <c r="T62" s="4"/>
      <c r="U62" s="4"/>
      <c r="V62" s="4"/>
      <c r="W62" s="4">
        <v>4872</v>
      </c>
      <c r="X62" s="13">
        <v>160</v>
      </c>
      <c r="Y62" s="2" t="s">
        <v>97</v>
      </c>
      <c r="Z62" s="39">
        <f t="shared" si="0"/>
        <v>0.85</v>
      </c>
      <c r="AA62" s="40">
        <f t="shared" si="1"/>
        <v>1826340.45</v>
      </c>
      <c r="AB62" s="41">
        <f t="shared" si="2"/>
        <v>108.71074107142857</v>
      </c>
      <c r="AC62" s="15">
        <f t="shared" si="3"/>
        <v>2609.0577857142857</v>
      </c>
    </row>
    <row r="63" spans="1:29" s="15" customFormat="1" ht="43.8" customHeight="1" x14ac:dyDescent="0.3">
      <c r="A63" s="2">
        <v>59</v>
      </c>
      <c r="B63" s="2" t="s">
        <v>30</v>
      </c>
      <c r="C63" s="2" t="s">
        <v>94</v>
      </c>
      <c r="D63" s="4" t="s">
        <v>169</v>
      </c>
      <c r="E63" s="2" t="s">
        <v>95</v>
      </c>
      <c r="F63" s="1" t="s">
        <v>96</v>
      </c>
      <c r="G63" s="14" t="s">
        <v>189</v>
      </c>
      <c r="H63" s="8">
        <v>-18.894587999999999</v>
      </c>
      <c r="I63" s="8">
        <v>-63.534824999999998</v>
      </c>
      <c r="J63" s="2" t="s">
        <v>193</v>
      </c>
      <c r="K63" s="2" t="s">
        <v>32</v>
      </c>
      <c r="L63" s="2">
        <v>600</v>
      </c>
      <c r="M63" s="2">
        <v>115</v>
      </c>
      <c r="N63" s="2">
        <v>600</v>
      </c>
      <c r="O63" s="2"/>
      <c r="P63" s="2"/>
      <c r="Q63" s="2" t="s">
        <v>98</v>
      </c>
      <c r="R63" s="2">
        <v>4</v>
      </c>
      <c r="S63" s="2">
        <v>150</v>
      </c>
      <c r="T63" s="2"/>
      <c r="U63" s="2">
        <v>19094.509999999998</v>
      </c>
      <c r="V63" s="2">
        <v>14829.16</v>
      </c>
      <c r="W63" s="2">
        <v>19094</v>
      </c>
      <c r="X63" s="12">
        <v>162</v>
      </c>
      <c r="Y63" s="2" t="s">
        <v>97</v>
      </c>
      <c r="Z63" s="39">
        <f t="shared" si="0"/>
        <v>0.85</v>
      </c>
      <c r="AA63" s="40">
        <f t="shared" si="1"/>
        <v>6097270.3099999996</v>
      </c>
      <c r="AB63" s="41">
        <f t="shared" si="2"/>
        <v>423.42154930555552</v>
      </c>
      <c r="AC63" s="15">
        <f t="shared" si="3"/>
        <v>10162.117183333332</v>
      </c>
    </row>
  </sheetData>
  <conditionalFormatting sqref="AA2:AB63">
    <cfRule type="top10" dxfId="0" priority="1" rank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VLIR_energy</dc:creator>
  <cp:lastModifiedBy>VLIR_energy</cp:lastModifiedBy>
  <dcterms:created xsi:type="dcterms:W3CDTF">2021-06-11T18:43:41Z</dcterms:created>
  <dcterms:modified xsi:type="dcterms:W3CDTF">2021-09-03T21:40:46Z</dcterms:modified>
</cp:coreProperties>
</file>