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beduco-my.sharepoint.com/personal/alba_aguilar_upb_edu_co/Documents/__ASAJ/_Semillero SEING/2022_2023_Generacion Conciencia/Ejecución/Modelo de Negocio/"/>
    </mc:Choice>
  </mc:AlternateContent>
  <xr:revisionPtr revIDLastSave="32" documentId="8_{8A8A798D-92C3-45EC-8DEC-BF56C7A0B234}" xr6:coauthVersionLast="36" xr6:coauthVersionMax="36" xr10:uidLastSave="{961FEC0A-8170-47A4-9D7A-34A541AF5544}"/>
  <bookViews>
    <workbookView xWindow="0" yWindow="0" windowWidth="24000" windowHeight="8925" xr2:uid="{B09722EA-A867-45EB-83F2-625A105333C7}"/>
  </bookViews>
  <sheets>
    <sheet name="Ventas" sheetId="8" r:id="rId1"/>
    <sheet name="General" sheetId="1" r:id="rId2"/>
    <sheet name="Mano de obra" sheetId="3" r:id="rId3"/>
    <sheet name="Materia prima" sheetId="2" r:id="rId4"/>
    <sheet name="GIF" sheetId="4" r:id="rId5"/>
    <sheet name="Depreciacion" sheetId="6" r:id="rId6"/>
    <sheet name="total costo dulces" sheetId="5" r:id="rId7"/>
    <sheet name="Rentabilidad bruta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L6" i="8"/>
  <c r="H7" i="8"/>
  <c r="H6" i="8"/>
  <c r="B12" i="8"/>
  <c r="D12" i="8" s="1"/>
  <c r="B11" i="8"/>
  <c r="D11" i="8" s="1"/>
  <c r="B10" i="8"/>
  <c r="D10" i="8" s="1"/>
  <c r="B9" i="8"/>
  <c r="D9" i="8" s="1"/>
  <c r="B8" i="8"/>
  <c r="E8" i="8" s="1"/>
  <c r="B7" i="8"/>
  <c r="D7" i="8" s="1"/>
  <c r="B6" i="8"/>
  <c r="D6" i="8" s="1"/>
  <c r="A14" i="8"/>
  <c r="G7" i="8" s="1"/>
  <c r="A12" i="8"/>
  <c r="A22" i="8" s="1"/>
  <c r="A11" i="8"/>
  <c r="A21" i="8" s="1"/>
  <c r="A10" i="8"/>
  <c r="A20" i="8" s="1"/>
  <c r="A9" i="8"/>
  <c r="A19" i="8" s="1"/>
  <c r="A8" i="8"/>
  <c r="A18" i="8" s="1"/>
  <c r="A7" i="8"/>
  <c r="A17" i="8" s="1"/>
  <c r="A6" i="8"/>
  <c r="A16" i="8" s="1"/>
  <c r="A4" i="8"/>
  <c r="G6" i="8" s="1"/>
  <c r="D8" i="8" l="1"/>
  <c r="E12" i="8"/>
  <c r="E11" i="8"/>
  <c r="I6" i="8"/>
  <c r="J6" i="8" s="1"/>
  <c r="E9" i="8"/>
  <c r="E10" i="8"/>
  <c r="E6" i="8"/>
  <c r="E7" i="8"/>
  <c r="A14" i="7"/>
  <c r="A4" i="7"/>
  <c r="B44" i="5"/>
  <c r="B37" i="5"/>
  <c r="B30" i="5"/>
  <c r="B23" i="5"/>
  <c r="B16" i="5"/>
  <c r="B9" i="5"/>
  <c r="G2" i="5"/>
  <c r="G16" i="5" s="1"/>
  <c r="G23" i="5" s="1"/>
  <c r="G30" i="5" s="1"/>
  <c r="G37" i="5" s="1"/>
  <c r="G44" i="5" s="1"/>
  <c r="B2" i="5"/>
  <c r="G18" i="2"/>
  <c r="L5" i="2"/>
  <c r="L18" i="2" s="1"/>
  <c r="G5" i="2"/>
  <c r="A33" i="3"/>
  <c r="C26" i="3"/>
  <c r="B26" i="3"/>
  <c r="A34" i="3" s="1"/>
  <c r="B96" i="1"/>
  <c r="B87" i="1"/>
  <c r="A12" i="7"/>
  <c r="A22" i="7" s="1"/>
  <c r="A11" i="7"/>
  <c r="A21" i="7" s="1"/>
  <c r="F44" i="5"/>
  <c r="F37" i="5"/>
  <c r="F30" i="5"/>
  <c r="F23" i="5"/>
  <c r="F16" i="5"/>
  <c r="F9" i="5"/>
  <c r="F2" i="5"/>
  <c r="L26" i="2"/>
  <c r="L25" i="2"/>
  <c r="L24" i="2"/>
  <c r="L23" i="2"/>
  <c r="L22" i="2"/>
  <c r="L21" i="2"/>
  <c r="L20" i="2"/>
  <c r="G26" i="2"/>
  <c r="G25" i="2"/>
  <c r="G24" i="2"/>
  <c r="G23" i="2"/>
  <c r="G22" i="2"/>
  <c r="G21" i="2"/>
  <c r="G20" i="2"/>
  <c r="A44" i="5"/>
  <c r="A37" i="5"/>
  <c r="A30" i="5"/>
  <c r="A23" i="5"/>
  <c r="A16" i="5"/>
  <c r="A9" i="5"/>
  <c r="A2" i="5"/>
  <c r="A71" i="2"/>
  <c r="A60" i="2"/>
  <c r="A49" i="2"/>
  <c r="A38" i="2"/>
  <c r="A27" i="2"/>
  <c r="A16" i="2"/>
  <c r="A5" i="2"/>
  <c r="E90" i="1"/>
  <c r="G9" i="5" l="1"/>
  <c r="A29" i="3"/>
  <c r="A27" i="3"/>
  <c r="A28" i="3"/>
  <c r="B27" i="3" l="1"/>
  <c r="C29" i="3"/>
  <c r="B29" i="3"/>
  <c r="B28" i="3"/>
  <c r="C28" i="3"/>
  <c r="C27" i="3"/>
  <c r="C10" i="1"/>
  <c r="E17" i="7" l="1"/>
  <c r="E22" i="7"/>
  <c r="E21" i="7"/>
  <c r="E20" i="7"/>
  <c r="E19" i="7"/>
  <c r="E18" i="7"/>
  <c r="E16" i="7"/>
  <c r="E12" i="7"/>
  <c r="E11" i="7"/>
  <c r="E10" i="7"/>
  <c r="E9" i="7"/>
  <c r="E8" i="7"/>
  <c r="E7" i="7"/>
  <c r="E6" i="7"/>
  <c r="C30" i="3" l="1"/>
  <c r="B38" i="3" s="1"/>
  <c r="B3" i="6" l="1"/>
  <c r="F84" i="1"/>
  <c r="D74" i="2" l="1"/>
  <c r="D75" i="2"/>
  <c r="D76" i="2"/>
  <c r="D77" i="2"/>
  <c r="D78" i="2"/>
  <c r="D79" i="2"/>
  <c r="D73" i="2"/>
  <c r="C74" i="2"/>
  <c r="C75" i="2"/>
  <c r="C76" i="2"/>
  <c r="C77" i="2"/>
  <c r="C78" i="2"/>
  <c r="C79" i="2"/>
  <c r="C73" i="2"/>
  <c r="D63" i="2"/>
  <c r="D64" i="2"/>
  <c r="D65" i="2"/>
  <c r="D66" i="2"/>
  <c r="D67" i="2"/>
  <c r="D68" i="2"/>
  <c r="D62" i="2"/>
  <c r="C63" i="2"/>
  <c r="C64" i="2"/>
  <c r="C65" i="2"/>
  <c r="C66" i="2"/>
  <c r="C67" i="2"/>
  <c r="C68" i="2"/>
  <c r="C62" i="2"/>
  <c r="N31" i="1"/>
  <c r="N28" i="1"/>
  <c r="M41" i="1"/>
  <c r="E79" i="2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1" i="1"/>
  <c r="E68" i="2" s="1"/>
  <c r="M30" i="1"/>
  <c r="E67" i="2" s="1"/>
  <c r="M29" i="1"/>
  <c r="E66" i="2" s="1"/>
  <c r="M28" i="1"/>
  <c r="E65" i="2" s="1"/>
  <c r="M27" i="1"/>
  <c r="E64" i="2" s="1"/>
  <c r="M26" i="1"/>
  <c r="E63" i="2" s="1"/>
  <c r="M25" i="1"/>
  <c r="E62" i="2" s="1"/>
  <c r="E102" i="1"/>
  <c r="N30" i="1" l="1"/>
  <c r="N41" i="1"/>
  <c r="N29" i="1"/>
  <c r="E73" i="2"/>
  <c r="N26" i="1"/>
  <c r="E77" i="2"/>
  <c r="E76" i="2"/>
  <c r="E75" i="2"/>
  <c r="E78" i="2"/>
  <c r="N25" i="1"/>
  <c r="E74" i="2"/>
  <c r="E80" i="2"/>
  <c r="N27" i="1"/>
  <c r="M32" i="1"/>
  <c r="N32" i="1" s="1"/>
  <c r="E69" i="2"/>
  <c r="M42" i="1"/>
  <c r="N42" i="1" s="1"/>
  <c r="E93" i="1"/>
  <c r="F93" i="1" s="1"/>
  <c r="D11" i="2" l="1"/>
  <c r="N11" i="2"/>
  <c r="N8" i="2"/>
  <c r="I8" i="2"/>
  <c r="C75" i="1"/>
  <c r="D147" i="1"/>
  <c r="C5" i="3" s="1"/>
  <c r="E11" i="1"/>
  <c r="C4" i="3"/>
  <c r="C3" i="3"/>
  <c r="C2" i="3"/>
  <c r="C18" i="3"/>
  <c r="C30" i="4"/>
  <c r="C14" i="4"/>
  <c r="C13" i="4"/>
  <c r="C31" i="4"/>
  <c r="I11" i="2"/>
  <c r="I10" i="2"/>
  <c r="C56" i="2"/>
  <c r="C57" i="2"/>
  <c r="D57" i="2"/>
  <c r="D56" i="2"/>
  <c r="D55" i="2"/>
  <c r="D54" i="2"/>
  <c r="D53" i="2"/>
  <c r="D51" i="2"/>
  <c r="D52" i="2"/>
  <c r="C51" i="2"/>
  <c r="C54" i="2"/>
  <c r="C55" i="2"/>
  <c r="C53" i="2"/>
  <c r="C52" i="2"/>
  <c r="C32" i="2"/>
  <c r="D45" i="2"/>
  <c r="D41" i="2"/>
  <c r="C43" i="2"/>
  <c r="C41" i="2"/>
  <c r="D34" i="2"/>
  <c r="D31" i="2"/>
  <c r="D30" i="2"/>
  <c r="C35" i="2"/>
  <c r="C34" i="2"/>
  <c r="C33" i="2"/>
  <c r="C31" i="2"/>
  <c r="C30" i="2"/>
  <c r="C29" i="2"/>
  <c r="C46" i="2"/>
  <c r="C45" i="2"/>
  <c r="C44" i="2"/>
  <c r="C42" i="2"/>
  <c r="C40" i="2"/>
  <c r="C21" i="2"/>
  <c r="C8" i="2"/>
  <c r="C7" i="2"/>
  <c r="D9" i="2"/>
  <c r="D10" i="2"/>
  <c r="C12" i="2"/>
  <c r="C11" i="2"/>
  <c r="C10" i="2"/>
  <c r="C9" i="2"/>
  <c r="C133" i="1"/>
  <c r="C134" i="1" s="1"/>
  <c r="C12" i="4"/>
  <c r="C29" i="4" s="1"/>
  <c r="F31" i="1"/>
  <c r="F30" i="1"/>
  <c r="F29" i="1"/>
  <c r="F28" i="1"/>
  <c r="F27" i="1"/>
  <c r="F26" i="1"/>
  <c r="F25" i="1"/>
  <c r="C139" i="1"/>
  <c r="F35" i="6" s="1"/>
  <c r="F28" i="6"/>
  <c r="B28" i="6"/>
  <c r="C136" i="1"/>
  <c r="B34" i="6" s="1"/>
  <c r="C37" i="3"/>
  <c r="C81" i="1"/>
  <c r="B30" i="3"/>
  <c r="B37" i="3" s="1"/>
  <c r="A37" i="3" s="1"/>
  <c r="C18" i="4" s="1"/>
  <c r="F128" i="1"/>
  <c r="F127" i="1"/>
  <c r="F126" i="1"/>
  <c r="F125" i="1"/>
  <c r="F124" i="1"/>
  <c r="F123" i="1"/>
  <c r="F81" i="1" l="1"/>
  <c r="F82" i="1" s="1"/>
  <c r="C6" i="3"/>
  <c r="E10" i="2"/>
  <c r="E54" i="2"/>
  <c r="E52" i="2"/>
  <c r="B36" i="6"/>
  <c r="G4" i="6"/>
  <c r="F129" i="1"/>
  <c r="C137" i="1"/>
  <c r="B33" i="6"/>
  <c r="E11" i="6" s="1"/>
  <c r="B37" i="6"/>
  <c r="F32" i="1"/>
  <c r="F34" i="6"/>
  <c r="C140" i="1"/>
  <c r="B35" i="6"/>
  <c r="F33" i="6"/>
  <c r="E14" i="6" s="1"/>
  <c r="E108" i="1"/>
  <c r="C21" i="4" s="1"/>
  <c r="E91" i="1" l="1"/>
  <c r="E100" i="1"/>
  <c r="F91" i="1"/>
  <c r="D112" i="1"/>
  <c r="C7" i="4"/>
  <c r="C24" i="4" s="1"/>
  <c r="G33" i="6"/>
  <c r="E34" i="6"/>
  <c r="E35" i="6" s="1"/>
  <c r="A34" i="6"/>
  <c r="A35" i="6" s="1"/>
  <c r="A36" i="6" s="1"/>
  <c r="A37" i="6" s="1"/>
  <c r="C33" i="6"/>
  <c r="S24" i="1"/>
  <c r="F100" i="1"/>
  <c r="O8" i="2" s="1"/>
  <c r="E53" i="2"/>
  <c r="E55" i="2"/>
  <c r="E56" i="2"/>
  <c r="E57" i="2"/>
  <c r="E51" i="2"/>
  <c r="E41" i="2"/>
  <c r="D42" i="2"/>
  <c r="E42" i="2" s="1"/>
  <c r="D43" i="2"/>
  <c r="E43" i="2" s="1"/>
  <c r="D44" i="2"/>
  <c r="E44" i="2" s="1"/>
  <c r="E45" i="2"/>
  <c r="D46" i="2"/>
  <c r="E46" i="2" s="1"/>
  <c r="D40" i="2"/>
  <c r="E40" i="2" s="1"/>
  <c r="E30" i="2"/>
  <c r="E31" i="2"/>
  <c r="D32" i="2"/>
  <c r="E32" i="2" s="1"/>
  <c r="D33" i="2"/>
  <c r="E33" i="2" s="1"/>
  <c r="E34" i="2"/>
  <c r="D35" i="2"/>
  <c r="E35" i="2" s="1"/>
  <c r="D29" i="2"/>
  <c r="E29" i="2" s="1"/>
  <c r="D19" i="2"/>
  <c r="D20" i="2"/>
  <c r="D21" i="2"/>
  <c r="D22" i="2"/>
  <c r="D23" i="2"/>
  <c r="D24" i="2"/>
  <c r="D18" i="2"/>
  <c r="C19" i="2"/>
  <c r="C20" i="2"/>
  <c r="C22" i="2"/>
  <c r="C23" i="2"/>
  <c r="C24" i="2"/>
  <c r="C18" i="2"/>
  <c r="D13" i="2"/>
  <c r="D12" i="2"/>
  <c r="C13" i="2"/>
  <c r="D8" i="2"/>
  <c r="D7" i="2"/>
  <c r="E7" i="2" s="1"/>
  <c r="F103" i="1"/>
  <c r="F102" i="1"/>
  <c r="O10" i="2" s="1"/>
  <c r="F101" i="1"/>
  <c r="O9" i="2" s="1"/>
  <c r="F92" i="1"/>
  <c r="J9" i="2" s="1"/>
  <c r="J10" i="2"/>
  <c r="F94" i="1"/>
  <c r="F71" i="1"/>
  <c r="F70" i="1"/>
  <c r="F69" i="1"/>
  <c r="F68" i="1"/>
  <c r="F67" i="1"/>
  <c r="F66" i="1"/>
  <c r="F65" i="1"/>
  <c r="C63" i="1"/>
  <c r="A10" i="7" s="1"/>
  <c r="A20" i="7" s="1"/>
  <c r="F61" i="1"/>
  <c r="F60" i="1"/>
  <c r="F59" i="1"/>
  <c r="F58" i="1"/>
  <c r="F57" i="1"/>
  <c r="F56" i="1"/>
  <c r="F55" i="1"/>
  <c r="C53" i="1"/>
  <c r="A9" i="7" s="1"/>
  <c r="A19" i="7" s="1"/>
  <c r="F51" i="1"/>
  <c r="F50" i="1"/>
  <c r="F49" i="1"/>
  <c r="F48" i="1"/>
  <c r="F47" i="1"/>
  <c r="F46" i="1"/>
  <c r="F45" i="1"/>
  <c r="A8" i="7"/>
  <c r="A18" i="7" s="1"/>
  <c r="F36" i="1"/>
  <c r="F37" i="1"/>
  <c r="F38" i="1"/>
  <c r="F39" i="1"/>
  <c r="F40" i="1"/>
  <c r="F41" i="1"/>
  <c r="F35" i="1"/>
  <c r="C33" i="1"/>
  <c r="A7" i="7" s="1"/>
  <c r="A17" i="7" s="1"/>
  <c r="A6" i="7"/>
  <c r="A16" i="7" s="1"/>
  <c r="E20" i="2" l="1"/>
  <c r="O11" i="2"/>
  <c r="J11" i="2"/>
  <c r="G34" i="6"/>
  <c r="G35" i="6" s="1"/>
  <c r="C34" i="6"/>
  <c r="C35" i="6" s="1"/>
  <c r="C36" i="6" s="1"/>
  <c r="C37" i="6" s="1"/>
  <c r="J8" i="2"/>
  <c r="E22" i="2"/>
  <c r="E36" i="2"/>
  <c r="E58" i="2"/>
  <c r="E47" i="2"/>
  <c r="E19" i="2"/>
  <c r="E21" i="2"/>
  <c r="E18" i="2"/>
  <c r="E24" i="2"/>
  <c r="E23" i="2"/>
  <c r="F72" i="1"/>
  <c r="F42" i="1"/>
  <c r="F52" i="1"/>
  <c r="F62" i="1"/>
  <c r="E25" i="2" l="1"/>
  <c r="E109" i="1"/>
  <c r="D3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C11" i="4"/>
  <c r="C28" i="4" s="1"/>
  <c r="C10" i="4"/>
  <c r="C27" i="4" s="1"/>
  <c r="C9" i="4"/>
  <c r="C26" i="4" s="1"/>
  <c r="C8" i="4"/>
  <c r="C25" i="4" s="1"/>
  <c r="C4" i="4"/>
  <c r="C3" i="4"/>
  <c r="I9" i="2"/>
  <c r="H10" i="2"/>
  <c r="D4" i="4" l="1"/>
  <c r="C22" i="4"/>
  <c r="B8" i="6"/>
  <c r="B16" i="6"/>
  <c r="B24" i="6"/>
  <c r="B9" i="6"/>
  <c r="B17" i="6"/>
  <c r="B25" i="6"/>
  <c r="B10" i="6"/>
  <c r="B18" i="6"/>
  <c r="B26" i="6"/>
  <c r="B13" i="6"/>
  <c r="B21" i="6"/>
  <c r="B22" i="6"/>
  <c r="B23" i="6"/>
  <c r="B11" i="6"/>
  <c r="B19" i="6"/>
  <c r="B7" i="6"/>
  <c r="E7" i="6" s="1"/>
  <c r="B12" i="6"/>
  <c r="B20" i="6"/>
  <c r="B14" i="6"/>
  <c r="B15" i="6"/>
  <c r="E12" i="2"/>
  <c r="E11" i="2"/>
  <c r="E9" i="2"/>
  <c r="E8" i="2"/>
  <c r="C7" i="6" l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9" i="3"/>
  <c r="E13" i="2"/>
  <c r="E14" i="2" s="1"/>
  <c r="C11" i="3" l="1"/>
  <c r="C8" i="3"/>
  <c r="C7" i="3"/>
  <c r="C14" i="3"/>
  <c r="C12" i="3"/>
  <c r="C15" i="3"/>
  <c r="C13" i="3"/>
  <c r="C16" i="3"/>
  <c r="C10" i="3" l="1"/>
  <c r="C17" i="3"/>
  <c r="B20" i="3" s="1"/>
  <c r="B21" i="3" s="1"/>
  <c r="B22" i="3" s="1"/>
  <c r="B23" i="3" s="1"/>
  <c r="C31" i="3" s="1"/>
  <c r="B24" i="3" l="1"/>
  <c r="B31" i="3"/>
  <c r="B34" i="3" s="1"/>
  <c r="B18" i="4" l="1"/>
  <c r="D18" i="4" s="1"/>
  <c r="E18" i="4" s="1"/>
  <c r="F4" i="6"/>
  <c r="H4" i="6" s="1"/>
  <c r="I4" i="6" s="1"/>
  <c r="G48" i="1"/>
  <c r="G60" i="1"/>
  <c r="G57" i="1"/>
  <c r="B3" i="2"/>
  <c r="G69" i="1"/>
  <c r="G50" i="1"/>
  <c r="G37" i="1"/>
  <c r="G45" i="1"/>
  <c r="G62" i="1"/>
  <c r="G58" i="1"/>
  <c r="G71" i="1"/>
  <c r="G41" i="1"/>
  <c r="G31" i="1"/>
  <c r="G51" i="1"/>
  <c r="G67" i="1"/>
  <c r="G29" i="1"/>
  <c r="G40" i="1"/>
  <c r="G56" i="1"/>
  <c r="G55" i="1"/>
  <c r="G28" i="1"/>
  <c r="G70" i="1"/>
  <c r="G27" i="1"/>
  <c r="G49" i="1"/>
  <c r="G42" i="1"/>
  <c r="G59" i="1"/>
  <c r="G66" i="1"/>
  <c r="G68" i="1"/>
  <c r="G46" i="1"/>
  <c r="G61" i="1"/>
  <c r="G36" i="1"/>
  <c r="G30" i="1"/>
  <c r="G32" i="1"/>
  <c r="G47" i="1"/>
  <c r="G52" i="1"/>
  <c r="G25" i="1"/>
  <c r="G39" i="1"/>
  <c r="G26" i="1"/>
  <c r="G38" i="1"/>
  <c r="G65" i="1"/>
  <c r="G72" i="1"/>
  <c r="G35" i="1"/>
  <c r="C11" i="1"/>
  <c r="B33" i="3" s="1"/>
  <c r="I7" i="2" l="1"/>
  <c r="C33" i="3"/>
  <c r="C4" i="5" s="1"/>
  <c r="D4" i="5" s="1"/>
  <c r="C34" i="3"/>
  <c r="I46" i="5"/>
  <c r="I39" i="5"/>
  <c r="D26" i="4"/>
  <c r="D27" i="4"/>
  <c r="D25" i="4"/>
  <c r="D29" i="4"/>
  <c r="D21" i="4"/>
  <c r="F11" i="6"/>
  <c r="F7" i="6"/>
  <c r="F14" i="6"/>
  <c r="F99" i="1"/>
  <c r="N7" i="2"/>
  <c r="D22" i="4"/>
  <c r="D30" i="4"/>
  <c r="F90" i="1"/>
  <c r="D28" i="4"/>
  <c r="D24" i="4"/>
  <c r="D31" i="4"/>
  <c r="C47" i="5" l="1"/>
  <c r="D47" i="5" s="1"/>
  <c r="C40" i="5"/>
  <c r="D40" i="5" s="1"/>
  <c r="H39" i="5"/>
  <c r="H46" i="5"/>
  <c r="C46" i="5"/>
  <c r="D46" i="5" s="1"/>
  <c r="C39" i="5"/>
  <c r="D39" i="5" s="1"/>
  <c r="H47" i="5"/>
  <c r="I47" i="5" s="1"/>
  <c r="H40" i="5"/>
  <c r="I40" i="5" s="1"/>
  <c r="H33" i="5"/>
  <c r="I33" i="5" s="1"/>
  <c r="C25" i="5"/>
  <c r="D25" i="5" s="1"/>
  <c r="C32" i="5"/>
  <c r="D32" i="5" s="1"/>
  <c r="C11" i="5"/>
  <c r="D11" i="5" s="1"/>
  <c r="C18" i="5"/>
  <c r="D18" i="5" s="1"/>
  <c r="D32" i="4"/>
  <c r="C27" i="5" s="1"/>
  <c r="D27" i="5" s="1"/>
  <c r="F104" i="1"/>
  <c r="O7" i="2"/>
  <c r="O12" i="2" s="1"/>
  <c r="H32" i="5"/>
  <c r="I32" i="5" s="1"/>
  <c r="H4" i="5"/>
  <c r="I4" i="5" s="1"/>
  <c r="H18" i="5"/>
  <c r="I18" i="5" s="1"/>
  <c r="H25" i="5"/>
  <c r="I25" i="5" s="1"/>
  <c r="H11" i="5"/>
  <c r="I11" i="5" s="1"/>
  <c r="C26" i="5"/>
  <c r="D26" i="5" s="1"/>
  <c r="H5" i="5"/>
  <c r="I5" i="5" s="1"/>
  <c r="C33" i="5"/>
  <c r="D33" i="5" s="1"/>
  <c r="H12" i="5"/>
  <c r="I12" i="5" s="1"/>
  <c r="H26" i="5"/>
  <c r="I26" i="5" s="1"/>
  <c r="C5" i="5"/>
  <c r="D5" i="5" s="1"/>
  <c r="C12" i="5"/>
  <c r="D12" i="5" s="1"/>
  <c r="C19" i="5"/>
  <c r="D19" i="5" s="1"/>
  <c r="H19" i="5"/>
  <c r="I19" i="5" s="1"/>
  <c r="J7" i="2"/>
  <c r="J12" i="2" s="1"/>
  <c r="F95" i="1"/>
  <c r="H6" i="5" l="1"/>
  <c r="I6" i="5" s="1"/>
  <c r="C41" i="5"/>
  <c r="D41" i="5" s="1"/>
  <c r="C48" i="5"/>
  <c r="D48" i="5" s="1"/>
  <c r="H48" i="5"/>
  <c r="I48" i="5" s="1"/>
  <c r="H41" i="5"/>
  <c r="I41" i="5" s="1"/>
  <c r="H20" i="2"/>
  <c r="B3" i="5" s="1"/>
  <c r="H26" i="2"/>
  <c r="H25" i="2"/>
  <c r="M20" i="2"/>
  <c r="M26" i="2"/>
  <c r="M25" i="2"/>
  <c r="O25" i="2" s="1"/>
  <c r="N25" i="2" s="1"/>
  <c r="M22" i="2"/>
  <c r="O22" i="2" s="1"/>
  <c r="N22" i="2" s="1"/>
  <c r="M23" i="2"/>
  <c r="O23" i="2" s="1"/>
  <c r="N23" i="2" s="1"/>
  <c r="M24" i="2"/>
  <c r="O24" i="2" s="1"/>
  <c r="H34" i="5"/>
  <c r="I34" i="5" s="1"/>
  <c r="C6" i="5"/>
  <c r="D6" i="5" s="1"/>
  <c r="C34" i="5"/>
  <c r="D34" i="5" s="1"/>
  <c r="H27" i="5"/>
  <c r="I27" i="5" s="1"/>
  <c r="H23" i="2"/>
  <c r="J23" i="2" s="1"/>
  <c r="I23" i="2" s="1"/>
  <c r="H22" i="2"/>
  <c r="J22" i="2" s="1"/>
  <c r="I22" i="2" s="1"/>
  <c r="H24" i="2"/>
  <c r="H21" i="2"/>
  <c r="J21" i="2" s="1"/>
  <c r="M21" i="2"/>
  <c r="O21" i="2" s="1"/>
  <c r="H20" i="5"/>
  <c r="I20" i="5" s="1"/>
  <c r="H13" i="5"/>
  <c r="I13" i="5" s="1"/>
  <c r="C20" i="5"/>
  <c r="D20" i="5" s="1"/>
  <c r="C13" i="5"/>
  <c r="D13" i="5" s="1"/>
  <c r="G38" i="5" l="1"/>
  <c r="G3" i="5"/>
  <c r="O20" i="2"/>
  <c r="J20" i="2"/>
  <c r="B38" i="5"/>
  <c r="J25" i="2"/>
  <c r="B45" i="5"/>
  <c r="J26" i="2"/>
  <c r="N24" i="2"/>
  <c r="H31" i="5"/>
  <c r="J24" i="2"/>
  <c r="B31" i="5"/>
  <c r="G45" i="5"/>
  <c r="O26" i="2"/>
  <c r="H38" i="5"/>
  <c r="H42" i="5" s="1"/>
  <c r="N20" i="2"/>
  <c r="I38" i="5" s="1"/>
  <c r="I42" i="5" s="1"/>
  <c r="B21" i="7" s="1"/>
  <c r="C21" i="7" s="1"/>
  <c r="I21" i="2"/>
  <c r="C10" i="5"/>
  <c r="D10" i="5" s="1"/>
  <c r="H10" i="5"/>
  <c r="I10" i="5" s="1"/>
  <c r="N21" i="2"/>
  <c r="B10" i="5"/>
  <c r="G17" i="5"/>
  <c r="H17" i="5"/>
  <c r="H24" i="5"/>
  <c r="G24" i="5"/>
  <c r="G10" i="5"/>
  <c r="B17" i="5"/>
  <c r="C17" i="5"/>
  <c r="H3" i="5"/>
  <c r="B24" i="5"/>
  <c r="C24" i="5"/>
  <c r="G31" i="5"/>
  <c r="D21" i="7" l="1"/>
  <c r="B21" i="8"/>
  <c r="D21" i="8" s="1"/>
  <c r="I20" i="2"/>
  <c r="C3" i="5"/>
  <c r="D3" i="5" s="1"/>
  <c r="D7" i="5" s="1"/>
  <c r="B6" i="7" s="1"/>
  <c r="C31" i="5"/>
  <c r="D31" i="5" s="1"/>
  <c r="I24" i="2"/>
  <c r="I26" i="2"/>
  <c r="C45" i="5"/>
  <c r="H45" i="5"/>
  <c r="H49" i="5" s="1"/>
  <c r="N26" i="2"/>
  <c r="I45" i="5" s="1"/>
  <c r="I49" i="5" s="1"/>
  <c r="B22" i="7" s="1"/>
  <c r="C22" i="7" s="1"/>
  <c r="I25" i="2"/>
  <c r="C38" i="5"/>
  <c r="C14" i="5"/>
  <c r="D14" i="5"/>
  <c r="B7" i="7" s="1"/>
  <c r="H28" i="5"/>
  <c r="I24" i="5"/>
  <c r="I28" i="5" s="1"/>
  <c r="B19" i="7" s="1"/>
  <c r="C19" i="7" s="1"/>
  <c r="B19" i="8" s="1"/>
  <c r="D19" i="8" s="1"/>
  <c r="I17" i="5"/>
  <c r="I21" i="5" s="1"/>
  <c r="B18" i="7" s="1"/>
  <c r="C18" i="7" s="1"/>
  <c r="B18" i="8" s="1"/>
  <c r="D18" i="8" s="1"/>
  <c r="H21" i="5"/>
  <c r="D24" i="5"/>
  <c r="D28" i="5" s="1"/>
  <c r="B9" i="7" s="1"/>
  <c r="C28" i="5"/>
  <c r="I3" i="5"/>
  <c r="I7" i="5" s="1"/>
  <c r="B16" i="7" s="1"/>
  <c r="C16" i="7" s="1"/>
  <c r="B16" i="8" s="1"/>
  <c r="D16" i="8" s="1"/>
  <c r="H7" i="5"/>
  <c r="C21" i="5"/>
  <c r="D17" i="5"/>
  <c r="D21" i="5" s="1"/>
  <c r="B8" i="7" s="1"/>
  <c r="H35" i="5"/>
  <c r="I31" i="5"/>
  <c r="I35" i="5" s="1"/>
  <c r="B20" i="7" s="1"/>
  <c r="C20" i="7" s="1"/>
  <c r="B20" i="8" s="1"/>
  <c r="D20" i="8" s="1"/>
  <c r="H14" i="5"/>
  <c r="I14" i="5"/>
  <c r="B17" i="7" s="1"/>
  <c r="C17" i="7" s="1"/>
  <c r="B17" i="8" s="1"/>
  <c r="D17" i="8" s="1"/>
  <c r="C7" i="5"/>
  <c r="D35" i="5"/>
  <c r="B10" i="7" s="1"/>
  <c r="C35" i="5"/>
  <c r="D22" i="7" l="1"/>
  <c r="B22" i="8"/>
  <c r="D22" i="8" s="1"/>
  <c r="I7" i="8" s="1"/>
  <c r="C42" i="5"/>
  <c r="D38" i="5"/>
  <c r="D42" i="5" s="1"/>
  <c r="B11" i="7" s="1"/>
  <c r="C11" i="7" s="1"/>
  <c r="D11" i="7" s="1"/>
  <c r="C9" i="7"/>
  <c r="D9" i="7" s="1"/>
  <c r="D45" i="5"/>
  <c r="D49" i="5" s="1"/>
  <c r="B12" i="7" s="1"/>
  <c r="C12" i="7" s="1"/>
  <c r="D12" i="7" s="1"/>
  <c r="C49" i="5"/>
  <c r="C8" i="7"/>
  <c r="D8" i="7" s="1"/>
  <c r="C10" i="7"/>
  <c r="D10" i="7" s="1"/>
  <c r="C7" i="7"/>
  <c r="D7" i="7" s="1"/>
  <c r="C6" i="7"/>
  <c r="D6" i="7" s="1"/>
  <c r="D20" i="7"/>
  <c r="D19" i="7"/>
  <c r="D17" i="7"/>
  <c r="D18" i="7"/>
  <c r="D16" i="7"/>
  <c r="J7" i="8" l="1"/>
  <c r="L7" i="8" s="1"/>
  <c r="L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tc={A123322D-9C48-4598-B127-6D899BB66BBB}</author>
  </authors>
  <commentList>
    <comment ref="B92" authorId="0" shapeId="0" xr:uid="{A123322D-9C48-4598-B127-6D899BB66BB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Precio de caja X 1000 und= 17.200 // PU = 17,2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PERSONAL</author>
  </authors>
  <commentList>
    <comment ref="B33" authorId="0" shapeId="0" xr:uid="{6B62A3AE-644F-4AB3-AC3F-D24D18FE6D63}">
      <text>
        <r>
          <rPr>
            <b/>
            <sz val="9"/>
            <color indexed="81"/>
            <rFont val="Tahoma"/>
            <family val="2"/>
          </rPr>
          <t>PERSONAL:</t>
        </r>
        <r>
          <rPr>
            <sz val="9"/>
            <color indexed="81"/>
            <rFont val="Tahoma"/>
            <family val="2"/>
          </rPr>
          <t xml:space="preserve">
Dividido en el total de cajas por lote
</t>
        </r>
      </text>
    </comment>
  </commentList>
</comments>
</file>

<file path=xl/sharedStrings.xml><?xml version="1.0" encoding="utf-8"?>
<sst xmlns="http://schemas.openxmlformats.org/spreadsheetml/2006/main" count="807" uniqueCount="238">
  <si>
    <t>Unidades por lote</t>
  </si>
  <si>
    <t>Unidades</t>
  </si>
  <si>
    <t>Cajas por lote</t>
  </si>
  <si>
    <t>Unidades por caja</t>
  </si>
  <si>
    <t>Tiempo de cocción</t>
  </si>
  <si>
    <t>Persona</t>
  </si>
  <si>
    <t>Pesos</t>
  </si>
  <si>
    <t>Papel plástico enfriamiento</t>
  </si>
  <si>
    <t>Metros</t>
  </si>
  <si>
    <t>10 lotes de dulce</t>
  </si>
  <si>
    <t>Unidad</t>
  </si>
  <si>
    <t>Cantidad</t>
  </si>
  <si>
    <t>P/U</t>
  </si>
  <si>
    <t>Guayaba / apio</t>
  </si>
  <si>
    <t>Mandarina</t>
  </si>
  <si>
    <t>Fresa/maracuyá</t>
  </si>
  <si>
    <t>Fruta</t>
  </si>
  <si>
    <t>Libra</t>
  </si>
  <si>
    <t>10 libras</t>
  </si>
  <si>
    <t>6 sobres</t>
  </si>
  <si>
    <t>20 litros</t>
  </si>
  <si>
    <t>Leche</t>
  </si>
  <si>
    <t>Litro</t>
  </si>
  <si>
    <t>Azucar</t>
  </si>
  <si>
    <t>12 libras</t>
  </si>
  <si>
    <t>Harina</t>
  </si>
  <si>
    <t>1 libra</t>
  </si>
  <si>
    <t>esencia de vainilla</t>
  </si>
  <si>
    <t>Ml</t>
  </si>
  <si>
    <t>Agua</t>
  </si>
  <si>
    <t>Litros</t>
  </si>
  <si>
    <t>Base dulce de arroz</t>
  </si>
  <si>
    <t>Libras</t>
  </si>
  <si>
    <t>EMPAQUE</t>
  </si>
  <si>
    <t>Tiempo de corte y empaque</t>
  </si>
  <si>
    <t>Minutos</t>
  </si>
  <si>
    <t># Personas empacando</t>
  </si>
  <si>
    <t>Caja</t>
  </si>
  <si>
    <t>Plástico vinipel por caja</t>
  </si>
  <si>
    <t>cm</t>
  </si>
  <si>
    <t>Capacillo</t>
  </si>
  <si>
    <t>Ganchos</t>
  </si>
  <si>
    <t>stiker</t>
  </si>
  <si>
    <t>unidad</t>
  </si>
  <si>
    <t>CIF</t>
  </si>
  <si>
    <t>Productos aseo…</t>
  </si>
  <si>
    <t>impuesto predial</t>
  </si>
  <si>
    <t>Cámara de Comercio (año)</t>
  </si>
  <si>
    <t>Herramientas (palas de madera)</t>
  </si>
  <si>
    <t>Tazas y otros, paños</t>
  </si>
  <si>
    <t>Fletes</t>
  </si>
  <si>
    <t>Caja especial</t>
  </si>
  <si>
    <t>Pesos por caja</t>
  </si>
  <si>
    <t>Total de materia prima</t>
  </si>
  <si>
    <t>Salario devengado</t>
  </si>
  <si>
    <t>S.m.m.l.v</t>
  </si>
  <si>
    <t>Aux. transporte</t>
  </si>
  <si>
    <t>Dotación</t>
  </si>
  <si>
    <t>Total</t>
  </si>
  <si>
    <t>Prestaciones sociales</t>
  </si>
  <si>
    <t>Primas</t>
  </si>
  <si>
    <t>8,33%</t>
  </si>
  <si>
    <t>Cesantias</t>
  </si>
  <si>
    <t>Interés/cesantías</t>
  </si>
  <si>
    <t>Vacaciones</t>
  </si>
  <si>
    <t>4,37%</t>
  </si>
  <si>
    <t>Parafiscales</t>
  </si>
  <si>
    <t>ICBF</t>
  </si>
  <si>
    <t>SENA</t>
  </si>
  <si>
    <t>Caja de compensación</t>
  </si>
  <si>
    <t>EPS</t>
  </si>
  <si>
    <t>Pensión</t>
  </si>
  <si>
    <t xml:space="preserve">Costo valor por dia </t>
  </si>
  <si>
    <t>Costo valor por hora</t>
  </si>
  <si>
    <t>Costo valor por minuto</t>
  </si>
  <si>
    <t>dias</t>
  </si>
  <si>
    <t>horas</t>
  </si>
  <si>
    <t xml:space="preserve">Horas empleadas </t>
  </si>
  <si>
    <t>Costo de mano de obra</t>
  </si>
  <si>
    <t>Ingredientes</t>
  </si>
  <si>
    <t xml:space="preserve">Precio </t>
  </si>
  <si>
    <t>Materiales</t>
  </si>
  <si>
    <t>GIF</t>
  </si>
  <si>
    <t xml:space="preserve">ARL </t>
  </si>
  <si>
    <t>Costo mp</t>
  </si>
  <si>
    <t>costo total mp</t>
  </si>
  <si>
    <t>COSTOS PARA FABRICACION MP</t>
  </si>
  <si>
    <t>EMBALAJE DEL PRODUCTO</t>
  </si>
  <si>
    <t xml:space="preserve">COSTO ACTIVO </t>
  </si>
  <si>
    <t>FABRICA</t>
  </si>
  <si>
    <t xml:space="preserve">TIEMPO </t>
  </si>
  <si>
    <t>20 AÑOS</t>
  </si>
  <si>
    <t>TOTAL</t>
  </si>
  <si>
    <t>AÑOS</t>
  </si>
  <si>
    <t>LISTA MATERIALES ASEO</t>
  </si>
  <si>
    <t>Limpido</t>
  </si>
  <si>
    <t>Jabon en polvo</t>
  </si>
  <si>
    <t>Vinagre</t>
  </si>
  <si>
    <t>Trapero</t>
  </si>
  <si>
    <t>Valor Mensual</t>
  </si>
  <si>
    <t>Valor Anual</t>
  </si>
  <si>
    <t>kilo</t>
  </si>
  <si>
    <t>Galon</t>
  </si>
  <si>
    <t>Und</t>
  </si>
  <si>
    <t>Recogedor</t>
  </si>
  <si>
    <t>DEPRECIACION ANUAL</t>
  </si>
  <si>
    <t>DEPRECIACION ACUMULADA</t>
  </si>
  <si>
    <t>Mensual</t>
  </si>
  <si>
    <t>Agua 60%</t>
  </si>
  <si>
    <t>Luz 60%</t>
  </si>
  <si>
    <t>CLASIFICACION DE COSTOS Y GASTOS</t>
  </si>
  <si>
    <t xml:space="preserve">COSTO MENSUAL </t>
  </si>
  <si>
    <t>Precio/Und</t>
  </si>
  <si>
    <t>Precio/total</t>
  </si>
  <si>
    <t>18 libras</t>
  </si>
  <si>
    <t>250 gr * 4 sobres</t>
  </si>
  <si>
    <t>Cantidades por referencia de dulce</t>
  </si>
  <si>
    <t>12 Litros</t>
  </si>
  <si>
    <t>3 Libras</t>
  </si>
  <si>
    <t>sobre</t>
  </si>
  <si>
    <t>sobre * 250 gr</t>
  </si>
  <si>
    <t>60% Corresponde PCC</t>
  </si>
  <si>
    <t>PRODUCTO</t>
  </si>
  <si>
    <t>Costo por caja</t>
  </si>
  <si>
    <t>Costo /unitario</t>
  </si>
  <si>
    <t xml:space="preserve">Materia prima </t>
  </si>
  <si>
    <t>Mano de obra</t>
  </si>
  <si>
    <t>Depreciacion</t>
  </si>
  <si>
    <t xml:space="preserve">Combustible en leña </t>
  </si>
  <si>
    <t>LOTES POR 1 DIA</t>
  </si>
  <si>
    <t>TOTAL HORAS DIA</t>
  </si>
  <si>
    <t>HORAS POR LOTE</t>
  </si>
  <si>
    <t>Lotes por dia</t>
  </si>
  <si>
    <t>unidades x dia</t>
  </si>
  <si>
    <t>unidades x mes</t>
  </si>
  <si>
    <t>costo x und</t>
  </si>
  <si>
    <t>cm 20*15</t>
  </si>
  <si>
    <t>Vinipel</t>
  </si>
  <si>
    <t>Calculo costo litro agua</t>
  </si>
  <si>
    <t>1 Litro</t>
  </si>
  <si>
    <t>m3</t>
  </si>
  <si>
    <t>Costo m3 AMB Bogota</t>
  </si>
  <si>
    <t>COMPUTADOR</t>
  </si>
  <si>
    <t>5 AÑOS</t>
  </si>
  <si>
    <t>IMPRESORA</t>
  </si>
  <si>
    <t>3 AÑOS</t>
  </si>
  <si>
    <t>MENSUAL FABRICA</t>
  </si>
  <si>
    <t>MENSUAL COMPUTADOR</t>
  </si>
  <si>
    <t>MENSUAL IMPRESORA</t>
  </si>
  <si>
    <t>Por 2 Metros</t>
  </si>
  <si>
    <t>EMPAQUE / INFORMACION</t>
  </si>
  <si>
    <t># empleados</t>
  </si>
  <si>
    <t>DEPRECIACION ACTIVOS DULCES ANAVICKY 2023</t>
  </si>
  <si>
    <t>INMUEBLE</t>
  </si>
  <si>
    <t xml:space="preserve">DEPRECIACION </t>
  </si>
  <si>
    <t>MANO DE OBRA DULCES ANAVICKY</t>
  </si>
  <si>
    <t>MATERIA PRIMA DIRECTA POR LOTE</t>
  </si>
  <si>
    <t>Unidades x caja</t>
  </si>
  <si>
    <t>TOTAL COSTO CAJA X 12</t>
  </si>
  <si>
    <t>TOTAL COSTO CAJA X 10</t>
  </si>
  <si>
    <t xml:space="preserve">Costo por lote </t>
  </si>
  <si>
    <t>POR UND PRODUCIDA</t>
  </si>
  <si>
    <t xml:space="preserve">COSTO TOTAL POR REFERENCIA DE PRODUCTO </t>
  </si>
  <si>
    <t>2 litros</t>
  </si>
  <si>
    <t>5ml</t>
  </si>
  <si>
    <t>INGREDIENTES</t>
  </si>
  <si>
    <t>PRODUCTOS</t>
  </si>
  <si>
    <t>-</t>
  </si>
  <si>
    <t>SERVICIOS</t>
  </si>
  <si>
    <t>Tiempo</t>
  </si>
  <si>
    <t>Productos</t>
  </si>
  <si>
    <t>GASTOS</t>
  </si>
  <si>
    <t>Anual</t>
  </si>
  <si>
    <t>Impuesto predial</t>
  </si>
  <si>
    <t xml:space="preserve">Cámara de Comercio </t>
  </si>
  <si>
    <t>Cuatrimestral</t>
  </si>
  <si>
    <t>Tazas y otros</t>
  </si>
  <si>
    <t>Escoba</t>
  </si>
  <si>
    <t>500 ml</t>
  </si>
  <si>
    <t>Total costo por empleado</t>
  </si>
  <si>
    <t xml:space="preserve">TOTAL  EMPLEADOS </t>
  </si>
  <si>
    <t>caja</t>
  </si>
  <si>
    <t>TOTAL COSTOS Y GASTOS INDIRECTOS X UND MENSUALES</t>
  </si>
  <si>
    <t>Costo x caja</t>
  </si>
  <si>
    <t>Articulo</t>
  </si>
  <si>
    <t>Costo producto</t>
  </si>
  <si>
    <t xml:space="preserve">Precio de venta </t>
  </si>
  <si>
    <t>CAJA ESPECIAL X 10</t>
  </si>
  <si>
    <t>Numero de trabajadores</t>
  </si>
  <si>
    <t>INFORMACIÓN PREPARACION DE LOTE</t>
  </si>
  <si>
    <t>Margen de ganancia  bruta</t>
  </si>
  <si>
    <t xml:space="preserve">Margen de ganancia bruta </t>
  </si>
  <si>
    <t>Cm largo</t>
  </si>
  <si>
    <t>Cm ancho</t>
  </si>
  <si>
    <t>Total cm2</t>
  </si>
  <si>
    <t>Valor cm2</t>
  </si>
  <si>
    <t>Tiempo de armado</t>
  </si>
  <si>
    <t>300cm2 x caja</t>
  </si>
  <si>
    <t xml:space="preserve">Ganchos </t>
  </si>
  <si>
    <t>unidades x caja</t>
  </si>
  <si>
    <t xml:space="preserve">Valor </t>
  </si>
  <si>
    <t>Valor x unidad</t>
  </si>
  <si>
    <t>MATERIA PRIMA INDIRECTA POR UNIDAD</t>
  </si>
  <si>
    <t xml:space="preserve">COSTO MATERIA PRIMA DIRECTA E INDIRECTA </t>
  </si>
  <si>
    <t>Valor</t>
  </si>
  <si>
    <t>Guayaba</t>
  </si>
  <si>
    <t>Apio</t>
  </si>
  <si>
    <t>Fresa</t>
  </si>
  <si>
    <t>Café</t>
  </si>
  <si>
    <t>Café molido instantáneo</t>
  </si>
  <si>
    <t>Otros tiempos adicionales</t>
  </si>
  <si>
    <t>MARGEN DE GANANCIA ESPERADA</t>
  </si>
  <si>
    <t>CAJA ESTÁNDAR X 12</t>
  </si>
  <si>
    <t>Lotes por día</t>
  </si>
  <si>
    <t>Lotes empacados por día</t>
  </si>
  <si>
    <t>Lotes</t>
  </si>
  <si>
    <t>Horas x lote</t>
  </si>
  <si>
    <t>Horas caja especial x 10 x lote</t>
  </si>
  <si>
    <t>Horas caja estándar x 12 x lote</t>
  </si>
  <si>
    <t>Total de producción</t>
  </si>
  <si>
    <t>Número de lotes a producir / día</t>
  </si>
  <si>
    <t>Cajas estándar</t>
  </si>
  <si>
    <t>MORA</t>
  </si>
  <si>
    <t>Estándar x 12</t>
  </si>
  <si>
    <t>Especial x 10</t>
  </si>
  <si>
    <t>Costo mano de obra (en horas)</t>
  </si>
  <si>
    <t>DULCES DOÑA ANA VICKY</t>
  </si>
  <si>
    <t>Ganancia bruta
 ANTES DE IMPUESTOS</t>
  </si>
  <si>
    <t>Datos de Ganancia Bruta - Antes de Impuestos</t>
  </si>
  <si>
    <t>Total / caja</t>
  </si>
  <si>
    <t>Dulces / caja</t>
  </si>
  <si>
    <t>Descripción</t>
  </si>
  <si>
    <t>Precio</t>
  </si>
  <si>
    <t>Utilidad</t>
  </si>
  <si>
    <t>Costo</t>
  </si>
  <si>
    <t>Cantidad de cajas</t>
  </si>
  <si>
    <t>Unidades
 x caja</t>
  </si>
  <si>
    <t>Total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</si>
</sst>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0" fontId="0" fillId="3" borderId="1" xfId="0" applyFill="1" applyBorder="1"/>
    <xf numFmtId="164" fontId="0" fillId="3" borderId="1" xfId="1" applyNumberFormat="1" applyFont="1" applyFill="1" applyBorder="1"/>
    <xf numFmtId="0" fontId="0" fillId="2" borderId="1" xfId="0" applyFill="1" applyBorder="1"/>
    <xf numFmtId="0" fontId="2" fillId="2" borderId="1" xfId="0" applyFont="1" applyFill="1" applyBorder="1"/>
    <xf numFmtId="44" fontId="0" fillId="3" borderId="1" xfId="0" applyNumberFormat="1" applyFill="1" applyBorder="1"/>
    <xf numFmtId="44" fontId="0" fillId="3" borderId="1" xfId="2" applyFont="1" applyFill="1" applyBorder="1"/>
    <xf numFmtId="44" fontId="3" fillId="3" borderId="1" xfId="0" applyNumberFormat="1" applyFont="1" applyFill="1" applyBorder="1"/>
    <xf numFmtId="44" fontId="0" fillId="0" borderId="0" xfId="0" applyNumberFormat="1"/>
    <xf numFmtId="0" fontId="2" fillId="0" borderId="0" xfId="0" applyFont="1"/>
    <xf numFmtId="6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6" fontId="0" fillId="3" borderId="1" xfId="2" applyNumberFormat="1" applyFont="1" applyFill="1" applyBorder="1"/>
    <xf numFmtId="167" fontId="0" fillId="3" borderId="1" xfId="2" applyNumberFormat="1" applyFont="1" applyFill="1" applyBorder="1"/>
    <xf numFmtId="0" fontId="0" fillId="3" borderId="1" xfId="0" applyFill="1" applyBorder="1" applyAlignment="1">
      <alignment horizontal="center"/>
    </xf>
    <xf numFmtId="44" fontId="2" fillId="3" borderId="1" xfId="2" applyFont="1" applyFill="1" applyBorder="1"/>
    <xf numFmtId="167" fontId="0" fillId="3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3" borderId="3" xfId="0" applyFill="1" applyBorder="1"/>
    <xf numFmtId="9" fontId="2" fillId="2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164" fontId="0" fillId="4" borderId="0" xfId="1" applyNumberFormat="1" applyFont="1" applyFill="1" applyBorder="1"/>
    <xf numFmtId="167" fontId="2" fillId="4" borderId="0" xfId="0" applyNumberFormat="1" applyFont="1" applyFill="1"/>
    <xf numFmtId="167" fontId="2" fillId="4" borderId="0" xfId="2" applyNumberFormat="1" applyFont="1" applyFill="1" applyBorder="1"/>
    <xf numFmtId="0" fontId="2" fillId="2" borderId="4" xfId="0" applyFont="1" applyFill="1" applyBorder="1"/>
    <xf numFmtId="0" fontId="0" fillId="3" borderId="5" xfId="0" applyFill="1" applyBorder="1"/>
    <xf numFmtId="0" fontId="0" fillId="2" borderId="7" xfId="0" applyFill="1" applyBorder="1"/>
    <xf numFmtId="167" fontId="0" fillId="3" borderId="8" xfId="2" applyNumberFormat="1" applyFont="1" applyFill="1" applyBorder="1"/>
    <xf numFmtId="0" fontId="0" fillId="2" borderId="9" xfId="0" applyFill="1" applyBorder="1"/>
    <xf numFmtId="0" fontId="0" fillId="3" borderId="10" xfId="0" applyFill="1" applyBorder="1"/>
    <xf numFmtId="167" fontId="0" fillId="3" borderId="10" xfId="0" applyNumberFormat="1" applyFill="1" applyBorder="1"/>
    <xf numFmtId="0" fontId="0" fillId="3" borderId="8" xfId="0" applyFill="1" applyBorder="1"/>
    <xf numFmtId="0" fontId="2" fillId="2" borderId="7" xfId="0" applyFont="1" applyFill="1" applyBorder="1"/>
    <xf numFmtId="0" fontId="2" fillId="2" borderId="9" xfId="0" applyFont="1" applyFill="1" applyBorder="1"/>
    <xf numFmtId="0" fontId="0" fillId="3" borderId="15" xfId="0" applyFill="1" applyBorder="1"/>
    <xf numFmtId="164" fontId="0" fillId="3" borderId="10" xfId="1" applyNumberFormat="1" applyFont="1" applyFill="1" applyBorder="1"/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2" fillId="2" borderId="17" xfId="0" applyFont="1" applyFill="1" applyBorder="1"/>
    <xf numFmtId="0" fontId="2" fillId="3" borderId="2" xfId="0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0" fontId="0" fillId="2" borderId="17" xfId="0" applyFill="1" applyBorder="1"/>
    <xf numFmtId="164" fontId="0" fillId="3" borderId="5" xfId="1" applyNumberFormat="1" applyFont="1" applyFill="1" applyBorder="1"/>
    <xf numFmtId="0" fontId="0" fillId="3" borderId="6" xfId="0" applyFill="1" applyBorder="1"/>
    <xf numFmtId="2" fontId="0" fillId="3" borderId="8" xfId="2" applyNumberFormat="1" applyFon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8" xfId="2" applyFont="1" applyFill="1" applyBorder="1"/>
    <xf numFmtId="44" fontId="0" fillId="3" borderId="11" xfId="2" applyFont="1" applyFill="1" applyBorder="1"/>
    <xf numFmtId="167" fontId="0" fillId="3" borderId="10" xfId="2" applyNumberFormat="1" applyFont="1" applyFill="1" applyBorder="1"/>
    <xf numFmtId="0" fontId="3" fillId="2" borderId="7" xfId="0" applyFont="1" applyFill="1" applyBorder="1"/>
    <xf numFmtId="44" fontId="0" fillId="3" borderId="10" xfId="0" applyNumberFormat="1" applyFill="1" applyBorder="1"/>
    <xf numFmtId="0" fontId="0" fillId="3" borderId="7" xfId="0" applyFill="1" applyBorder="1" applyAlignment="1">
      <alignment horizontal="left"/>
    </xf>
    <xf numFmtId="167" fontId="0" fillId="3" borderId="8" xfId="0" applyNumberFormat="1" applyFill="1" applyBorder="1"/>
    <xf numFmtId="0" fontId="0" fillId="3" borderId="9" xfId="0" applyFill="1" applyBorder="1" applyAlignment="1">
      <alignment horizontal="left"/>
    </xf>
    <xf numFmtId="167" fontId="0" fillId="3" borderId="11" xfId="0" applyNumberFormat="1" applyFill="1" applyBorder="1"/>
    <xf numFmtId="167" fontId="2" fillId="3" borderId="11" xfId="0" applyNumberFormat="1" applyFont="1" applyFill="1" applyBorder="1"/>
    <xf numFmtId="164" fontId="0" fillId="3" borderId="8" xfId="1" applyNumberFormat="1" applyFont="1" applyFill="1" applyBorder="1"/>
    <xf numFmtId="9" fontId="0" fillId="3" borderId="8" xfId="3" applyFont="1" applyFill="1" applyBorder="1"/>
    <xf numFmtId="165" fontId="0" fillId="3" borderId="8" xfId="3" applyNumberFormat="1" applyFont="1" applyFill="1" applyBorder="1"/>
    <xf numFmtId="10" fontId="0" fillId="3" borderId="8" xfId="3" applyNumberFormat="1" applyFont="1" applyFill="1" applyBorder="1"/>
    <xf numFmtId="164" fontId="0" fillId="3" borderId="11" xfId="1" applyNumberFormat="1" applyFont="1" applyFill="1" applyBorder="1"/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2" fillId="3" borderId="5" xfId="0" applyFont="1" applyFill="1" applyBorder="1"/>
    <xf numFmtId="0" fontId="2" fillId="3" borderId="29" xfId="0" applyFont="1" applyFill="1" applyBorder="1"/>
    <xf numFmtId="0" fontId="2" fillId="0" borderId="35" xfId="0" applyFont="1" applyBorder="1"/>
    <xf numFmtId="0" fontId="0" fillId="0" borderId="35" xfId="0" applyBorder="1"/>
    <xf numFmtId="0" fontId="2" fillId="2" borderId="4" xfId="0" applyFont="1" applyFill="1" applyBorder="1" applyAlignment="1">
      <alignment horizontal="center" vertical="center"/>
    </xf>
    <xf numFmtId="0" fontId="0" fillId="2" borderId="5" xfId="0" applyFill="1" applyBorder="1"/>
    <xf numFmtId="9" fontId="2" fillId="2" borderId="5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9" fontId="2" fillId="3" borderId="6" xfId="0" applyNumberFormat="1" applyFont="1" applyFill="1" applyBorder="1" applyAlignment="1">
      <alignment horizontal="center" vertical="center"/>
    </xf>
    <xf numFmtId="44" fontId="0" fillId="3" borderId="8" xfId="0" applyNumberFormat="1" applyFill="1" applyBorder="1"/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4" fontId="0" fillId="0" borderId="9" xfId="2" applyFont="1" applyBorder="1"/>
    <xf numFmtId="166" fontId="0" fillId="0" borderId="11" xfId="2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7" xfId="0" applyFill="1" applyBorder="1"/>
    <xf numFmtId="44" fontId="2" fillId="3" borderId="11" xfId="0" applyNumberFormat="1" applyFont="1" applyFill="1" applyBorder="1"/>
    <xf numFmtId="44" fontId="0" fillId="3" borderId="10" xfId="0" applyNumberFormat="1" applyFill="1" applyBorder="1" applyAlignment="1">
      <alignment horizontal="center"/>
    </xf>
    <xf numFmtId="0" fontId="0" fillId="2" borderId="4" xfId="0" applyFill="1" applyBorder="1" applyAlignment="1">
      <alignment wrapText="1"/>
    </xf>
    <xf numFmtId="44" fontId="0" fillId="3" borderId="5" xfId="0" applyNumberFormat="1" applyFill="1" applyBorder="1"/>
    <xf numFmtId="44" fontId="0" fillId="3" borderId="6" xfId="0" applyNumberFormat="1" applyFill="1" applyBorder="1"/>
    <xf numFmtId="0" fontId="2" fillId="2" borderId="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7" fontId="2" fillId="3" borderId="11" xfId="2" applyNumberFormat="1" applyFont="1" applyFill="1" applyBorder="1"/>
    <xf numFmtId="44" fontId="0" fillId="3" borderId="2" xfId="2" applyFont="1" applyFill="1" applyBorder="1"/>
    <xf numFmtId="44" fontId="0" fillId="3" borderId="5" xfId="2" applyFont="1" applyFill="1" applyBorder="1"/>
    <xf numFmtId="44" fontId="0" fillId="3" borderId="18" xfId="2" applyFont="1" applyFill="1" applyBorder="1"/>
    <xf numFmtId="0" fontId="2" fillId="2" borderId="1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167" fontId="0" fillId="3" borderId="11" xfId="2" applyNumberFormat="1" applyFont="1" applyFill="1" applyBorder="1"/>
    <xf numFmtId="0" fontId="3" fillId="4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ill="1"/>
    <xf numFmtId="164" fontId="0" fillId="3" borderId="0" xfId="1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1" fontId="0" fillId="3" borderId="1" xfId="0" applyNumberFormat="1" applyFill="1" applyBorder="1" applyAlignment="1">
      <alignment horizontal="center" vertical="center"/>
    </xf>
    <xf numFmtId="44" fontId="2" fillId="2" borderId="23" xfId="0" applyNumberFormat="1" applyFont="1" applyFill="1" applyBorder="1"/>
    <xf numFmtId="164" fontId="0" fillId="3" borderId="39" xfId="1" applyNumberFormat="1" applyFont="1" applyFill="1" applyBorder="1"/>
    <xf numFmtId="0" fontId="2" fillId="2" borderId="16" xfId="0" applyFont="1" applyFill="1" applyBorder="1" applyAlignment="1">
      <alignment horizontal="center" vertical="center"/>
    </xf>
    <xf numFmtId="44" fontId="0" fillId="3" borderId="3" xfId="0" applyNumberFormat="1" applyFill="1" applyBorder="1"/>
    <xf numFmtId="166" fontId="0" fillId="3" borderId="3" xfId="2" applyNumberFormat="1" applyFont="1" applyFill="1" applyBorder="1"/>
    <xf numFmtId="44" fontId="2" fillId="3" borderId="10" xfId="0" applyNumberFormat="1" applyFont="1" applyFill="1" applyBorder="1"/>
    <xf numFmtId="0" fontId="0" fillId="0" borderId="0" xfId="0" applyAlignment="1">
      <alignment wrapText="1"/>
    </xf>
    <xf numFmtId="44" fontId="0" fillId="0" borderId="0" xfId="2" applyFont="1"/>
    <xf numFmtId="167" fontId="0" fillId="0" borderId="0" xfId="0" applyNumberFormat="1"/>
    <xf numFmtId="0" fontId="2" fillId="6" borderId="17" xfId="0" applyFont="1" applyFill="1" applyBorder="1"/>
    <xf numFmtId="0" fontId="2" fillId="6" borderId="7" xfId="0" applyFont="1" applyFill="1" applyBorder="1"/>
    <xf numFmtId="0" fontId="0" fillId="6" borderId="7" xfId="0" applyFill="1" applyBorder="1"/>
    <xf numFmtId="0" fontId="0" fillId="6" borderId="17" xfId="0" applyFill="1" applyBorder="1"/>
    <xf numFmtId="0" fontId="2" fillId="7" borderId="2" xfId="0" applyFont="1" applyFill="1" applyBorder="1"/>
    <xf numFmtId="164" fontId="2" fillId="7" borderId="2" xfId="1" applyNumberFormat="1" applyFont="1" applyFill="1" applyBorder="1"/>
    <xf numFmtId="0" fontId="2" fillId="7" borderId="18" xfId="0" applyFont="1" applyFill="1" applyBorder="1"/>
    <xf numFmtId="0" fontId="2" fillId="7" borderId="1" xfId="0" applyFont="1" applyFill="1" applyBorder="1"/>
    <xf numFmtId="164" fontId="2" fillId="7" borderId="1" xfId="1" applyNumberFormat="1" applyFont="1" applyFill="1" applyBorder="1"/>
    <xf numFmtId="0" fontId="2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6" borderId="4" xfId="0" applyFont="1" applyFill="1" applyBorder="1"/>
    <xf numFmtId="0" fontId="0" fillId="6" borderId="9" xfId="0" applyFill="1" applyBorder="1"/>
    <xf numFmtId="0" fontId="3" fillId="6" borderId="19" xfId="0" applyFont="1" applyFill="1" applyBorder="1"/>
    <xf numFmtId="0" fontId="2" fillId="6" borderId="9" xfId="0" applyFont="1" applyFill="1" applyBorder="1"/>
    <xf numFmtId="0" fontId="2" fillId="6" borderId="19" xfId="0" applyFont="1" applyFill="1" applyBorder="1"/>
    <xf numFmtId="0" fontId="2" fillId="6" borderId="9" xfId="0" applyFont="1" applyFill="1" applyBorder="1" applyAlignment="1">
      <alignment horizontal="right"/>
    </xf>
    <xf numFmtId="0" fontId="2" fillId="6" borderId="1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6" fontId="2" fillId="6" borderId="12" xfId="0" applyNumberFormat="1" applyFont="1" applyFill="1" applyBorder="1"/>
    <xf numFmtId="0" fontId="0" fillId="6" borderId="7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64" fontId="2" fillId="7" borderId="2" xfId="1" applyNumberFormat="1" applyFont="1" applyFill="1" applyBorder="1" applyAlignment="1">
      <alignment horizontal="center"/>
    </xf>
    <xf numFmtId="167" fontId="2" fillId="7" borderId="10" xfId="2" applyNumberFormat="1" applyFont="1" applyFill="1" applyBorder="1"/>
    <xf numFmtId="167" fontId="2" fillId="7" borderId="1" xfId="2" applyNumberFormat="1" applyFont="1" applyFill="1" applyBorder="1"/>
    <xf numFmtId="168" fontId="2" fillId="7" borderId="1" xfId="1" applyNumberFormat="1" applyFont="1" applyFill="1" applyBorder="1"/>
    <xf numFmtId="0" fontId="2" fillId="7" borderId="10" xfId="0" applyFont="1" applyFill="1" applyBorder="1"/>
    <xf numFmtId="164" fontId="2" fillId="7" borderId="10" xfId="1" applyNumberFormat="1" applyFont="1" applyFill="1" applyBorder="1"/>
    <xf numFmtId="44" fontId="2" fillId="7" borderId="1" xfId="2" applyFont="1" applyFill="1" applyBorder="1"/>
    <xf numFmtId="167" fontId="2" fillId="7" borderId="1" xfId="0" applyNumberFormat="1" applyFont="1" applyFill="1" applyBorder="1"/>
    <xf numFmtId="164" fontId="2" fillId="7" borderId="1" xfId="1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2" fillId="7" borderId="10" xfId="2" applyFont="1" applyFill="1" applyBorder="1"/>
    <xf numFmtId="1" fontId="2" fillId="7" borderId="1" xfId="2" applyNumberFormat="1" applyFont="1" applyFill="1" applyBorder="1" applyAlignment="1">
      <alignment horizontal="center"/>
    </xf>
    <xf numFmtId="44" fontId="2" fillId="7" borderId="8" xfId="2" applyFont="1" applyFill="1" applyBorder="1"/>
    <xf numFmtId="0" fontId="2" fillId="7" borderId="10" xfId="0" applyFont="1" applyFill="1" applyBorder="1" applyAlignment="1">
      <alignment horizontal="center"/>
    </xf>
    <xf numFmtId="44" fontId="2" fillId="7" borderId="11" xfId="2" applyFont="1" applyFill="1" applyBorder="1"/>
    <xf numFmtId="0" fontId="2" fillId="7" borderId="11" xfId="0" applyFont="1" applyFill="1" applyBorder="1"/>
    <xf numFmtId="0" fontId="2" fillId="7" borderId="2" xfId="0" applyFont="1" applyFill="1" applyBorder="1" applyAlignment="1">
      <alignment horizontal="center" vertical="center"/>
    </xf>
    <xf numFmtId="9" fontId="2" fillId="7" borderId="2" xfId="3" applyFont="1" applyFill="1" applyBorder="1" applyAlignment="1">
      <alignment horizontal="center"/>
    </xf>
    <xf numFmtId="9" fontId="2" fillId="7" borderId="1" xfId="3" applyFont="1" applyFill="1" applyBorder="1" applyAlignment="1">
      <alignment horizontal="center"/>
    </xf>
    <xf numFmtId="167" fontId="2" fillId="7" borderId="1" xfId="0" applyNumberFormat="1" applyFont="1" applyFill="1" applyBorder="1" applyAlignment="1">
      <alignment horizontal="center" vertical="center"/>
    </xf>
    <xf numFmtId="164" fontId="0" fillId="3" borderId="43" xfId="1" applyNumberFormat="1" applyFont="1" applyFill="1" applyBorder="1" applyAlignment="1">
      <alignment horizontal="center" vertical="center"/>
    </xf>
    <xf numFmtId="44" fontId="0" fillId="3" borderId="43" xfId="2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" fontId="0" fillId="3" borderId="10" xfId="2" applyNumberFormat="1" applyFont="1" applyFill="1" applyBorder="1" applyAlignment="1">
      <alignment horizontal="center" vertical="center"/>
    </xf>
    <xf numFmtId="44" fontId="0" fillId="3" borderId="10" xfId="2" applyFon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0" fontId="0" fillId="6" borderId="30" xfId="0" applyFill="1" applyBorder="1"/>
    <xf numFmtId="1" fontId="0" fillId="3" borderId="43" xfId="2" applyNumberFormat="1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/>
    </xf>
    <xf numFmtId="0" fontId="0" fillId="3" borderId="43" xfId="0" applyFill="1" applyBorder="1"/>
    <xf numFmtId="164" fontId="0" fillId="3" borderId="43" xfId="1" applyNumberFormat="1" applyFont="1" applyFill="1" applyBorder="1"/>
    <xf numFmtId="0" fontId="0" fillId="3" borderId="44" xfId="0" applyFill="1" applyBorder="1"/>
    <xf numFmtId="44" fontId="0" fillId="3" borderId="5" xfId="2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 vertical="center"/>
    </xf>
    <xf numFmtId="0" fontId="0" fillId="2" borderId="4" xfId="0" applyFill="1" applyBorder="1"/>
    <xf numFmtId="44" fontId="0" fillId="3" borderId="6" xfId="2" applyFont="1" applyFill="1" applyBorder="1"/>
    <xf numFmtId="44" fontId="0" fillId="3" borderId="10" xfId="2" applyFont="1" applyFill="1" applyBorder="1"/>
    <xf numFmtId="167" fontId="0" fillId="4" borderId="0" xfId="0" applyNumberFormat="1" applyFill="1"/>
    <xf numFmtId="167" fontId="0" fillId="7" borderId="5" xfId="2" applyNumberFormat="1" applyFont="1" applyFill="1" applyBorder="1"/>
    <xf numFmtId="44" fontId="0" fillId="7" borderId="5" xfId="2" applyFont="1" applyFill="1" applyBorder="1"/>
    <xf numFmtId="0" fontId="8" fillId="2" borderId="9" xfId="0" applyFont="1" applyFill="1" applyBorder="1" applyAlignment="1">
      <alignment wrapText="1"/>
    </xf>
    <xf numFmtId="44" fontId="8" fillId="3" borderId="10" xfId="0" applyNumberFormat="1" applyFont="1" applyFill="1" applyBorder="1"/>
    <xf numFmtId="44" fontId="8" fillId="3" borderId="11" xfId="0" applyNumberFormat="1" applyFont="1" applyFill="1" applyBorder="1"/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3" borderId="7" xfId="0" applyFont="1" applyFill="1" applyBorder="1"/>
    <xf numFmtId="44" fontId="8" fillId="3" borderId="1" xfId="0" applyNumberFormat="1" applyFont="1" applyFill="1" applyBorder="1"/>
    <xf numFmtId="44" fontId="8" fillId="3" borderId="8" xfId="0" applyNumberFormat="1" applyFont="1" applyFill="1" applyBorder="1"/>
    <xf numFmtId="0" fontId="8" fillId="3" borderId="1" xfId="0" applyFont="1" applyFill="1" applyBorder="1"/>
    <xf numFmtId="166" fontId="8" fillId="3" borderId="1" xfId="2" applyNumberFormat="1" applyFont="1" applyFill="1" applyBorder="1"/>
    <xf numFmtId="44" fontId="9" fillId="3" borderId="10" xfId="0" applyNumberFormat="1" applyFont="1" applyFill="1" applyBorder="1"/>
    <xf numFmtId="44" fontId="9" fillId="3" borderId="11" xfId="0" applyNumberFormat="1" applyFont="1" applyFill="1" applyBorder="1"/>
    <xf numFmtId="0" fontId="8" fillId="0" borderId="0" xfId="0" applyFont="1"/>
    <xf numFmtId="0" fontId="9" fillId="2" borderId="16" xfId="0" applyFont="1" applyFill="1" applyBorder="1" applyAlignment="1">
      <alignment horizontal="center" vertical="center"/>
    </xf>
    <xf numFmtId="44" fontId="8" fillId="3" borderId="3" xfId="0" applyNumberFormat="1" applyFont="1" applyFill="1" applyBorder="1"/>
    <xf numFmtId="0" fontId="9" fillId="2" borderId="1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8" fillId="2" borderId="7" xfId="0" applyFont="1" applyFill="1" applyBorder="1"/>
    <xf numFmtId="1" fontId="8" fillId="3" borderId="1" xfId="0" applyNumberFormat="1" applyFont="1" applyFill="1" applyBorder="1"/>
    <xf numFmtId="44" fontId="8" fillId="3" borderId="8" xfId="2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8" fillId="2" borderId="4" xfId="0" applyFont="1" applyFill="1" applyBorder="1"/>
    <xf numFmtId="44" fontId="8" fillId="3" borderId="5" xfId="0" applyNumberFormat="1" applyFont="1" applyFill="1" applyBorder="1"/>
    <xf numFmtId="44" fontId="8" fillId="3" borderId="5" xfId="2" applyFont="1" applyFill="1" applyBorder="1"/>
    <xf numFmtId="44" fontId="8" fillId="3" borderId="6" xfId="2" applyFont="1" applyFill="1" applyBorder="1"/>
    <xf numFmtId="44" fontId="8" fillId="3" borderId="2" xfId="2" applyFont="1" applyFill="1" applyBorder="1"/>
    <xf numFmtId="44" fontId="8" fillId="3" borderId="18" xfId="2" applyFont="1" applyFill="1" applyBorder="1"/>
    <xf numFmtId="44" fontId="8" fillId="3" borderId="1" xfId="2" applyFont="1" applyFill="1" applyBorder="1"/>
    <xf numFmtId="0" fontId="8" fillId="2" borderId="9" xfId="0" applyFont="1" applyFill="1" applyBorder="1"/>
    <xf numFmtId="164" fontId="9" fillId="7" borderId="1" xfId="1" applyNumberFormat="1" applyFont="1" applyFill="1" applyBorder="1"/>
    <xf numFmtId="0" fontId="9" fillId="7" borderId="1" xfId="0" applyFont="1" applyFill="1" applyBorder="1"/>
    <xf numFmtId="0" fontId="9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44" fontId="8" fillId="3" borderId="10" xfId="0" applyNumberFormat="1" applyFont="1" applyFill="1" applyBorder="1" applyAlignment="1">
      <alignment horizontal="center"/>
    </xf>
    <xf numFmtId="167" fontId="0" fillId="0" borderId="0" xfId="2" applyNumberFormat="1" applyFont="1" applyFill="1"/>
    <xf numFmtId="0" fontId="2" fillId="0" borderId="0" xfId="0" applyFont="1" applyFill="1"/>
    <xf numFmtId="0" fontId="0" fillId="0" borderId="0" xfId="0" applyFill="1"/>
    <xf numFmtId="0" fontId="7" fillId="0" borderId="0" xfId="0" applyFont="1" applyAlignment="1">
      <alignment wrapText="1"/>
    </xf>
    <xf numFmtId="164" fontId="0" fillId="7" borderId="5" xfId="1" applyNumberFormat="1" applyFont="1" applyFill="1" applyBorder="1" applyAlignment="1">
      <alignment horizontal="center" vertical="center"/>
    </xf>
    <xf numFmtId="44" fontId="0" fillId="7" borderId="5" xfId="2" applyFont="1" applyFill="1" applyBorder="1" applyAlignment="1">
      <alignment horizontal="center" vertical="center"/>
    </xf>
    <xf numFmtId="9" fontId="0" fillId="0" borderId="0" xfId="3" applyFont="1"/>
    <xf numFmtId="9" fontId="8" fillId="0" borderId="0" xfId="3" applyFont="1"/>
    <xf numFmtId="0" fontId="8" fillId="6" borderId="7" xfId="0" applyFont="1" applyFill="1" applyBorder="1"/>
    <xf numFmtId="0" fontId="0" fillId="6" borderId="7" xfId="0" applyFill="1" applyBorder="1" applyAlignment="1">
      <alignment horizontal="right"/>
    </xf>
    <xf numFmtId="9" fontId="2" fillId="7" borderId="8" xfId="3" applyFont="1" applyFill="1" applyBorder="1"/>
    <xf numFmtId="0" fontId="8" fillId="6" borderId="7" xfId="0" applyFont="1" applyFill="1" applyBorder="1" applyAlignment="1">
      <alignment horizontal="right"/>
    </xf>
    <xf numFmtId="9" fontId="9" fillId="7" borderId="8" xfId="3" applyFont="1" applyFill="1" applyBorder="1"/>
    <xf numFmtId="0" fontId="9" fillId="6" borderId="7" xfId="0" applyFont="1" applyFill="1" applyBorder="1"/>
    <xf numFmtId="0" fontId="9" fillId="7" borderId="2" xfId="0" applyFont="1" applyFill="1" applyBorder="1" applyAlignment="1">
      <alignment horizontal="center"/>
    </xf>
    <xf numFmtId="164" fontId="9" fillId="7" borderId="2" xfId="1" applyNumberFormat="1" applyFont="1" applyFill="1" applyBorder="1" applyAlignment="1">
      <alignment horizontal="center"/>
    </xf>
    <xf numFmtId="0" fontId="9" fillId="7" borderId="18" xfId="0" applyFont="1" applyFill="1" applyBorder="1"/>
    <xf numFmtId="0" fontId="9" fillId="7" borderId="1" xfId="0" applyFont="1" applyFill="1" applyBorder="1" applyAlignment="1">
      <alignment horizontal="center"/>
    </xf>
    <xf numFmtId="164" fontId="9" fillId="7" borderId="1" xfId="1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8" xfId="0" applyFont="1" applyFill="1" applyBorder="1"/>
    <xf numFmtId="1" fontId="9" fillId="7" borderId="1" xfId="2" applyNumberFormat="1" applyFont="1" applyFill="1" applyBorder="1" applyAlignment="1">
      <alignment horizontal="center"/>
    </xf>
    <xf numFmtId="44" fontId="9" fillId="7" borderId="1" xfId="2" applyFont="1" applyFill="1" applyBorder="1"/>
    <xf numFmtId="167" fontId="9" fillId="7" borderId="1" xfId="2" applyNumberFormat="1" applyFont="1" applyFill="1" applyBorder="1"/>
    <xf numFmtId="0" fontId="9" fillId="6" borderId="9" xfId="0" applyFont="1" applyFill="1" applyBorder="1" applyAlignment="1">
      <alignment horizontal="right"/>
    </xf>
    <xf numFmtId="0" fontId="9" fillId="7" borderId="10" xfId="0" applyFont="1" applyFill="1" applyBorder="1"/>
    <xf numFmtId="0" fontId="9" fillId="7" borderId="10" xfId="0" applyFont="1" applyFill="1" applyBorder="1" applyAlignment="1">
      <alignment horizontal="center"/>
    </xf>
    <xf numFmtId="164" fontId="9" fillId="7" borderId="10" xfId="1" applyNumberFormat="1" applyFont="1" applyFill="1" applyBorder="1"/>
    <xf numFmtId="0" fontId="9" fillId="7" borderId="11" xfId="0" applyFont="1" applyFill="1" applyBorder="1"/>
    <xf numFmtId="0" fontId="2" fillId="3" borderId="1" xfId="0" applyFont="1" applyFill="1" applyBorder="1"/>
    <xf numFmtId="0" fontId="0" fillId="3" borderId="17" xfId="0" applyFill="1" applyBorder="1"/>
    <xf numFmtId="0" fontId="2" fillId="3" borderId="2" xfId="0" applyFont="1" applyFill="1" applyBorder="1"/>
    <xf numFmtId="164" fontId="2" fillId="3" borderId="2" xfId="1" applyNumberFormat="1" applyFont="1" applyFill="1" applyBorder="1"/>
    <xf numFmtId="1" fontId="2" fillId="3" borderId="1" xfId="0" applyNumberFormat="1" applyFont="1" applyFill="1" applyBorder="1"/>
    <xf numFmtId="164" fontId="9" fillId="3" borderId="1" xfId="1" applyNumberFormat="1" applyFont="1" applyFill="1" applyBorder="1"/>
    <xf numFmtId="0" fontId="9" fillId="3" borderId="1" xfId="0" applyFont="1" applyFill="1" applyBorder="1"/>
    <xf numFmtId="0" fontId="0" fillId="3" borderId="46" xfId="0" applyFill="1" applyBorder="1"/>
    <xf numFmtId="0" fontId="2" fillId="3" borderId="0" xfId="0" applyFont="1" applyFill="1" applyBorder="1"/>
    <xf numFmtId="164" fontId="2" fillId="3" borderId="0" xfId="1" applyNumberFormat="1" applyFont="1" applyFill="1" applyBorder="1"/>
    <xf numFmtId="0" fontId="2" fillId="3" borderId="47" xfId="0" applyFont="1" applyFill="1" applyBorder="1"/>
    <xf numFmtId="43" fontId="0" fillId="0" borderId="0" xfId="1" applyFont="1"/>
    <xf numFmtId="44" fontId="2" fillId="3" borderId="10" xfId="2" applyFont="1" applyFill="1" applyBorder="1"/>
    <xf numFmtId="44" fontId="9" fillId="3" borderId="1" xfId="2" applyFont="1" applyFill="1" applyBorder="1"/>
    <xf numFmtId="167" fontId="9" fillId="3" borderId="1" xfId="2" applyNumberFormat="1" applyFont="1" applyFill="1" applyBorder="1"/>
    <xf numFmtId="167" fontId="9" fillId="3" borderId="10" xfId="0" applyNumberFormat="1" applyFont="1" applyFill="1" applyBorder="1"/>
    <xf numFmtId="167" fontId="2" fillId="3" borderId="1" xfId="2" applyNumberFormat="1" applyFont="1" applyFill="1" applyBorder="1"/>
    <xf numFmtId="167" fontId="2" fillId="3" borderId="8" xfId="2" applyNumberFormat="1" applyFont="1" applyFill="1" applyBorder="1"/>
    <xf numFmtId="167" fontId="2" fillId="3" borderId="10" xfId="2" applyNumberFormat="1" applyFont="1" applyFill="1" applyBorder="1"/>
    <xf numFmtId="167" fontId="2" fillId="3" borderId="1" xfId="0" applyNumberFormat="1" applyFont="1" applyFill="1" applyBorder="1"/>
    <xf numFmtId="167" fontId="2" fillId="3" borderId="10" xfId="0" applyNumberFormat="1" applyFont="1" applyFill="1" applyBorder="1"/>
    <xf numFmtId="44" fontId="2" fillId="3" borderId="8" xfId="2" applyFont="1" applyFill="1" applyBorder="1"/>
    <xf numFmtId="0" fontId="2" fillId="0" borderId="0" xfId="0" applyFont="1" applyAlignment="1">
      <alignment horizontal="center" wrapText="1"/>
    </xf>
    <xf numFmtId="0" fontId="4" fillId="0" borderId="0" xfId="0" applyFont="1"/>
    <xf numFmtId="0" fontId="2" fillId="3" borderId="8" xfId="0" applyFont="1" applyFill="1" applyBorder="1"/>
    <xf numFmtId="0" fontId="0" fillId="6" borderId="34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44" fontId="2" fillId="7" borderId="45" xfId="2" applyFont="1" applyFill="1" applyBorder="1" applyAlignment="1">
      <alignment horizontal="center" vertical="center"/>
    </xf>
    <xf numFmtId="44" fontId="2" fillId="7" borderId="40" xfId="2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wrapText="1"/>
    </xf>
    <xf numFmtId="0" fontId="3" fillId="6" borderId="24" xfId="0" applyFont="1" applyFill="1" applyBorder="1" applyAlignment="1">
      <alignment horizontal="center" wrapText="1"/>
    </xf>
    <xf numFmtId="0" fontId="3" fillId="6" borderId="25" xfId="0" applyFont="1" applyFill="1" applyBorder="1" applyAlignment="1">
      <alignment horizontal="center" wrapText="1"/>
    </xf>
    <xf numFmtId="0" fontId="3" fillId="6" borderId="26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0" xfId="0" applyAlignment="1">
      <alignment horizontal="center"/>
    </xf>
    <xf numFmtId="6" fontId="3" fillId="2" borderId="12" xfId="0" applyNumberFormat="1" applyFont="1" applyFill="1" applyBorder="1" applyAlignment="1">
      <alignment horizontal="center"/>
    </xf>
    <xf numFmtId="6" fontId="3" fillId="2" borderId="13" xfId="0" applyNumberFormat="1" applyFont="1" applyFill="1" applyBorder="1" applyAlignment="1">
      <alignment horizontal="center"/>
    </xf>
    <xf numFmtId="6" fontId="3" fillId="2" borderId="14" xfId="0" applyNumberFormat="1" applyFont="1" applyFill="1" applyBorder="1" applyAlignment="1">
      <alignment horizontal="center"/>
    </xf>
    <xf numFmtId="6" fontId="2" fillId="2" borderId="12" xfId="0" applyNumberFormat="1" applyFont="1" applyFill="1" applyBorder="1" applyAlignment="1">
      <alignment horizontal="center"/>
    </xf>
    <xf numFmtId="6" fontId="2" fillId="2" borderId="13" xfId="0" applyNumberFormat="1" applyFont="1" applyFill="1" applyBorder="1" applyAlignment="1">
      <alignment horizontal="center"/>
    </xf>
    <xf numFmtId="6" fontId="2" fillId="2" borderId="14" xfId="0" applyNumberFormat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8" borderId="48" xfId="0" applyFont="1" applyFill="1" applyBorder="1" applyAlignment="1">
      <alignment horizontal="center" wrapText="1"/>
    </xf>
    <xf numFmtId="44" fontId="0" fillId="0" borderId="48" xfId="0" applyNumberFormat="1" applyFont="1" applyBorder="1"/>
    <xf numFmtId="44" fontId="0" fillId="0" borderId="0" xfId="3" applyNumberFormat="1" applyFont="1"/>
    <xf numFmtId="44" fontId="11" fillId="8" borderId="48" xfId="2" applyFont="1" applyFill="1" applyBorder="1" applyAlignment="1">
      <alignment horizontal="center" wrapText="1"/>
    </xf>
    <xf numFmtId="164" fontId="0" fillId="9" borderId="0" xfId="1" applyNumberFormat="1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</dxf>
    <dxf>
      <numFmt numFmtId="34" formatCode="_-&quot;$&quot;\ * #,##0.00_-;\-&quot;$&quot;\ * #,##0.00_-;_-&quot;$&quot;\ * &quot;-&quot;??_-;_-@_-"/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Enrique Diaz Lunar" id="{D6ED3EDE-6332-49C9-A2A9-6F592EB10EBA}" userId="S::carlos.diaz.2019@upb.edu.co::855817dd-3e81-4fbf-ba28-ab1a171ce2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132EF2-DF79-4CD3-9CFF-D0E026118B2D}" name="Tabla14" displayName="Tabla14" ref="A5:E12" totalsRowShown="0">
  <autoFilter ref="A5:E12" xr:uid="{08BE231A-A3B7-4859-969A-C05B21A8F972}"/>
  <tableColumns count="5">
    <tableColumn id="1" xr3:uid="{ED724B2B-0BEA-4669-83FC-38761EA568FA}" name="Articulo"/>
    <tableColumn id="3" xr3:uid="{AA19A451-F5B6-4055-A024-950A92D5B681}" name="Precio de venta " dataDxfId="5"/>
    <tableColumn id="2" xr3:uid="{DCE77AD2-1F36-4D69-B522-62539848A24A}" name="Unidades_x000a_ x caja" dataDxfId="3" dataCellStyle="Millares"/>
    <tableColumn id="4" xr3:uid="{56FEE348-2706-413A-97AA-34A76D795C97}" name="Total / caja" dataDxfId="4" dataCellStyle="Millares">
      <calculatedColumnFormula>+Tabla14[[#This Row],[Unidades
 x caja]]*Tabla14[[#This Row],[Precio de venta ]]</calculatedColumnFormula>
    </tableColumn>
    <tableColumn id="5" xr3:uid="{50A95A84-C1B3-4124-979A-2D63FC2F1DED}" name="Margen de ganancia  bruta" dataDxfId="6" dataCellStyle="Porcentaje">
      <calculatedColumnFormula>+Tabla14[[#This Row],[Unidades
 x caja]]*Tabla14[[#This Row],[Precio de venta 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8189C9-430E-49B0-AC42-6DFAD895975E}" name="Tabla135" displayName="Tabla135" ref="A15:E22" totalsRowShown="0">
  <autoFilter ref="A15:E22" xr:uid="{14B18210-7D30-482E-841E-D90B92F80A85}"/>
  <tableColumns count="5">
    <tableColumn id="1" xr3:uid="{B27DBCA2-1DA1-4365-8C42-8E22AD0AD52F}" name="Articulo">
      <calculatedColumnFormula>+A6</calculatedColumnFormula>
    </tableColumn>
    <tableColumn id="3" xr3:uid="{B304A3C7-BC5D-4C5E-AFF9-E68D3B01AB3E}" name="Precio de venta " dataDxfId="2">
      <calculatedColumnFormula>+Tabla13[[#This Row],[Precio de venta ]]/General!$E$5</calculatedColumnFormula>
    </tableColumn>
    <tableColumn id="2" xr3:uid="{760FB198-BAFD-421F-B1DE-EDD479ED84C7}" name="Unidades x caja" dataDxfId="0" dataCellStyle="Millares"/>
    <tableColumn id="4" xr3:uid="{04E5FD9E-8A47-4F3B-A205-33EE5AF07207}" name="Total Caja" dataDxfId="1">
      <calculatedColumnFormula>+Tabla135[[#This Row],[Unidades x caja]]*Tabla135[[#This Row],[Precio de venta ]]</calculatedColumnFormula>
    </tableColumn>
    <tableColumn id="5" xr3:uid="{913EEA0B-014B-4AA2-A7A5-25183F0DA896}" name="Margen de ganancia bruta " dataDxfId="7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E231A-A3B7-4859-969A-C05B21A8F972}" name="Tabla1" displayName="Tabla1" ref="A5:E12" totalsRowShown="0">
  <autoFilter ref="A5:E12" xr:uid="{08BE231A-A3B7-4859-969A-C05B21A8F972}"/>
  <tableColumns count="5">
    <tableColumn id="1" xr3:uid="{E4B06D5B-C5FC-4E95-A388-9B16B8C103B2}" name="Articulo"/>
    <tableColumn id="2" xr3:uid="{BEB498A4-119F-41A2-B723-F3D3A226077D}" name="Costo producto"/>
    <tableColumn id="3" xr3:uid="{EC68612E-D09B-42C5-B155-67B262E19D63}" name="Precio de venta "/>
    <tableColumn id="4" xr3:uid="{B1B1DB4A-1E14-4DEA-8F1E-72D97A3483F6}" name="Ganancia bruta_x000a_ ANTES DE IMPUESTOS"/>
    <tableColumn id="5" xr3:uid="{982D4551-D71A-45DE-B701-E9CD3A6A2A70}" name="Margen de ganancia  bruta" dataDxfId="10" dataCellStyle="Porcentaje">
      <calculatedColumnFormula>+General!$C$151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B18210-7D30-482E-841E-D90B92F80A85}" name="Tabla13" displayName="Tabla13" ref="A15:E22" totalsRowShown="0">
  <autoFilter ref="A15:E22" xr:uid="{14B18210-7D30-482E-841E-D90B92F80A85}"/>
  <tableColumns count="5">
    <tableColumn id="1" xr3:uid="{4A54B314-DDF6-4979-8505-A414F594C1AD}" name="Articulo"/>
    <tableColumn id="2" xr3:uid="{1B01D6C6-9004-4F9C-BAF0-819CAA9E5A75}" name="Costo producto"/>
    <tableColumn id="3" xr3:uid="{BFFA62E3-14E2-415A-B7ED-18E168C55FE7}" name="Precio de venta " dataDxfId="9">
      <calculatedColumnFormula>B16/(1-E16)</calculatedColumnFormula>
    </tableColumn>
    <tableColumn id="4" xr3:uid="{724F32BE-A509-40D3-8749-E77C014E65B2}" name="Ganancia bruta_x000a_ ANTES DE IMPUESTOS">
      <calculatedColumnFormula>C16-B16</calculatedColumnFormula>
    </tableColumn>
    <tableColumn id="5" xr3:uid="{A73B65FF-92DB-46E9-A525-0358DBD6E26C}" name="Margen de ganancia bruta " dataDxfId="8" dataCellStyle="Porcentaje">
      <calculatedColumnFormula>+General!$C$150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7" dT="2023-05-10T21:12:48.40" personId="{D6ED3EDE-6332-49C9-A2A9-6F592EB10EBA}" id="{A123322D-9C48-4598-B127-6D899BB66BBB}">
    <text>Precio de caja X 1000 und= 17.200 // PU = 17,2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3CAA-C773-491D-B53C-F6CE31F6B592}">
  <dimension ref="A2:L22"/>
  <sheetViews>
    <sheetView tabSelected="1" topLeftCell="A4" workbookViewId="0">
      <selection activeCell="I25" sqref="I25"/>
    </sheetView>
  </sheetViews>
  <sheetFormatPr baseColWidth="10" defaultRowHeight="15" x14ac:dyDescent="0.25"/>
  <cols>
    <col min="1" max="2" width="22.5703125" customWidth="1"/>
    <col min="3" max="3" width="12.85546875" customWidth="1"/>
    <col min="4" max="4" width="19" customWidth="1"/>
    <col min="5" max="5" width="22.5703125" customWidth="1"/>
    <col min="6" max="6" width="11.42578125" customWidth="1"/>
    <col min="7" max="7" width="15.5703125" customWidth="1"/>
    <col min="8" max="8" width="11" customWidth="1"/>
    <col min="9" max="9" width="14.85546875" customWidth="1"/>
    <col min="10" max="10" width="13.7109375" customWidth="1"/>
    <col min="12" max="12" width="15.140625" customWidth="1"/>
  </cols>
  <sheetData>
    <row r="2" spans="1:12" ht="18.75" x14ac:dyDescent="0.3">
      <c r="A2" s="286" t="s">
        <v>228</v>
      </c>
    </row>
    <row r="4" spans="1:12" ht="15.75" x14ac:dyDescent="0.25">
      <c r="A4" s="364" t="str">
        <f>+General!D5</f>
        <v>Estándar x 12</v>
      </c>
      <c r="B4" s="364"/>
      <c r="C4" s="364"/>
      <c r="D4" s="364"/>
      <c r="E4" s="364"/>
    </row>
    <row r="5" spans="1:12" ht="30" x14ac:dyDescent="0.25">
      <c r="A5" s="125" t="s">
        <v>184</v>
      </c>
      <c r="B5" s="125" t="s">
        <v>186</v>
      </c>
      <c r="C5" s="371" t="s">
        <v>236</v>
      </c>
      <c r="D5" s="285" t="s">
        <v>229</v>
      </c>
      <c r="E5" s="125" t="s">
        <v>190</v>
      </c>
      <c r="G5" s="365" t="s">
        <v>231</v>
      </c>
      <c r="H5" s="365" t="s">
        <v>230</v>
      </c>
      <c r="I5" s="365" t="s">
        <v>232</v>
      </c>
      <c r="J5" s="365" t="s">
        <v>234</v>
      </c>
      <c r="K5" s="365" t="s">
        <v>235</v>
      </c>
      <c r="L5" s="365" t="s">
        <v>233</v>
      </c>
    </row>
    <row r="6" spans="1:12" x14ac:dyDescent="0.25">
      <c r="A6" t="str">
        <f>+General!C23</f>
        <v>Guayaba</v>
      </c>
      <c r="B6" s="8">
        <f>+Tabla1[[#This Row],[Precio de venta ]]/General!C5</f>
        <v>393.00266820074506</v>
      </c>
      <c r="C6" s="369">
        <v>2</v>
      </c>
      <c r="D6" s="8">
        <f>+Tabla14[[#This Row],[Unidades
 x caja]]*Tabla14[[#This Row],[Precio de venta ]]</f>
        <v>786.00533640149013</v>
      </c>
      <c r="E6" s="8">
        <f>+Tabla14[[#This Row],[Unidades
 x caja]]*Tabla14[[#This Row],[Precio de venta ]]</f>
        <v>786.00533640149013</v>
      </c>
      <c r="G6" t="str">
        <f>+A4</f>
        <v>Estándar x 12</v>
      </c>
      <c r="H6">
        <f>SUM(Tabla14[Unidades
 x caja])</f>
        <v>12</v>
      </c>
      <c r="I6" s="366">
        <f>SUM(Tabla14[Total / caja])</f>
        <v>3875.390992767916</v>
      </c>
      <c r="J6" s="366">
        <f>+I6/(1+General!C151)</f>
        <v>2768.1364234056546</v>
      </c>
      <c r="K6" s="370">
        <v>10</v>
      </c>
      <c r="L6" s="366">
        <f>(I6-J6)*K6</f>
        <v>11072.545693622615</v>
      </c>
    </row>
    <row r="7" spans="1:12" x14ac:dyDescent="0.25">
      <c r="A7" t="str">
        <f>+General!C33</f>
        <v>Mandarina</v>
      </c>
      <c r="B7" s="8">
        <f>+Tabla1[[#This Row],[Precio de venta ]]/General!$C$5</f>
        <v>295.56677076484766</v>
      </c>
      <c r="C7" s="369">
        <v>2</v>
      </c>
      <c r="D7" s="8">
        <f>+Tabla14[[#This Row],[Unidades
 x caja]]*Tabla14[[#This Row],[Precio de venta ]]</f>
        <v>591.13354152969532</v>
      </c>
      <c r="E7" s="367">
        <f>+Tabla14[[#This Row],[Unidades
 x caja]]*Tabla14[[#This Row],[Precio de venta ]]</f>
        <v>591.13354152969532</v>
      </c>
      <c r="G7" t="str">
        <f>+A14</f>
        <v>Especial x 10</v>
      </c>
      <c r="H7">
        <f>SUM(Tabla135[Unidades x caja])</f>
        <v>10</v>
      </c>
      <c r="I7" s="366">
        <f>SUM(Tabla135[Total Caja])</f>
        <v>4378.3643279797116</v>
      </c>
      <c r="J7" s="366">
        <f>+I7/(1+General!C150)</f>
        <v>3367.9725599843932</v>
      </c>
      <c r="K7" s="370">
        <v>5</v>
      </c>
      <c r="L7" s="366">
        <f>(I7-J7)*K7</f>
        <v>5051.9588399765917</v>
      </c>
    </row>
    <row r="8" spans="1:12" x14ac:dyDescent="0.25">
      <c r="A8" t="str">
        <f>+General!C43</f>
        <v>Fresa</v>
      </c>
      <c r="B8" s="8">
        <f>+Tabla1[[#This Row],[Precio de venta ]]/General!$C$5</f>
        <v>277.68215538023236</v>
      </c>
      <c r="C8" s="369">
        <v>2</v>
      </c>
      <c r="D8" s="8">
        <f>+Tabla14[[#This Row],[Unidades
 x caja]]*Tabla14[[#This Row],[Precio de venta ]]</f>
        <v>555.36431076046472</v>
      </c>
      <c r="E8" s="367">
        <f>+Tabla14[[#This Row],[Unidades
 x caja]]*Tabla14[[#This Row],[Precio de venta ]]</f>
        <v>555.36431076046472</v>
      </c>
      <c r="I8" s="366"/>
      <c r="J8" s="365" t="s">
        <v>92</v>
      </c>
      <c r="K8" s="365">
        <f>SUM(K6:K7)</f>
        <v>15</v>
      </c>
      <c r="L8" s="368">
        <f t="shared" ref="I8:L8" si="0">SUM(L6:L7)</f>
        <v>16124.504533599207</v>
      </c>
    </row>
    <row r="9" spans="1:12" x14ac:dyDescent="0.25">
      <c r="A9" t="str">
        <f>+General!C53</f>
        <v>Café molido instantáneo</v>
      </c>
      <c r="B9" s="8">
        <f>+Tabla1[[#This Row],[Precio de venta ]]/General!$C$5</f>
        <v>311.2077964058733</v>
      </c>
      <c r="C9" s="369">
        <v>2</v>
      </c>
      <c r="D9" s="8">
        <f>+Tabla14[[#This Row],[Unidades
 x caja]]*Tabla14[[#This Row],[Precio de venta ]]</f>
        <v>622.41559281174659</v>
      </c>
      <c r="E9" s="367">
        <f>+Tabla14[[#This Row],[Unidades
 x caja]]*Tabla14[[#This Row],[Precio de venta ]]</f>
        <v>622.41559281174659</v>
      </c>
    </row>
    <row r="10" spans="1:12" x14ac:dyDescent="0.25">
      <c r="A10" t="str">
        <f>+General!C63</f>
        <v>Leche</v>
      </c>
      <c r="B10" s="8">
        <f>+Tabla1[[#This Row],[Precio de venta ]]/General!$C$5</f>
        <v>324.28471948279639</v>
      </c>
      <c r="C10" s="369">
        <v>2</v>
      </c>
      <c r="D10" s="8">
        <f>+Tabla14[[#This Row],[Unidades
 x caja]]*Tabla14[[#This Row],[Precio de venta ]]</f>
        <v>648.56943896559278</v>
      </c>
      <c r="E10" s="367">
        <f>+Tabla14[[#This Row],[Unidades
 x caja]]*Tabla14[[#This Row],[Precio de venta ]]</f>
        <v>648.56943896559278</v>
      </c>
    </row>
    <row r="11" spans="1:12" x14ac:dyDescent="0.25">
      <c r="A11" t="str">
        <f>+General!J23</f>
        <v>Apio</v>
      </c>
      <c r="B11" s="8">
        <f>+Tabla1[[#This Row],[Precio de venta ]]/General!$C$5</f>
        <v>393.00266820074506</v>
      </c>
      <c r="C11" s="369">
        <v>1</v>
      </c>
      <c r="D11" s="8">
        <f>+Tabla14[[#This Row],[Unidades
 x caja]]*Tabla14[[#This Row],[Precio de venta ]]</f>
        <v>393.00266820074506</v>
      </c>
      <c r="E11" s="367">
        <f>+Tabla14[[#This Row],[Unidades
 x caja]]*Tabla14[[#This Row],[Precio de venta ]]</f>
        <v>393.00266820074506</v>
      </c>
    </row>
    <row r="12" spans="1:12" x14ac:dyDescent="0.25">
      <c r="A12" t="str">
        <f>+General!J33</f>
        <v>MORA</v>
      </c>
      <c r="B12" s="8">
        <f>+Tabla1[[#This Row],[Precio de venta ]]/General!$C$5</f>
        <v>278.90010409818109</v>
      </c>
      <c r="C12" s="369">
        <v>1</v>
      </c>
      <c r="D12" s="8">
        <f>+Tabla14[[#This Row],[Unidades
 x caja]]*Tabla14[[#This Row],[Precio de venta ]]</f>
        <v>278.90010409818109</v>
      </c>
      <c r="E12" s="367">
        <f>+Tabla14[[#This Row],[Unidades
 x caja]]*Tabla14[[#This Row],[Precio de venta ]]</f>
        <v>278.90010409818109</v>
      </c>
    </row>
    <row r="14" spans="1:12" ht="15.75" x14ac:dyDescent="0.25">
      <c r="A14" s="364" t="str">
        <f>+General!F5</f>
        <v>Especial x 10</v>
      </c>
      <c r="B14" s="364"/>
      <c r="C14" s="364"/>
      <c r="D14" s="364"/>
      <c r="E14" s="364"/>
    </row>
    <row r="15" spans="1:12" ht="30" x14ac:dyDescent="0.25">
      <c r="A15" s="125" t="s">
        <v>184</v>
      </c>
      <c r="B15" s="125" t="s">
        <v>186</v>
      </c>
      <c r="C15" s="372" t="s">
        <v>157</v>
      </c>
      <c r="D15" s="285" t="s">
        <v>237</v>
      </c>
      <c r="E15" s="237" t="s">
        <v>191</v>
      </c>
    </row>
    <row r="16" spans="1:12" x14ac:dyDescent="0.25">
      <c r="A16" t="str">
        <f>+A6</f>
        <v>Guayaba</v>
      </c>
      <c r="B16" s="8">
        <f>+Tabla13[[#This Row],[Precio de venta ]]/General!$E$5</f>
        <v>437.83643279797116</v>
      </c>
      <c r="C16" s="369">
        <v>8</v>
      </c>
      <c r="D16" s="8">
        <f>+Tabla135[[#This Row],[Unidades x caja]]*Tabla135[[#This Row],[Precio de venta ]]</f>
        <v>3502.6914623837692</v>
      </c>
      <c r="E16" s="241"/>
    </row>
    <row r="17" spans="1:5" x14ac:dyDescent="0.25">
      <c r="A17" t="str">
        <f>+A7</f>
        <v>Mandarina</v>
      </c>
      <c r="B17" s="8">
        <f>+Tabla13[[#This Row],[Precio de venta ]]/General!$E$5</f>
        <v>354.31994928148777</v>
      </c>
      <c r="C17" s="369">
        <v>0</v>
      </c>
      <c r="D17" s="8">
        <f>+Tabla135[[#This Row],[Unidades x caja]]*Tabla135[[#This Row],[Precio de venta ]]</f>
        <v>0</v>
      </c>
      <c r="E17" s="241"/>
    </row>
    <row r="18" spans="1:5" x14ac:dyDescent="0.25">
      <c r="A18" t="str">
        <f>+A8</f>
        <v>Fresa</v>
      </c>
      <c r="B18" s="8">
        <f>+Tabla13[[#This Row],[Precio de venta ]]/General!$E$5</f>
        <v>338.99027895181746</v>
      </c>
      <c r="C18" s="369">
        <v>0</v>
      </c>
      <c r="D18" s="8">
        <f>+Tabla135[[#This Row],[Unidades x caja]]*Tabla135[[#This Row],[Precio de venta ]]</f>
        <v>0</v>
      </c>
      <c r="E18" s="241"/>
    </row>
    <row r="19" spans="1:5" x14ac:dyDescent="0.25">
      <c r="A19" t="str">
        <f>+A9</f>
        <v>Café molido instantáneo</v>
      </c>
      <c r="B19" s="8">
        <f>+Tabla13[[#This Row],[Precio de venta ]]/General!$E$5</f>
        <v>367.72654268808117</v>
      </c>
      <c r="C19" s="369">
        <v>0</v>
      </c>
      <c r="D19" s="8">
        <f>+Tabla135[[#This Row],[Unidades x caja]]*Tabla135[[#This Row],[Precio de venta ]]</f>
        <v>0</v>
      </c>
      <c r="E19" s="241"/>
    </row>
    <row r="20" spans="1:5" x14ac:dyDescent="0.25">
      <c r="A20" t="str">
        <f>+A10</f>
        <v>Leche</v>
      </c>
      <c r="B20" s="8">
        <f>+Tabla13[[#This Row],[Precio de venta ]]/General!$E$5</f>
        <v>378.93533389687241</v>
      </c>
      <c r="C20" s="369">
        <v>0</v>
      </c>
      <c r="D20" s="8">
        <f>+Tabla135[[#This Row],[Unidades x caja]]*Tabla135[[#This Row],[Precio de venta ]]</f>
        <v>0</v>
      </c>
      <c r="E20" s="241"/>
    </row>
    <row r="21" spans="1:5" x14ac:dyDescent="0.25">
      <c r="A21" t="str">
        <f>+A11</f>
        <v>Apio</v>
      </c>
      <c r="B21" s="8">
        <f>+Tabla13[[#This Row],[Precio de venta ]]/General!$E$5</f>
        <v>437.83643279797116</v>
      </c>
      <c r="C21" s="369">
        <v>2</v>
      </c>
      <c r="D21" s="8">
        <f>+Tabla135[[#This Row],[Unidades x caja]]*Tabla135[[#This Row],[Precio de venta ]]</f>
        <v>875.67286559594231</v>
      </c>
      <c r="E21" s="241"/>
    </row>
    <row r="22" spans="1:5" x14ac:dyDescent="0.25">
      <c r="A22" t="str">
        <f>+A12</f>
        <v>MORA</v>
      </c>
      <c r="B22" s="8">
        <f>+Tabla13[[#This Row],[Precio de venta ]]/General!$E$5</f>
        <v>340.03423499577349</v>
      </c>
      <c r="C22" s="369">
        <v>0</v>
      </c>
      <c r="D22" s="8">
        <f>+Tabla135[[#This Row],[Unidades x caja]]*Tabla135[[#This Row],[Precio de venta ]]</f>
        <v>0</v>
      </c>
      <c r="E22" s="241"/>
    </row>
  </sheetData>
  <mergeCells count="2">
    <mergeCell ref="A4:E4"/>
    <mergeCell ref="A14:E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A60F-86B3-4B77-8294-115072ECF652}">
  <dimension ref="B1:S262"/>
  <sheetViews>
    <sheetView topLeftCell="A79" zoomScale="130" zoomScaleNormal="130" workbookViewId="0">
      <selection activeCell="E5" sqref="E5"/>
    </sheetView>
  </sheetViews>
  <sheetFormatPr baseColWidth="10" defaultColWidth="11.42578125" defaultRowHeight="15" x14ac:dyDescent="0.25"/>
  <cols>
    <col min="1" max="1" width="2" customWidth="1"/>
    <col min="2" max="2" width="31.85546875" style="3" customWidth="1"/>
    <col min="3" max="3" width="16.5703125" style="1" customWidth="1"/>
    <col min="4" max="4" width="17.5703125" style="1" customWidth="1"/>
    <col min="5" max="5" width="19.28515625" style="2" customWidth="1"/>
    <col min="6" max="6" width="22.42578125" style="1" customWidth="1"/>
    <col min="7" max="7" width="12.85546875" style="1" customWidth="1"/>
    <col min="8" max="8" width="2.7109375" customWidth="1"/>
    <col min="9" max="9" width="32.140625" customWidth="1"/>
    <col min="10" max="10" width="12" customWidth="1"/>
    <col min="11" max="11" width="8.42578125" bestFit="1" customWidth="1"/>
    <col min="12" max="12" width="24" customWidth="1"/>
    <col min="17" max="19" width="0" hidden="1" customWidth="1"/>
  </cols>
  <sheetData>
    <row r="1" spans="2:7" ht="16.5" thickBot="1" x14ac:dyDescent="0.3">
      <c r="B1" s="295" t="s">
        <v>226</v>
      </c>
      <c r="C1" s="296"/>
      <c r="D1" s="296"/>
      <c r="E1" s="296"/>
      <c r="F1" s="296"/>
      <c r="G1" s="297"/>
    </row>
    <row r="2" spans="2:7" ht="15.75" thickBot="1" x14ac:dyDescent="0.3">
      <c r="B2" s="314" t="s">
        <v>189</v>
      </c>
      <c r="C2" s="315"/>
      <c r="D2" s="315"/>
      <c r="E2" s="315"/>
      <c r="F2" s="315"/>
      <c r="G2" s="316"/>
    </row>
    <row r="3" spans="2:7" x14ac:dyDescent="0.25">
      <c r="B3" s="131" t="s">
        <v>0</v>
      </c>
      <c r="C3" s="132">
        <v>650</v>
      </c>
      <c r="D3" s="132" t="s">
        <v>1</v>
      </c>
      <c r="E3" s="133"/>
      <c r="F3" s="132"/>
      <c r="G3" s="134"/>
    </row>
    <row r="4" spans="2:7" x14ac:dyDescent="0.25">
      <c r="B4" s="131" t="s">
        <v>220</v>
      </c>
      <c r="C4" s="132">
        <v>2</v>
      </c>
      <c r="D4" s="132"/>
      <c r="E4" s="133"/>
      <c r="F4" s="132"/>
      <c r="G4" s="134"/>
    </row>
    <row r="5" spans="2:7" x14ac:dyDescent="0.25">
      <c r="B5" s="130" t="s">
        <v>3</v>
      </c>
      <c r="C5" s="135">
        <v>12</v>
      </c>
      <c r="D5" s="135" t="s">
        <v>223</v>
      </c>
      <c r="E5" s="228">
        <v>10</v>
      </c>
      <c r="F5" s="229" t="s">
        <v>224</v>
      </c>
      <c r="G5" s="137"/>
    </row>
    <row r="6" spans="2:7" x14ac:dyDescent="0.25">
      <c r="B6" s="130" t="s">
        <v>4</v>
      </c>
      <c r="C6" s="135">
        <v>2</v>
      </c>
      <c r="D6" s="135" t="s">
        <v>216</v>
      </c>
      <c r="E6" s="136"/>
      <c r="F6" s="135"/>
      <c r="G6" s="137"/>
    </row>
    <row r="7" spans="2:7" x14ac:dyDescent="0.25">
      <c r="B7" s="242" t="s">
        <v>34</v>
      </c>
      <c r="C7" s="229">
        <v>2</v>
      </c>
      <c r="D7" s="229" t="s">
        <v>217</v>
      </c>
      <c r="E7" s="136"/>
      <c r="F7" s="135"/>
      <c r="G7" s="137"/>
    </row>
    <row r="8" spans="2:7" x14ac:dyDescent="0.25">
      <c r="B8" s="130" t="s">
        <v>34</v>
      </c>
      <c r="C8" s="135">
        <v>1</v>
      </c>
      <c r="D8" s="135" t="s">
        <v>218</v>
      </c>
      <c r="E8" s="136"/>
      <c r="F8" s="135"/>
      <c r="G8" s="137"/>
    </row>
    <row r="9" spans="2:7" x14ac:dyDescent="0.25">
      <c r="B9" s="130" t="s">
        <v>210</v>
      </c>
      <c r="C9" s="135">
        <v>1</v>
      </c>
      <c r="D9" s="135" t="s">
        <v>216</v>
      </c>
      <c r="E9" s="136"/>
      <c r="F9" s="135"/>
      <c r="G9" s="137"/>
    </row>
    <row r="10" spans="2:7" x14ac:dyDescent="0.25">
      <c r="B10" s="264" t="s">
        <v>219</v>
      </c>
      <c r="C10" s="263">
        <f>+C4*C3</f>
        <v>1300</v>
      </c>
      <c r="D10" s="265" t="s">
        <v>1</v>
      </c>
      <c r="E10" s="266"/>
      <c r="F10" s="265"/>
    </row>
    <row r="11" spans="2:7" x14ac:dyDescent="0.25">
      <c r="B11" s="91" t="s">
        <v>2</v>
      </c>
      <c r="C11" s="267">
        <f>C10/C5</f>
        <v>108.33333333333333</v>
      </c>
      <c r="D11" s="263" t="s">
        <v>221</v>
      </c>
      <c r="E11" s="268">
        <f>C10/E5</f>
        <v>130</v>
      </c>
      <c r="F11" s="269" t="s">
        <v>51</v>
      </c>
    </row>
    <row r="12" spans="2:7" ht="15.75" thickBot="1" x14ac:dyDescent="0.3">
      <c r="B12" s="270"/>
      <c r="C12" s="271"/>
      <c r="D12" s="271"/>
      <c r="E12" s="272"/>
      <c r="F12" s="271"/>
      <c r="G12" s="273"/>
    </row>
    <row r="13" spans="2:7" ht="16.5" thickBot="1" x14ac:dyDescent="0.3">
      <c r="B13" s="298" t="s">
        <v>116</v>
      </c>
      <c r="C13" s="299"/>
      <c r="D13" s="299"/>
      <c r="E13" s="299"/>
      <c r="F13" s="299"/>
      <c r="G13" s="300"/>
    </row>
    <row r="14" spans="2:7" hidden="1" x14ac:dyDescent="0.25">
      <c r="B14" s="140" t="s">
        <v>165</v>
      </c>
      <c r="C14" s="113" t="s">
        <v>13</v>
      </c>
      <c r="D14" s="113" t="s">
        <v>14</v>
      </c>
      <c r="E14" s="113" t="s">
        <v>15</v>
      </c>
      <c r="F14" s="113" t="s">
        <v>209</v>
      </c>
      <c r="G14" s="139" t="s">
        <v>21</v>
      </c>
    </row>
    <row r="15" spans="2:7" hidden="1" x14ac:dyDescent="0.25">
      <c r="B15" s="130" t="s">
        <v>16</v>
      </c>
      <c r="C15" s="1" t="s">
        <v>18</v>
      </c>
      <c r="D15" s="1" t="s">
        <v>18</v>
      </c>
      <c r="E15" s="2" t="s">
        <v>19</v>
      </c>
      <c r="F15" s="1" t="s">
        <v>115</v>
      </c>
      <c r="G15" s="33" t="s">
        <v>20</v>
      </c>
    </row>
    <row r="16" spans="2:7" hidden="1" x14ac:dyDescent="0.25">
      <c r="B16" s="130" t="s">
        <v>21</v>
      </c>
      <c r="C16" s="1" t="s">
        <v>163</v>
      </c>
      <c r="D16" s="1" t="s">
        <v>163</v>
      </c>
      <c r="E16" s="1" t="s">
        <v>163</v>
      </c>
      <c r="F16" s="1" t="s">
        <v>163</v>
      </c>
      <c r="G16" s="33" t="s">
        <v>163</v>
      </c>
    </row>
    <row r="17" spans="2:19" hidden="1" x14ac:dyDescent="0.25">
      <c r="B17" s="130" t="s">
        <v>23</v>
      </c>
      <c r="C17" s="19" t="s">
        <v>114</v>
      </c>
      <c r="D17" s="19" t="s">
        <v>114</v>
      </c>
      <c r="E17" s="19" t="s">
        <v>114</v>
      </c>
      <c r="F17" s="19" t="s">
        <v>114</v>
      </c>
      <c r="G17" s="33" t="s">
        <v>24</v>
      </c>
    </row>
    <row r="18" spans="2:19" hidden="1" x14ac:dyDescent="0.25">
      <c r="B18" s="130" t="s">
        <v>25</v>
      </c>
      <c r="C18" s="19" t="s">
        <v>26</v>
      </c>
      <c r="D18" s="19" t="s">
        <v>26</v>
      </c>
      <c r="E18" s="19" t="s">
        <v>26</v>
      </c>
      <c r="F18" s="19" t="s">
        <v>26</v>
      </c>
      <c r="G18" s="33" t="s">
        <v>26</v>
      </c>
    </row>
    <row r="19" spans="2:19" hidden="1" x14ac:dyDescent="0.25">
      <c r="B19" s="130" t="s">
        <v>27</v>
      </c>
      <c r="C19" s="1" t="s">
        <v>164</v>
      </c>
      <c r="D19" s="1" t="s">
        <v>164</v>
      </c>
      <c r="E19" s="1" t="s">
        <v>164</v>
      </c>
      <c r="F19" s="1" t="s">
        <v>164</v>
      </c>
      <c r="G19" s="33" t="s">
        <v>164</v>
      </c>
    </row>
    <row r="20" spans="2:19" hidden="1" x14ac:dyDescent="0.25">
      <c r="B20" s="130" t="s">
        <v>29</v>
      </c>
      <c r="C20" s="1" t="s">
        <v>117</v>
      </c>
      <c r="D20" s="1" t="s">
        <v>117</v>
      </c>
      <c r="E20" s="1" t="s">
        <v>117</v>
      </c>
      <c r="F20" s="1" t="s">
        <v>117</v>
      </c>
      <c r="G20" s="33" t="s">
        <v>117</v>
      </c>
    </row>
    <row r="21" spans="2:19" ht="15.75" hidden="1" thickBot="1" x14ac:dyDescent="0.3">
      <c r="B21" s="141" t="s">
        <v>31</v>
      </c>
      <c r="C21" s="31" t="s">
        <v>118</v>
      </c>
      <c r="D21" s="31" t="s">
        <v>118</v>
      </c>
      <c r="E21" s="31" t="s">
        <v>118</v>
      </c>
      <c r="F21" s="31" t="s">
        <v>118</v>
      </c>
      <c r="G21" s="38" t="s">
        <v>118</v>
      </c>
      <c r="I21" s="127"/>
      <c r="J21" s="127"/>
    </row>
    <row r="22" spans="2:19" s="21" customFormat="1" ht="15.75" thickBot="1" x14ac:dyDescent="0.3">
      <c r="I22" s="190"/>
      <c r="Q22" s="26" t="s">
        <v>138</v>
      </c>
      <c r="R22" s="27" t="s">
        <v>139</v>
      </c>
      <c r="S22" s="45">
        <v>1E-3</v>
      </c>
    </row>
    <row r="23" spans="2:19" ht="16.5" thickBot="1" x14ac:dyDescent="0.3">
      <c r="B23" s="142" t="s">
        <v>86</v>
      </c>
      <c r="C23" s="301" t="s">
        <v>205</v>
      </c>
      <c r="D23" s="302"/>
      <c r="E23" s="302"/>
      <c r="F23" s="302"/>
      <c r="G23" s="303"/>
      <c r="I23" s="142" t="s">
        <v>86</v>
      </c>
      <c r="J23" s="301" t="s">
        <v>206</v>
      </c>
      <c r="K23" s="302"/>
      <c r="L23" s="302"/>
      <c r="M23" s="302"/>
      <c r="N23" s="303"/>
      <c r="Q23" s="34" t="s">
        <v>141</v>
      </c>
      <c r="R23" s="1" t="s">
        <v>140</v>
      </c>
      <c r="S23" s="29">
        <v>2200</v>
      </c>
    </row>
    <row r="24" spans="2:19" ht="15.75" thickBot="1" x14ac:dyDescent="0.3">
      <c r="B24" s="128" t="s">
        <v>165</v>
      </c>
      <c r="C24" s="151" t="s">
        <v>10</v>
      </c>
      <c r="D24" s="151" t="s">
        <v>11</v>
      </c>
      <c r="E24" s="152" t="s">
        <v>112</v>
      </c>
      <c r="F24" s="41" t="s">
        <v>113</v>
      </c>
      <c r="G24" s="108" t="s">
        <v>12</v>
      </c>
      <c r="I24" s="128" t="s">
        <v>165</v>
      </c>
      <c r="J24" s="151" t="s">
        <v>10</v>
      </c>
      <c r="K24" s="151" t="s">
        <v>11</v>
      </c>
      <c r="L24" s="152" t="s">
        <v>112</v>
      </c>
      <c r="M24" s="41" t="s">
        <v>113</v>
      </c>
      <c r="N24" s="108" t="s">
        <v>12</v>
      </c>
      <c r="Q24" s="35"/>
      <c r="R24" s="36" t="s">
        <v>22</v>
      </c>
      <c r="S24" s="51">
        <f>+S23*S22</f>
        <v>2.2000000000000002</v>
      </c>
    </row>
    <row r="25" spans="2:19" x14ac:dyDescent="0.25">
      <c r="B25" s="130" t="s">
        <v>16</v>
      </c>
      <c r="C25" s="135" t="s">
        <v>17</v>
      </c>
      <c r="D25" s="135">
        <v>25</v>
      </c>
      <c r="E25" s="154">
        <v>3800</v>
      </c>
      <c r="F25" s="279">
        <f t="shared" ref="F25:F31" si="0">+D25*E25</f>
        <v>95000</v>
      </c>
      <c r="G25" s="280">
        <f>+F25/C10</f>
        <v>73.07692307692308</v>
      </c>
      <c r="H25" s="127"/>
      <c r="I25" s="130" t="s">
        <v>16</v>
      </c>
      <c r="J25" s="135" t="s">
        <v>17</v>
      </c>
      <c r="K25" s="135">
        <v>25</v>
      </c>
      <c r="L25" s="154">
        <v>3800</v>
      </c>
      <c r="M25" s="279">
        <f t="shared" ref="M25:M31" si="1">+K25*L25</f>
        <v>95000</v>
      </c>
      <c r="N25" s="280">
        <f t="shared" ref="N25:N32" si="2">+M25/C$10</f>
        <v>73.07692307692308</v>
      </c>
    </row>
    <row r="26" spans="2:19" x14ac:dyDescent="0.25">
      <c r="B26" s="130" t="s">
        <v>21</v>
      </c>
      <c r="C26" s="135" t="s">
        <v>22</v>
      </c>
      <c r="D26" s="135">
        <v>0</v>
      </c>
      <c r="E26" s="154">
        <v>3000</v>
      </c>
      <c r="F26" s="279">
        <f t="shared" si="0"/>
        <v>0</v>
      </c>
      <c r="G26" s="280">
        <f>+F26/C10</f>
        <v>0</v>
      </c>
      <c r="I26" s="130" t="s">
        <v>21</v>
      </c>
      <c r="J26" s="135" t="s">
        <v>22</v>
      </c>
      <c r="K26" s="135">
        <v>0</v>
      </c>
      <c r="L26" s="154">
        <v>3000</v>
      </c>
      <c r="M26" s="279">
        <f t="shared" si="1"/>
        <v>0</v>
      </c>
      <c r="N26" s="280">
        <f t="shared" si="2"/>
        <v>0</v>
      </c>
    </row>
    <row r="27" spans="2:19" x14ac:dyDescent="0.25">
      <c r="B27" s="130" t="s">
        <v>23</v>
      </c>
      <c r="C27" s="135" t="s">
        <v>17</v>
      </c>
      <c r="D27" s="135">
        <v>18</v>
      </c>
      <c r="E27" s="154">
        <v>3100</v>
      </c>
      <c r="F27" s="279">
        <f t="shared" si="0"/>
        <v>55800</v>
      </c>
      <c r="G27" s="280">
        <f>+F27/C10</f>
        <v>42.92307692307692</v>
      </c>
      <c r="I27" s="130" t="s">
        <v>23</v>
      </c>
      <c r="J27" s="135" t="s">
        <v>17</v>
      </c>
      <c r="K27" s="135">
        <v>18</v>
      </c>
      <c r="L27" s="154">
        <v>3100</v>
      </c>
      <c r="M27" s="279">
        <f t="shared" si="1"/>
        <v>55800</v>
      </c>
      <c r="N27" s="280">
        <f t="shared" si="2"/>
        <v>42.92307692307692</v>
      </c>
    </row>
    <row r="28" spans="2:19" x14ac:dyDescent="0.25">
      <c r="B28" s="130" t="s">
        <v>25</v>
      </c>
      <c r="C28" s="135" t="s">
        <v>17</v>
      </c>
      <c r="D28" s="135">
        <v>1</v>
      </c>
      <c r="E28" s="154">
        <v>3000</v>
      </c>
      <c r="F28" s="279">
        <f t="shared" si="0"/>
        <v>3000</v>
      </c>
      <c r="G28" s="280">
        <f>+F28/C10</f>
        <v>2.3076923076923075</v>
      </c>
      <c r="I28" s="130" t="s">
        <v>25</v>
      </c>
      <c r="J28" s="135" t="s">
        <v>17</v>
      </c>
      <c r="K28" s="135">
        <v>1</v>
      </c>
      <c r="L28" s="154">
        <v>3000</v>
      </c>
      <c r="M28" s="279">
        <f t="shared" si="1"/>
        <v>3000</v>
      </c>
      <c r="N28" s="280">
        <f t="shared" si="2"/>
        <v>2.3076923076923075</v>
      </c>
    </row>
    <row r="29" spans="2:19" x14ac:dyDescent="0.25">
      <c r="B29" s="130" t="s">
        <v>27</v>
      </c>
      <c r="C29" s="135" t="s">
        <v>28</v>
      </c>
      <c r="D29" s="135">
        <v>5</v>
      </c>
      <c r="E29" s="154">
        <v>210</v>
      </c>
      <c r="F29" s="279">
        <f t="shared" si="0"/>
        <v>1050</v>
      </c>
      <c r="G29" s="280">
        <f>+F29/C10</f>
        <v>0.80769230769230771</v>
      </c>
      <c r="I29" s="130" t="s">
        <v>27</v>
      </c>
      <c r="J29" s="135" t="s">
        <v>28</v>
      </c>
      <c r="K29" s="135">
        <v>5</v>
      </c>
      <c r="L29" s="154">
        <v>210</v>
      </c>
      <c r="M29" s="279">
        <f t="shared" si="1"/>
        <v>1050</v>
      </c>
      <c r="N29" s="280">
        <f t="shared" si="2"/>
        <v>0.80769230769230771</v>
      </c>
    </row>
    <row r="30" spans="2:19" x14ac:dyDescent="0.25">
      <c r="B30" s="130" t="s">
        <v>29</v>
      </c>
      <c r="C30" s="135" t="s">
        <v>30</v>
      </c>
      <c r="D30" s="135">
        <v>12</v>
      </c>
      <c r="E30" s="158">
        <v>500</v>
      </c>
      <c r="F30" s="279">
        <f t="shared" si="0"/>
        <v>6000</v>
      </c>
      <c r="G30" s="280">
        <f>+F30/C10</f>
        <v>4.615384615384615</v>
      </c>
      <c r="I30" s="130" t="s">
        <v>29</v>
      </c>
      <c r="J30" s="135" t="s">
        <v>30</v>
      </c>
      <c r="K30" s="135">
        <v>12</v>
      </c>
      <c r="L30" s="158">
        <v>500</v>
      </c>
      <c r="M30" s="279">
        <f t="shared" si="1"/>
        <v>6000</v>
      </c>
      <c r="N30" s="284">
        <f t="shared" si="2"/>
        <v>4.615384615384615</v>
      </c>
    </row>
    <row r="31" spans="2:19" x14ac:dyDescent="0.25">
      <c r="B31" s="130" t="s">
        <v>31</v>
      </c>
      <c r="C31" s="135" t="s">
        <v>32</v>
      </c>
      <c r="D31" s="135">
        <v>3</v>
      </c>
      <c r="E31" s="158">
        <v>2500</v>
      </c>
      <c r="F31" s="279">
        <f t="shared" si="0"/>
        <v>7500</v>
      </c>
      <c r="G31" s="280">
        <f>+F31/C10</f>
        <v>5.7692307692307692</v>
      </c>
      <c r="I31" s="130" t="s">
        <v>31</v>
      </c>
      <c r="J31" s="135" t="s">
        <v>32</v>
      </c>
      <c r="K31" s="135">
        <v>3</v>
      </c>
      <c r="L31" s="158">
        <v>2500</v>
      </c>
      <c r="M31" s="279">
        <f t="shared" si="1"/>
        <v>7500</v>
      </c>
      <c r="N31" s="280">
        <f t="shared" si="2"/>
        <v>5.7692307692307692</v>
      </c>
    </row>
    <row r="32" spans="2:19" ht="15.75" thickBot="1" x14ac:dyDescent="0.3">
      <c r="B32" s="143" t="s">
        <v>53</v>
      </c>
      <c r="C32" s="156"/>
      <c r="D32" s="156"/>
      <c r="E32" s="157"/>
      <c r="F32" s="281">
        <f>SUM(F25:F31)</f>
        <v>168350</v>
      </c>
      <c r="G32" s="99">
        <f>+F32/C10</f>
        <v>129.5</v>
      </c>
      <c r="I32" s="143" t="s">
        <v>53</v>
      </c>
      <c r="J32" s="156"/>
      <c r="K32" s="156"/>
      <c r="L32" s="157"/>
      <c r="M32" s="281">
        <f>SUM(M25:M31)</f>
        <v>168350</v>
      </c>
      <c r="N32" s="280">
        <f t="shared" si="2"/>
        <v>129.5</v>
      </c>
    </row>
    <row r="33" spans="2:14" ht="16.5" thickBot="1" x14ac:dyDescent="0.3">
      <c r="B33" s="144" t="s">
        <v>86</v>
      </c>
      <c r="C33" s="301" t="str">
        <f>+D14</f>
        <v>Mandarina</v>
      </c>
      <c r="D33" s="302"/>
      <c r="E33" s="302"/>
      <c r="F33" s="302"/>
      <c r="G33" s="303"/>
      <c r="I33" s="144" t="s">
        <v>86</v>
      </c>
      <c r="J33" s="310" t="s">
        <v>222</v>
      </c>
      <c r="K33" s="299"/>
      <c r="L33" s="299"/>
      <c r="M33" s="299"/>
      <c r="N33" s="300"/>
    </row>
    <row r="34" spans="2:14" x14ac:dyDescent="0.25">
      <c r="B34" s="140" t="s">
        <v>165</v>
      </c>
      <c r="C34" s="151" t="s">
        <v>10</v>
      </c>
      <c r="D34" s="151" t="s">
        <v>11</v>
      </c>
      <c r="E34" s="152" t="s">
        <v>112</v>
      </c>
      <c r="F34" s="41" t="s">
        <v>113</v>
      </c>
      <c r="G34" s="108" t="s">
        <v>12</v>
      </c>
      <c r="I34" s="140" t="s">
        <v>165</v>
      </c>
      <c r="J34" s="151" t="s">
        <v>10</v>
      </c>
      <c r="K34" s="151" t="s">
        <v>11</v>
      </c>
      <c r="L34" s="152" t="s">
        <v>112</v>
      </c>
      <c r="M34" s="41" t="s">
        <v>113</v>
      </c>
      <c r="N34" s="108" t="s">
        <v>12</v>
      </c>
    </row>
    <row r="35" spans="2:14" x14ac:dyDescent="0.25">
      <c r="B35" s="130" t="s">
        <v>16</v>
      </c>
      <c r="C35" s="135" t="s">
        <v>17</v>
      </c>
      <c r="D35" s="135">
        <v>10</v>
      </c>
      <c r="E35" s="154">
        <v>1900</v>
      </c>
      <c r="F35" s="279">
        <f>+D35*E35</f>
        <v>19000</v>
      </c>
      <c r="G35" s="280">
        <f t="shared" ref="G35:G42" si="3">+F35/$C$10</f>
        <v>14.615384615384615</v>
      </c>
      <c r="I35" s="130" t="s">
        <v>16</v>
      </c>
      <c r="J35" s="135" t="s">
        <v>119</v>
      </c>
      <c r="K35" s="135">
        <v>6</v>
      </c>
      <c r="L35" s="154">
        <v>1000</v>
      </c>
      <c r="M35" s="279">
        <f t="shared" ref="M35:M41" si="4">+K35*L35</f>
        <v>6000</v>
      </c>
      <c r="N35" s="280">
        <f t="shared" ref="N35:N42" si="5">+M35/$C$10</f>
        <v>4.615384615384615</v>
      </c>
    </row>
    <row r="36" spans="2:14" x14ac:dyDescent="0.25">
      <c r="B36" s="130" t="s">
        <v>21</v>
      </c>
      <c r="C36" s="135" t="s">
        <v>22</v>
      </c>
      <c r="D36" s="135">
        <v>0</v>
      </c>
      <c r="E36" s="154">
        <v>3000</v>
      </c>
      <c r="F36" s="279">
        <f t="shared" ref="F36:F41" si="6">+D36*E36</f>
        <v>0</v>
      </c>
      <c r="G36" s="280">
        <f t="shared" si="3"/>
        <v>0</v>
      </c>
      <c r="I36" s="130" t="s">
        <v>21</v>
      </c>
      <c r="J36" s="135" t="s">
        <v>22</v>
      </c>
      <c r="K36" s="135">
        <v>0</v>
      </c>
      <c r="L36" s="154">
        <v>3000</v>
      </c>
      <c r="M36" s="279">
        <f t="shared" si="4"/>
        <v>0</v>
      </c>
      <c r="N36" s="280">
        <f t="shared" si="5"/>
        <v>0</v>
      </c>
    </row>
    <row r="37" spans="2:14" x14ac:dyDescent="0.25">
      <c r="B37" s="130" t="s">
        <v>23</v>
      </c>
      <c r="C37" s="135" t="s">
        <v>17</v>
      </c>
      <c r="D37" s="135">
        <v>18</v>
      </c>
      <c r="E37" s="154">
        <v>3100</v>
      </c>
      <c r="F37" s="279">
        <f t="shared" si="6"/>
        <v>55800</v>
      </c>
      <c r="G37" s="280">
        <f t="shared" si="3"/>
        <v>42.92307692307692</v>
      </c>
      <c r="I37" s="130" t="s">
        <v>23</v>
      </c>
      <c r="J37" s="135" t="s">
        <v>17</v>
      </c>
      <c r="K37" s="135">
        <v>18</v>
      </c>
      <c r="L37" s="154">
        <v>3100</v>
      </c>
      <c r="M37" s="279">
        <f t="shared" si="4"/>
        <v>55800</v>
      </c>
      <c r="N37" s="280">
        <f t="shared" si="5"/>
        <v>42.92307692307692</v>
      </c>
    </row>
    <row r="38" spans="2:14" x14ac:dyDescent="0.25">
      <c r="B38" s="130" t="s">
        <v>25</v>
      </c>
      <c r="C38" s="135" t="s">
        <v>17</v>
      </c>
      <c r="D38" s="135">
        <v>1</v>
      </c>
      <c r="E38" s="154">
        <v>3000</v>
      </c>
      <c r="F38" s="279">
        <f t="shared" si="6"/>
        <v>3000</v>
      </c>
      <c r="G38" s="280">
        <f t="shared" si="3"/>
        <v>2.3076923076923075</v>
      </c>
      <c r="I38" s="130" t="s">
        <v>25</v>
      </c>
      <c r="J38" s="135" t="s">
        <v>17</v>
      </c>
      <c r="K38" s="135">
        <v>1</v>
      </c>
      <c r="L38" s="154">
        <v>3000</v>
      </c>
      <c r="M38" s="279">
        <f t="shared" si="4"/>
        <v>3000</v>
      </c>
      <c r="N38" s="280">
        <f t="shared" si="5"/>
        <v>2.3076923076923075</v>
      </c>
    </row>
    <row r="39" spans="2:14" x14ac:dyDescent="0.25">
      <c r="B39" s="130" t="s">
        <v>27</v>
      </c>
      <c r="C39" s="135" t="s">
        <v>28</v>
      </c>
      <c r="D39" s="135">
        <v>5</v>
      </c>
      <c r="E39" s="154">
        <v>210</v>
      </c>
      <c r="F39" s="279">
        <f t="shared" si="6"/>
        <v>1050</v>
      </c>
      <c r="G39" s="280">
        <f t="shared" si="3"/>
        <v>0.80769230769230771</v>
      </c>
      <c r="I39" s="130" t="s">
        <v>27</v>
      </c>
      <c r="J39" s="135" t="s">
        <v>28</v>
      </c>
      <c r="K39" s="135">
        <v>5</v>
      </c>
      <c r="L39" s="154">
        <v>210</v>
      </c>
      <c r="M39" s="279">
        <f t="shared" si="4"/>
        <v>1050</v>
      </c>
      <c r="N39" s="280">
        <f t="shared" si="5"/>
        <v>0.80769230769230771</v>
      </c>
    </row>
    <row r="40" spans="2:14" x14ac:dyDescent="0.25">
      <c r="B40" s="130" t="s">
        <v>29</v>
      </c>
      <c r="C40" s="135" t="s">
        <v>30</v>
      </c>
      <c r="D40" s="135">
        <v>12</v>
      </c>
      <c r="E40" s="155">
        <v>500</v>
      </c>
      <c r="F40" s="279">
        <f t="shared" si="6"/>
        <v>6000</v>
      </c>
      <c r="G40" s="280">
        <f t="shared" si="3"/>
        <v>4.615384615384615</v>
      </c>
      <c r="I40" s="130" t="s">
        <v>29</v>
      </c>
      <c r="J40" s="135" t="s">
        <v>30</v>
      </c>
      <c r="K40" s="135">
        <v>12</v>
      </c>
      <c r="L40" s="155">
        <v>500</v>
      </c>
      <c r="M40" s="279">
        <f t="shared" si="4"/>
        <v>6000</v>
      </c>
      <c r="N40" s="280">
        <f t="shared" si="5"/>
        <v>4.615384615384615</v>
      </c>
    </row>
    <row r="41" spans="2:14" x14ac:dyDescent="0.25">
      <c r="B41" s="130" t="s">
        <v>31</v>
      </c>
      <c r="C41" s="135" t="s">
        <v>32</v>
      </c>
      <c r="D41" s="135">
        <v>3</v>
      </c>
      <c r="E41" s="136">
        <v>2500</v>
      </c>
      <c r="F41" s="279">
        <f t="shared" si="6"/>
        <v>7500</v>
      </c>
      <c r="G41" s="280">
        <f t="shared" si="3"/>
        <v>5.7692307692307692</v>
      </c>
      <c r="I41" s="130" t="s">
        <v>31</v>
      </c>
      <c r="J41" s="135" t="s">
        <v>32</v>
      </c>
      <c r="K41" s="135">
        <v>3</v>
      </c>
      <c r="L41" s="136">
        <v>2500</v>
      </c>
      <c r="M41" s="279">
        <f t="shared" si="4"/>
        <v>7500</v>
      </c>
      <c r="N41" s="280">
        <f t="shared" si="5"/>
        <v>5.7692307692307692</v>
      </c>
    </row>
    <row r="42" spans="2:14" ht="15.75" thickBot="1" x14ac:dyDescent="0.3">
      <c r="B42" s="129" t="s">
        <v>53</v>
      </c>
      <c r="C42" s="135"/>
      <c r="D42" s="135"/>
      <c r="E42" s="136"/>
      <c r="F42" s="282">
        <f>SUM(F35:F41)</f>
        <v>92350</v>
      </c>
      <c r="G42" s="280">
        <f t="shared" si="3"/>
        <v>71.038461538461533</v>
      </c>
      <c r="I42" s="129" t="s">
        <v>53</v>
      </c>
      <c r="J42" s="135"/>
      <c r="K42" s="135"/>
      <c r="L42" s="136"/>
      <c r="M42" s="282">
        <f>SUM(M35:M41)</f>
        <v>79350</v>
      </c>
      <c r="N42" s="280">
        <f t="shared" si="5"/>
        <v>61.03846153846154</v>
      </c>
    </row>
    <row r="43" spans="2:14" ht="16.5" thickBot="1" x14ac:dyDescent="0.3">
      <c r="B43" s="144" t="s">
        <v>86</v>
      </c>
      <c r="C43" s="310" t="s">
        <v>207</v>
      </c>
      <c r="D43" s="299"/>
      <c r="E43" s="299"/>
      <c r="F43" s="299"/>
      <c r="G43" s="300"/>
    </row>
    <row r="44" spans="2:14" x14ac:dyDescent="0.25">
      <c r="B44" s="140" t="s">
        <v>165</v>
      </c>
      <c r="C44" s="151" t="s">
        <v>10</v>
      </c>
      <c r="D44" s="151" t="s">
        <v>11</v>
      </c>
      <c r="E44" s="152" t="s">
        <v>112</v>
      </c>
      <c r="F44" s="41" t="s">
        <v>113</v>
      </c>
      <c r="G44" s="108" t="s">
        <v>12</v>
      </c>
    </row>
    <row r="45" spans="2:14" x14ac:dyDescent="0.25">
      <c r="B45" s="130" t="s">
        <v>16</v>
      </c>
      <c r="C45" s="135" t="s">
        <v>119</v>
      </c>
      <c r="D45" s="135">
        <v>9</v>
      </c>
      <c r="E45" s="154">
        <v>600</v>
      </c>
      <c r="F45" s="279">
        <f t="shared" ref="F45:F51" si="7">+D45*E45</f>
        <v>5400</v>
      </c>
      <c r="G45" s="280">
        <f t="shared" ref="G45:G52" si="8">+F45/$C$10</f>
        <v>4.1538461538461542</v>
      </c>
    </row>
    <row r="46" spans="2:14" x14ac:dyDescent="0.25">
      <c r="B46" s="130" t="s">
        <v>21</v>
      </c>
      <c r="C46" s="135" t="s">
        <v>22</v>
      </c>
      <c r="D46" s="135">
        <v>0</v>
      </c>
      <c r="E46" s="154">
        <v>3000</v>
      </c>
      <c r="F46" s="279">
        <f t="shared" si="7"/>
        <v>0</v>
      </c>
      <c r="G46" s="280">
        <f t="shared" si="8"/>
        <v>0</v>
      </c>
    </row>
    <row r="47" spans="2:14" x14ac:dyDescent="0.25">
      <c r="B47" s="130" t="s">
        <v>23</v>
      </c>
      <c r="C47" s="135" t="s">
        <v>17</v>
      </c>
      <c r="D47" s="135">
        <v>20</v>
      </c>
      <c r="E47" s="154">
        <v>2000</v>
      </c>
      <c r="F47" s="279">
        <f t="shared" si="7"/>
        <v>40000</v>
      </c>
      <c r="G47" s="280">
        <f t="shared" si="8"/>
        <v>30.76923076923077</v>
      </c>
    </row>
    <row r="48" spans="2:14" x14ac:dyDescent="0.25">
      <c r="B48" s="130" t="s">
        <v>25</v>
      </c>
      <c r="C48" s="135" t="s">
        <v>17</v>
      </c>
      <c r="D48" s="135">
        <v>3</v>
      </c>
      <c r="E48" s="154">
        <v>9000</v>
      </c>
      <c r="F48" s="279">
        <f t="shared" si="7"/>
        <v>27000</v>
      </c>
      <c r="G48" s="280">
        <f t="shared" si="8"/>
        <v>20.76923076923077</v>
      </c>
    </row>
    <row r="49" spans="2:7" x14ac:dyDescent="0.25">
      <c r="B49" s="130" t="s">
        <v>27</v>
      </c>
      <c r="C49" s="135" t="s">
        <v>28</v>
      </c>
      <c r="D49" s="135">
        <v>0</v>
      </c>
      <c r="E49" s="154">
        <v>210</v>
      </c>
      <c r="F49" s="279">
        <f t="shared" si="7"/>
        <v>0</v>
      </c>
      <c r="G49" s="280">
        <f t="shared" si="8"/>
        <v>0</v>
      </c>
    </row>
    <row r="50" spans="2:7" x14ac:dyDescent="0.25">
      <c r="B50" s="130" t="s">
        <v>29</v>
      </c>
      <c r="C50" s="135" t="s">
        <v>30</v>
      </c>
      <c r="D50" s="135">
        <v>12</v>
      </c>
      <c r="E50" s="155">
        <v>500</v>
      </c>
      <c r="F50" s="279">
        <f t="shared" si="7"/>
        <v>6000</v>
      </c>
      <c r="G50" s="280">
        <f t="shared" si="8"/>
        <v>4.615384615384615</v>
      </c>
    </row>
    <row r="51" spans="2:7" x14ac:dyDescent="0.25">
      <c r="B51" s="130" t="s">
        <v>31</v>
      </c>
      <c r="C51" s="135" t="s">
        <v>32</v>
      </c>
      <c r="D51" s="135">
        <v>0</v>
      </c>
      <c r="E51" s="136">
        <v>2500</v>
      </c>
      <c r="F51" s="279">
        <f t="shared" si="7"/>
        <v>0</v>
      </c>
      <c r="G51" s="280">
        <f t="shared" si="8"/>
        <v>0</v>
      </c>
    </row>
    <row r="52" spans="2:7" ht="15.75" thickBot="1" x14ac:dyDescent="0.3">
      <c r="B52" s="129" t="s">
        <v>53</v>
      </c>
      <c r="C52" s="135"/>
      <c r="D52" s="135"/>
      <c r="E52" s="136"/>
      <c r="F52" s="282">
        <f>SUM(F45:F51)</f>
        <v>78400</v>
      </c>
      <c r="G52" s="280">
        <f t="shared" si="8"/>
        <v>60.307692307692307</v>
      </c>
    </row>
    <row r="53" spans="2:7" ht="16.5" thickBot="1" x14ac:dyDescent="0.3">
      <c r="B53" s="144" t="s">
        <v>86</v>
      </c>
      <c r="C53" s="310" t="str">
        <f>+F14</f>
        <v>Café molido instantáneo</v>
      </c>
      <c r="D53" s="299"/>
      <c r="E53" s="299"/>
      <c r="F53" s="299"/>
      <c r="G53" s="300"/>
    </row>
    <row r="54" spans="2:7" x14ac:dyDescent="0.25">
      <c r="B54" s="140" t="s">
        <v>165</v>
      </c>
      <c r="C54" s="151" t="s">
        <v>10</v>
      </c>
      <c r="D54" s="151" t="s">
        <v>11</v>
      </c>
      <c r="E54" s="152" t="s">
        <v>112</v>
      </c>
      <c r="F54" s="41" t="s">
        <v>113</v>
      </c>
      <c r="G54" s="108" t="s">
        <v>12</v>
      </c>
    </row>
    <row r="55" spans="2:7" x14ac:dyDescent="0.25">
      <c r="B55" s="130" t="s">
        <v>208</v>
      </c>
      <c r="C55" s="135" t="s">
        <v>120</v>
      </c>
      <c r="D55" s="135">
        <v>4</v>
      </c>
      <c r="E55" s="154">
        <v>7800</v>
      </c>
      <c r="F55" s="279">
        <f t="shared" ref="F55:F61" si="9">+D55*E55</f>
        <v>31200</v>
      </c>
      <c r="G55" s="280">
        <f t="shared" ref="G55:G62" si="10">+F55/$C$10</f>
        <v>24</v>
      </c>
    </row>
    <row r="56" spans="2:7" x14ac:dyDescent="0.25">
      <c r="B56" s="130" t="s">
        <v>21</v>
      </c>
      <c r="C56" s="135" t="s">
        <v>22</v>
      </c>
      <c r="D56" s="135">
        <v>0</v>
      </c>
      <c r="E56" s="154">
        <v>3000</v>
      </c>
      <c r="F56" s="279">
        <f t="shared" si="9"/>
        <v>0</v>
      </c>
      <c r="G56" s="280">
        <f t="shared" si="10"/>
        <v>0</v>
      </c>
    </row>
    <row r="57" spans="2:7" x14ac:dyDescent="0.25">
      <c r="B57" s="130" t="s">
        <v>23</v>
      </c>
      <c r="C57" s="135" t="s">
        <v>17</v>
      </c>
      <c r="D57" s="135">
        <v>18</v>
      </c>
      <c r="E57" s="154">
        <v>3100</v>
      </c>
      <c r="F57" s="279">
        <f t="shared" si="9"/>
        <v>55800</v>
      </c>
      <c r="G57" s="280">
        <f t="shared" si="10"/>
        <v>42.92307692307692</v>
      </c>
    </row>
    <row r="58" spans="2:7" x14ac:dyDescent="0.25">
      <c r="B58" s="130" t="s">
        <v>25</v>
      </c>
      <c r="C58" s="135" t="s">
        <v>17</v>
      </c>
      <c r="D58" s="135">
        <v>1</v>
      </c>
      <c r="E58" s="154">
        <v>3000</v>
      </c>
      <c r="F58" s="279">
        <f t="shared" si="9"/>
        <v>3000</v>
      </c>
      <c r="G58" s="280">
        <f t="shared" si="10"/>
        <v>2.3076923076923075</v>
      </c>
    </row>
    <row r="59" spans="2:7" x14ac:dyDescent="0.25">
      <c r="B59" s="130" t="s">
        <v>27</v>
      </c>
      <c r="C59" s="135" t="s">
        <v>28</v>
      </c>
      <c r="D59" s="135">
        <v>5</v>
      </c>
      <c r="E59" s="154">
        <v>210</v>
      </c>
      <c r="F59" s="279">
        <f t="shared" si="9"/>
        <v>1050</v>
      </c>
      <c r="G59" s="280">
        <f t="shared" si="10"/>
        <v>0.80769230769230771</v>
      </c>
    </row>
    <row r="60" spans="2:7" x14ac:dyDescent="0.25">
      <c r="B60" s="130" t="s">
        <v>29</v>
      </c>
      <c r="C60" s="135" t="s">
        <v>30</v>
      </c>
      <c r="D60" s="135">
        <v>12</v>
      </c>
      <c r="E60" s="155">
        <v>500</v>
      </c>
      <c r="F60" s="279">
        <f t="shared" si="9"/>
        <v>6000</v>
      </c>
      <c r="G60" s="280">
        <f t="shared" si="10"/>
        <v>4.615384615384615</v>
      </c>
    </row>
    <row r="61" spans="2:7" x14ac:dyDescent="0.25">
      <c r="B61" s="130" t="s">
        <v>31</v>
      </c>
      <c r="C61" s="135" t="s">
        <v>32</v>
      </c>
      <c r="D61" s="135">
        <v>3</v>
      </c>
      <c r="E61" s="136">
        <v>2500</v>
      </c>
      <c r="F61" s="279">
        <f t="shared" si="9"/>
        <v>7500</v>
      </c>
      <c r="G61" s="280">
        <f t="shared" si="10"/>
        <v>5.7692307692307692</v>
      </c>
    </row>
    <row r="62" spans="2:7" ht="15.75" thickBot="1" x14ac:dyDescent="0.3">
      <c r="B62" s="143" t="s">
        <v>53</v>
      </c>
      <c r="C62" s="156"/>
      <c r="D62" s="156"/>
      <c r="E62" s="157"/>
      <c r="F62" s="283">
        <f>SUM(F55:F61)</f>
        <v>104550</v>
      </c>
      <c r="G62" s="99">
        <f t="shared" si="10"/>
        <v>80.42307692307692</v>
      </c>
    </row>
    <row r="63" spans="2:7" ht="16.5" thickBot="1" x14ac:dyDescent="0.3">
      <c r="B63" s="144" t="s">
        <v>86</v>
      </c>
      <c r="C63" s="310" t="str">
        <f>+G14</f>
        <v>Leche</v>
      </c>
      <c r="D63" s="299"/>
      <c r="E63" s="299"/>
      <c r="F63" s="299"/>
      <c r="G63" s="300"/>
    </row>
    <row r="64" spans="2:7" x14ac:dyDescent="0.25">
      <c r="B64" s="140" t="s">
        <v>165</v>
      </c>
      <c r="C64" s="151" t="s">
        <v>10</v>
      </c>
      <c r="D64" s="151" t="s">
        <v>11</v>
      </c>
      <c r="E64" s="152" t="s">
        <v>112</v>
      </c>
      <c r="F64" s="41" t="s">
        <v>113</v>
      </c>
      <c r="G64" s="108" t="s">
        <v>12</v>
      </c>
    </row>
    <row r="65" spans="2:7" x14ac:dyDescent="0.25">
      <c r="B65" s="130" t="s">
        <v>16</v>
      </c>
      <c r="C65" s="135" t="s">
        <v>17</v>
      </c>
      <c r="D65" s="135">
        <v>0</v>
      </c>
      <c r="E65" s="154">
        <v>7800</v>
      </c>
      <c r="F65" s="279">
        <f t="shared" ref="F65:F71" si="11">+D65*E65</f>
        <v>0</v>
      </c>
      <c r="G65" s="280">
        <f t="shared" ref="G65:G72" si="12">+F65/$C$10</f>
        <v>0</v>
      </c>
    </row>
    <row r="66" spans="2:7" x14ac:dyDescent="0.25">
      <c r="B66" s="130" t="s">
        <v>21</v>
      </c>
      <c r="C66" s="135" t="s">
        <v>22</v>
      </c>
      <c r="D66" s="135">
        <v>20</v>
      </c>
      <c r="E66" s="154">
        <v>3000</v>
      </c>
      <c r="F66" s="279">
        <f t="shared" si="11"/>
        <v>60000</v>
      </c>
      <c r="G66" s="280">
        <f t="shared" si="12"/>
        <v>46.153846153846153</v>
      </c>
    </row>
    <row r="67" spans="2:7" x14ac:dyDescent="0.25">
      <c r="B67" s="130" t="s">
        <v>23</v>
      </c>
      <c r="C67" s="135" t="s">
        <v>17</v>
      </c>
      <c r="D67" s="135">
        <v>12</v>
      </c>
      <c r="E67" s="154">
        <v>3100</v>
      </c>
      <c r="F67" s="279">
        <f t="shared" si="11"/>
        <v>37200</v>
      </c>
      <c r="G67" s="280">
        <f t="shared" si="12"/>
        <v>28.615384615384617</v>
      </c>
    </row>
    <row r="68" spans="2:7" x14ac:dyDescent="0.25">
      <c r="B68" s="130" t="s">
        <v>25</v>
      </c>
      <c r="C68" s="135" t="s">
        <v>17</v>
      </c>
      <c r="D68" s="135">
        <v>1</v>
      </c>
      <c r="E68" s="154">
        <v>3000</v>
      </c>
      <c r="F68" s="279">
        <f t="shared" si="11"/>
        <v>3000</v>
      </c>
      <c r="G68" s="280">
        <f t="shared" si="12"/>
        <v>2.3076923076923075</v>
      </c>
    </row>
    <row r="69" spans="2:7" x14ac:dyDescent="0.25">
      <c r="B69" s="130" t="s">
        <v>27</v>
      </c>
      <c r="C69" s="135" t="s">
        <v>28</v>
      </c>
      <c r="D69" s="135">
        <v>5</v>
      </c>
      <c r="E69" s="154">
        <v>210</v>
      </c>
      <c r="F69" s="279">
        <f t="shared" si="11"/>
        <v>1050</v>
      </c>
      <c r="G69" s="280">
        <f t="shared" si="12"/>
        <v>0.80769230769230771</v>
      </c>
    </row>
    <row r="70" spans="2:7" x14ac:dyDescent="0.25">
      <c r="B70" s="130" t="s">
        <v>29</v>
      </c>
      <c r="C70" s="135" t="s">
        <v>30</v>
      </c>
      <c r="D70" s="135">
        <v>12</v>
      </c>
      <c r="E70" s="155">
        <v>500</v>
      </c>
      <c r="F70" s="279">
        <f t="shared" si="11"/>
        <v>6000</v>
      </c>
      <c r="G70" s="280">
        <f t="shared" si="12"/>
        <v>4.615384615384615</v>
      </c>
    </row>
    <row r="71" spans="2:7" x14ac:dyDescent="0.25">
      <c r="B71" s="130" t="s">
        <v>31</v>
      </c>
      <c r="C71" s="135" t="s">
        <v>32</v>
      </c>
      <c r="D71" s="135">
        <v>3</v>
      </c>
      <c r="E71" s="136">
        <v>2500</v>
      </c>
      <c r="F71" s="279">
        <f t="shared" si="11"/>
        <v>7500</v>
      </c>
      <c r="G71" s="280">
        <f t="shared" si="12"/>
        <v>5.7692307692307692</v>
      </c>
    </row>
    <row r="72" spans="2:7" ht="15.75" thickBot="1" x14ac:dyDescent="0.3">
      <c r="B72" s="143" t="s">
        <v>53</v>
      </c>
      <c r="C72" s="156"/>
      <c r="D72" s="156"/>
      <c r="E72" s="157"/>
      <c r="F72" s="283">
        <f>SUM(F65:F71)</f>
        <v>114750</v>
      </c>
      <c r="G72" s="99">
        <f t="shared" si="12"/>
        <v>88.269230769230774</v>
      </c>
    </row>
    <row r="73" spans="2:7" s="21" customFormat="1" ht="15.75" thickBot="1" x14ac:dyDescent="0.3">
      <c r="B73" s="22"/>
      <c r="E73" s="23"/>
      <c r="F73" s="24"/>
      <c r="G73" s="25"/>
    </row>
    <row r="74" spans="2:7" ht="15.75" x14ac:dyDescent="0.25">
      <c r="B74" s="304" t="s">
        <v>150</v>
      </c>
      <c r="C74" s="305"/>
      <c r="D74" s="305"/>
      <c r="E74" s="305"/>
      <c r="F74" s="305"/>
      <c r="G74" s="306"/>
    </row>
    <row r="75" spans="2:7" x14ac:dyDescent="0.25">
      <c r="B75" s="130" t="s">
        <v>0</v>
      </c>
      <c r="C75" s="1">
        <f>+C10</f>
        <v>1300</v>
      </c>
      <c r="D75" s="1" t="s">
        <v>1</v>
      </c>
      <c r="G75" s="33"/>
    </row>
    <row r="76" spans="2:7" x14ac:dyDescent="0.25">
      <c r="B76" s="130" t="s">
        <v>213</v>
      </c>
      <c r="C76" s="1">
        <v>1</v>
      </c>
      <c r="G76" s="33"/>
    </row>
    <row r="77" spans="2:7" x14ac:dyDescent="0.25">
      <c r="B77" s="130" t="s">
        <v>214</v>
      </c>
      <c r="C77" s="1">
        <v>2</v>
      </c>
      <c r="D77" s="1" t="s">
        <v>215</v>
      </c>
      <c r="G77" s="33"/>
    </row>
    <row r="78" spans="2:7" x14ac:dyDescent="0.25">
      <c r="B78" s="130" t="s">
        <v>196</v>
      </c>
      <c r="C78" s="1">
        <v>5</v>
      </c>
      <c r="D78" s="1" t="s">
        <v>35</v>
      </c>
      <c r="G78" s="46"/>
    </row>
    <row r="79" spans="2:7" ht="15.75" thickBot="1" x14ac:dyDescent="0.3">
      <c r="B79" s="178" t="s">
        <v>36</v>
      </c>
      <c r="C79" s="181">
        <v>1</v>
      </c>
      <c r="D79" s="181" t="s">
        <v>5</v>
      </c>
      <c r="E79" s="182"/>
      <c r="F79" s="181"/>
      <c r="G79" s="183"/>
    </row>
    <row r="80" spans="2:7" x14ac:dyDescent="0.25">
      <c r="B80" s="291" t="s">
        <v>137</v>
      </c>
      <c r="C80" s="238" t="s">
        <v>204</v>
      </c>
      <c r="D80" s="239">
        <v>7000</v>
      </c>
      <c r="E80" s="238">
        <v>100</v>
      </c>
      <c r="F80" s="184" t="s">
        <v>8</v>
      </c>
      <c r="G80" s="185"/>
    </row>
    <row r="81" spans="2:7" x14ac:dyDescent="0.25">
      <c r="B81" s="292"/>
      <c r="C81" s="174">
        <f>+E80*100</f>
        <v>10000</v>
      </c>
      <c r="D81" s="177" t="s">
        <v>192</v>
      </c>
      <c r="E81" s="174" t="s">
        <v>194</v>
      </c>
      <c r="F81" s="174">
        <f>C82*C81</f>
        <v>150000</v>
      </c>
      <c r="G81" s="39"/>
    </row>
    <row r="82" spans="2:7" ht="15.75" thickBot="1" x14ac:dyDescent="0.3">
      <c r="B82" s="292"/>
      <c r="C82" s="179">
        <v>15</v>
      </c>
      <c r="D82" s="173" t="s">
        <v>193</v>
      </c>
      <c r="E82" s="172" t="s">
        <v>195</v>
      </c>
      <c r="F82" s="173">
        <f>+D80/F81</f>
        <v>4.6666666666666669E-2</v>
      </c>
      <c r="G82" s="180" t="s">
        <v>197</v>
      </c>
    </row>
    <row r="83" spans="2:7" x14ac:dyDescent="0.25">
      <c r="B83" s="293" t="s">
        <v>198</v>
      </c>
      <c r="C83" s="238" t="s">
        <v>200</v>
      </c>
      <c r="D83" s="239">
        <v>8000</v>
      </c>
      <c r="E83" s="238">
        <v>6000</v>
      </c>
      <c r="F83" s="184" t="s">
        <v>199</v>
      </c>
      <c r="G83" s="185"/>
    </row>
    <row r="84" spans="2:7" ht="15.75" thickBot="1" x14ac:dyDescent="0.3">
      <c r="B84" s="294"/>
      <c r="C84" s="175"/>
      <c r="D84" s="176"/>
      <c r="E84" s="186" t="s">
        <v>201</v>
      </c>
      <c r="F84" s="176">
        <f>D83/E83</f>
        <v>1.3333333333333333</v>
      </c>
      <c r="G84" s="48"/>
    </row>
    <row r="85" spans="2:7" ht="15.75" thickBot="1" x14ac:dyDescent="0.3">
      <c r="B85"/>
      <c r="C85"/>
      <c r="D85"/>
      <c r="E85"/>
      <c r="F85"/>
      <c r="G85"/>
    </row>
    <row r="86" spans="2:7" ht="16.5" thickBot="1" x14ac:dyDescent="0.3">
      <c r="B86" s="307" t="s">
        <v>87</v>
      </c>
      <c r="C86" s="308"/>
      <c r="D86" s="308"/>
      <c r="E86" s="308"/>
      <c r="F86" s="308"/>
      <c r="G86" s="309"/>
    </row>
    <row r="87" spans="2:7" ht="15.75" x14ac:dyDescent="0.25">
      <c r="B87" s="304" t="str">
        <f>+D5</f>
        <v>Estándar x 12</v>
      </c>
      <c r="C87" s="305"/>
      <c r="D87" s="305"/>
      <c r="E87" s="305"/>
      <c r="F87" s="305"/>
      <c r="G87" s="306"/>
    </row>
    <row r="88" spans="2:7" x14ac:dyDescent="0.25">
      <c r="B88" s="129" t="s">
        <v>166</v>
      </c>
      <c r="C88" s="135" t="s">
        <v>10</v>
      </c>
      <c r="D88" s="135" t="s">
        <v>11</v>
      </c>
      <c r="E88" s="160" t="s">
        <v>112</v>
      </c>
      <c r="F88" s="161" t="s">
        <v>113</v>
      </c>
      <c r="G88" s="138"/>
    </row>
    <row r="89" spans="2:7" x14ac:dyDescent="0.25">
      <c r="B89" s="130" t="s">
        <v>157</v>
      </c>
      <c r="C89" s="135" t="s">
        <v>10</v>
      </c>
      <c r="D89" s="161">
        <v>12</v>
      </c>
      <c r="E89" s="160" t="s">
        <v>167</v>
      </c>
      <c r="F89" s="161" t="s">
        <v>167</v>
      </c>
      <c r="G89" s="138"/>
    </row>
    <row r="90" spans="2:7" x14ac:dyDescent="0.25">
      <c r="B90" s="130" t="s">
        <v>37</v>
      </c>
      <c r="C90" s="135" t="s">
        <v>52</v>
      </c>
      <c r="D90" s="163">
        <v>1</v>
      </c>
      <c r="E90" s="158">
        <f>403000/2000</f>
        <v>201.5</v>
      </c>
      <c r="F90" s="16">
        <f>+E90*D90</f>
        <v>201.5</v>
      </c>
      <c r="G90" s="137"/>
    </row>
    <row r="91" spans="2:7" x14ac:dyDescent="0.25">
      <c r="B91" s="130" t="s">
        <v>38</v>
      </c>
      <c r="C91" s="135" t="s">
        <v>136</v>
      </c>
      <c r="D91" s="161">
        <v>0</v>
      </c>
      <c r="E91" s="16">
        <f>F82</f>
        <v>4.6666666666666669E-2</v>
      </c>
      <c r="F91" s="16">
        <f>+E91*D91</f>
        <v>0</v>
      </c>
      <c r="G91" s="164"/>
    </row>
    <row r="92" spans="2:7" x14ac:dyDescent="0.25">
      <c r="B92" s="130" t="s">
        <v>40</v>
      </c>
      <c r="C92" s="135" t="s">
        <v>10</v>
      </c>
      <c r="D92" s="161">
        <v>0</v>
      </c>
      <c r="E92" s="16">
        <v>17.2</v>
      </c>
      <c r="F92" s="16">
        <f t="shared" ref="F92:F94" si="13">+E92*D92</f>
        <v>0</v>
      </c>
      <c r="G92" s="164"/>
    </row>
    <row r="93" spans="2:7" x14ac:dyDescent="0.25">
      <c r="B93" s="130" t="s">
        <v>41</v>
      </c>
      <c r="C93" s="135" t="s">
        <v>10</v>
      </c>
      <c r="D93" s="161">
        <v>8</v>
      </c>
      <c r="E93" s="16">
        <f>F84</f>
        <v>1.3333333333333333</v>
      </c>
      <c r="F93" s="16">
        <f>+E93*D93</f>
        <v>10.666666666666666</v>
      </c>
      <c r="G93" s="164"/>
    </row>
    <row r="94" spans="2:7" x14ac:dyDescent="0.25">
      <c r="B94" s="130" t="s">
        <v>42</v>
      </c>
      <c r="C94" s="135" t="s">
        <v>43</v>
      </c>
      <c r="D94" s="161">
        <v>1</v>
      </c>
      <c r="E94" s="158">
        <v>40</v>
      </c>
      <c r="F94" s="16">
        <f t="shared" si="13"/>
        <v>40</v>
      </c>
      <c r="G94" s="164"/>
    </row>
    <row r="95" spans="2:7" ht="15.75" thickBot="1" x14ac:dyDescent="0.3">
      <c r="B95" s="145" t="s">
        <v>92</v>
      </c>
      <c r="C95" s="156"/>
      <c r="D95" s="165"/>
      <c r="E95" s="162"/>
      <c r="F95" s="275">
        <f>SUM(F90:F94)</f>
        <v>252.16666666666666</v>
      </c>
      <c r="G95" s="166"/>
    </row>
    <row r="96" spans="2:7" ht="16.5" thickBot="1" x14ac:dyDescent="0.3">
      <c r="B96" s="311" t="str">
        <f>+F5</f>
        <v>Especial x 10</v>
      </c>
      <c r="C96" s="312"/>
      <c r="D96" s="312"/>
      <c r="E96" s="312"/>
      <c r="F96" s="312"/>
      <c r="G96" s="313"/>
    </row>
    <row r="97" spans="2:13" x14ac:dyDescent="0.25">
      <c r="B97" s="247" t="s">
        <v>166</v>
      </c>
      <c r="C97" s="248" t="s">
        <v>10</v>
      </c>
      <c r="D97" s="248" t="s">
        <v>11</v>
      </c>
      <c r="E97" s="249" t="s">
        <v>112</v>
      </c>
      <c r="F97" s="248" t="s">
        <v>113</v>
      </c>
      <c r="G97" s="250"/>
    </row>
    <row r="98" spans="2:13" x14ac:dyDescent="0.25">
      <c r="B98" s="242" t="s">
        <v>157</v>
      </c>
      <c r="C98" s="229" t="s">
        <v>10</v>
      </c>
      <c r="D98" s="251">
        <v>10</v>
      </c>
      <c r="E98" s="252" t="s">
        <v>167</v>
      </c>
      <c r="F98" s="253" t="s">
        <v>167</v>
      </c>
      <c r="G98" s="254"/>
    </row>
    <row r="99" spans="2:13" x14ac:dyDescent="0.25">
      <c r="B99" s="242" t="s">
        <v>37</v>
      </c>
      <c r="C99" s="229" t="s">
        <v>52</v>
      </c>
      <c r="D99" s="255">
        <v>1</v>
      </c>
      <c r="E99" s="256">
        <v>550</v>
      </c>
      <c r="F99" s="277">
        <f>+D99*E99</f>
        <v>550</v>
      </c>
      <c r="G99" s="254"/>
    </row>
    <row r="100" spans="2:13" x14ac:dyDescent="0.25">
      <c r="B100" s="242" t="s">
        <v>38</v>
      </c>
      <c r="C100" s="229" t="s">
        <v>136</v>
      </c>
      <c r="D100" s="251">
        <v>300</v>
      </c>
      <c r="E100" s="276">
        <f>F82</f>
        <v>4.6666666666666669E-2</v>
      </c>
      <c r="F100" s="277">
        <f>+E100*D100</f>
        <v>14</v>
      </c>
      <c r="G100" s="254"/>
    </row>
    <row r="101" spans="2:13" x14ac:dyDescent="0.25">
      <c r="B101" s="242" t="s">
        <v>40</v>
      </c>
      <c r="C101" s="229" t="s">
        <v>10</v>
      </c>
      <c r="D101" s="251">
        <v>10</v>
      </c>
      <c r="E101" s="276">
        <v>17.2</v>
      </c>
      <c r="F101" s="277">
        <f>+E101*D101</f>
        <v>172</v>
      </c>
      <c r="G101" s="254"/>
    </row>
    <row r="102" spans="2:13" x14ac:dyDescent="0.25">
      <c r="B102" s="242" t="s">
        <v>41</v>
      </c>
      <c r="C102" s="229" t="s">
        <v>10</v>
      </c>
      <c r="D102" s="251">
        <v>8</v>
      </c>
      <c r="E102" s="276">
        <f>F84</f>
        <v>1.3333333333333333</v>
      </c>
      <c r="F102" s="277">
        <f>+E102*D102</f>
        <v>10.666666666666666</v>
      </c>
      <c r="G102" s="254"/>
    </row>
    <row r="103" spans="2:13" x14ac:dyDescent="0.25">
      <c r="B103" s="242" t="s">
        <v>42</v>
      </c>
      <c r="C103" s="229" t="s">
        <v>43</v>
      </c>
      <c r="D103" s="251">
        <v>1</v>
      </c>
      <c r="E103" s="257">
        <v>40</v>
      </c>
      <c r="F103" s="277">
        <f>+E103*D103</f>
        <v>40</v>
      </c>
      <c r="G103" s="254"/>
    </row>
    <row r="104" spans="2:13" ht="15.75" thickBot="1" x14ac:dyDescent="0.3">
      <c r="B104" s="258" t="s">
        <v>92</v>
      </c>
      <c r="C104" s="259"/>
      <c r="D104" s="260"/>
      <c r="E104" s="261"/>
      <c r="F104" s="278">
        <f>SUM(F99:F103)</f>
        <v>786.66666666666663</v>
      </c>
      <c r="G104" s="262"/>
      <c r="L104" s="21"/>
      <c r="M104" s="21"/>
    </row>
    <row r="105" spans="2:13" s="21" customFormat="1" ht="15.75" thickBot="1" x14ac:dyDescent="0.3"/>
    <row r="106" spans="2:13" s="21" customFormat="1" ht="16.5" thickBot="1" x14ac:dyDescent="0.3">
      <c r="B106" s="298" t="s">
        <v>44</v>
      </c>
      <c r="C106" s="299"/>
      <c r="D106" s="299"/>
      <c r="E106" s="299"/>
      <c r="F106" s="299"/>
      <c r="G106" s="300"/>
      <c r="L106"/>
      <c r="M106"/>
    </row>
    <row r="107" spans="2:13" x14ac:dyDescent="0.25">
      <c r="B107" s="146" t="s">
        <v>168</v>
      </c>
      <c r="C107" s="168" t="s">
        <v>169</v>
      </c>
      <c r="D107" s="151" t="s">
        <v>107</v>
      </c>
      <c r="E107" s="169" t="s">
        <v>121</v>
      </c>
      <c r="F107" s="132"/>
      <c r="G107" s="134"/>
    </row>
    <row r="108" spans="2:13" x14ac:dyDescent="0.25">
      <c r="B108" s="130" t="s">
        <v>108</v>
      </c>
      <c r="C108" s="135" t="s">
        <v>107</v>
      </c>
      <c r="D108" s="159">
        <v>35000</v>
      </c>
      <c r="E108" s="279">
        <f>+D108*60%</f>
        <v>21000</v>
      </c>
      <c r="F108" s="263"/>
      <c r="G108" s="287"/>
    </row>
    <row r="109" spans="2:13" ht="15.75" thickBot="1" x14ac:dyDescent="0.3">
      <c r="B109" s="130" t="s">
        <v>109</v>
      </c>
      <c r="C109" s="135" t="s">
        <v>107</v>
      </c>
      <c r="D109" s="159">
        <v>30000</v>
      </c>
      <c r="E109" s="279">
        <f t="shared" ref="E109" si="14">+D109*60%</f>
        <v>18000</v>
      </c>
      <c r="F109" s="263"/>
      <c r="G109" s="287"/>
    </row>
    <row r="110" spans="2:13" ht="16.5" thickBot="1" x14ac:dyDescent="0.3">
      <c r="B110" s="307" t="s">
        <v>82</v>
      </c>
      <c r="C110" s="308"/>
      <c r="D110" s="308"/>
      <c r="E110" s="308"/>
      <c r="F110" s="308"/>
      <c r="G110" s="309"/>
    </row>
    <row r="111" spans="2:13" x14ac:dyDescent="0.25">
      <c r="B111" s="147" t="s">
        <v>171</v>
      </c>
      <c r="C111" s="171" t="s">
        <v>169</v>
      </c>
      <c r="D111" s="171" t="s">
        <v>80</v>
      </c>
      <c r="E111" s="159"/>
      <c r="F111" s="159"/>
      <c r="G111" s="159"/>
    </row>
    <row r="112" spans="2:13" x14ac:dyDescent="0.25">
      <c r="B112" s="130" t="s">
        <v>45</v>
      </c>
      <c r="C112" s="135" t="s">
        <v>107</v>
      </c>
      <c r="D112" s="282">
        <f>+F129</f>
        <v>50000</v>
      </c>
      <c r="E112" s="170"/>
      <c r="F112" s="135"/>
      <c r="G112" s="137"/>
    </row>
    <row r="113" spans="2:7" x14ac:dyDescent="0.25">
      <c r="B113" s="130" t="s">
        <v>173</v>
      </c>
      <c r="C113" s="135" t="s">
        <v>172</v>
      </c>
      <c r="D113" s="159">
        <v>130000</v>
      </c>
      <c r="E113" s="154"/>
      <c r="F113" s="135"/>
      <c r="G113" s="137"/>
    </row>
    <row r="114" spans="2:7" x14ac:dyDescent="0.25">
      <c r="B114" s="130" t="s">
        <v>174</v>
      </c>
      <c r="C114" s="135" t="s">
        <v>172</v>
      </c>
      <c r="D114" s="159">
        <v>110000</v>
      </c>
      <c r="E114" s="154"/>
      <c r="F114" s="135"/>
      <c r="G114" s="137"/>
    </row>
    <row r="115" spans="2:7" x14ac:dyDescent="0.25">
      <c r="B115" s="130" t="s">
        <v>48</v>
      </c>
      <c r="C115" s="135" t="s">
        <v>175</v>
      </c>
      <c r="D115" s="159">
        <v>150000</v>
      </c>
      <c r="E115" s="154"/>
      <c r="F115" s="135"/>
      <c r="G115" s="137"/>
    </row>
    <row r="116" spans="2:7" x14ac:dyDescent="0.25">
      <c r="B116" s="130" t="s">
        <v>176</v>
      </c>
      <c r="C116" s="135" t="s">
        <v>175</v>
      </c>
      <c r="D116" s="159">
        <v>50000</v>
      </c>
      <c r="E116" s="154"/>
      <c r="F116" s="135"/>
      <c r="G116" s="137"/>
    </row>
    <row r="117" spans="2:7" x14ac:dyDescent="0.25">
      <c r="B117" s="130" t="s">
        <v>50</v>
      </c>
      <c r="C117" s="135" t="s">
        <v>107</v>
      </c>
      <c r="D117" s="154">
        <v>4000</v>
      </c>
      <c r="E117" s="154"/>
      <c r="F117" s="135"/>
      <c r="G117" s="137"/>
    </row>
    <row r="118" spans="2:7" x14ac:dyDescent="0.25">
      <c r="B118" s="130" t="s">
        <v>128</v>
      </c>
      <c r="C118" s="135" t="s">
        <v>6</v>
      </c>
      <c r="D118" s="154">
        <v>4000</v>
      </c>
      <c r="E118" s="154"/>
      <c r="F118" s="135"/>
      <c r="G118" s="137"/>
    </row>
    <row r="119" spans="2:7" ht="15.75" thickBot="1" x14ac:dyDescent="0.3">
      <c r="B119" s="141" t="s">
        <v>7</v>
      </c>
      <c r="C119" s="156" t="s">
        <v>149</v>
      </c>
      <c r="D119" s="153">
        <v>6400</v>
      </c>
      <c r="E119" s="157"/>
      <c r="F119" s="156"/>
      <c r="G119" s="167"/>
    </row>
    <row r="120" spans="2:7" ht="15.75" thickBot="1" x14ac:dyDescent="0.3">
      <c r="B120"/>
      <c r="C120"/>
      <c r="D120"/>
      <c r="E120"/>
      <c r="F120"/>
      <c r="G120"/>
    </row>
    <row r="121" spans="2:7" ht="15.75" x14ac:dyDescent="0.25">
      <c r="B121" s="317" t="s">
        <v>94</v>
      </c>
      <c r="C121" s="318"/>
      <c r="D121" s="318"/>
      <c r="E121" s="318"/>
      <c r="F121" s="318"/>
      <c r="G121" s="319"/>
    </row>
    <row r="122" spans="2:7" ht="15.75" x14ac:dyDescent="0.25">
      <c r="B122" s="148" t="s">
        <v>170</v>
      </c>
      <c r="C122" s="160" t="s">
        <v>10</v>
      </c>
      <c r="D122" s="160" t="s">
        <v>11</v>
      </c>
      <c r="E122" s="160" t="s">
        <v>112</v>
      </c>
      <c r="F122" s="161" t="s">
        <v>113</v>
      </c>
      <c r="G122" s="137"/>
    </row>
    <row r="123" spans="2:7" x14ac:dyDescent="0.25">
      <c r="B123" s="130" t="s">
        <v>95</v>
      </c>
      <c r="C123" s="135" t="s">
        <v>102</v>
      </c>
      <c r="D123" s="136">
        <v>2</v>
      </c>
      <c r="E123" s="154">
        <v>3950</v>
      </c>
      <c r="F123" s="279">
        <f t="shared" ref="F123:F128" si="15">+E123*D123</f>
        <v>7900</v>
      </c>
      <c r="G123" s="137"/>
    </row>
    <row r="124" spans="2:7" x14ac:dyDescent="0.25">
      <c r="B124" s="130" t="s">
        <v>96</v>
      </c>
      <c r="C124" s="135" t="s">
        <v>101</v>
      </c>
      <c r="D124" s="136">
        <v>3</v>
      </c>
      <c r="E124" s="154">
        <v>5100</v>
      </c>
      <c r="F124" s="279">
        <f t="shared" si="15"/>
        <v>15300</v>
      </c>
      <c r="G124" s="137"/>
    </row>
    <row r="125" spans="2:7" x14ac:dyDescent="0.25">
      <c r="B125" s="130" t="s">
        <v>97</v>
      </c>
      <c r="C125" s="135" t="s">
        <v>178</v>
      </c>
      <c r="D125" s="136">
        <v>1</v>
      </c>
      <c r="E125" s="154">
        <v>4850</v>
      </c>
      <c r="F125" s="279">
        <f t="shared" si="15"/>
        <v>4850</v>
      </c>
      <c r="G125" s="137"/>
    </row>
    <row r="126" spans="2:7" x14ac:dyDescent="0.25">
      <c r="B126" s="130" t="s">
        <v>177</v>
      </c>
      <c r="C126" s="135" t="s">
        <v>103</v>
      </c>
      <c r="D126" s="136">
        <v>2</v>
      </c>
      <c r="E126" s="154">
        <v>4750</v>
      </c>
      <c r="F126" s="279">
        <f t="shared" si="15"/>
        <v>9500</v>
      </c>
      <c r="G126" s="137"/>
    </row>
    <row r="127" spans="2:7" x14ac:dyDescent="0.25">
      <c r="B127" s="130" t="s">
        <v>98</v>
      </c>
      <c r="C127" s="135" t="s">
        <v>103</v>
      </c>
      <c r="D127" s="136">
        <v>1</v>
      </c>
      <c r="E127" s="154">
        <v>8750</v>
      </c>
      <c r="F127" s="279">
        <f t="shared" si="15"/>
        <v>8750</v>
      </c>
      <c r="G127" s="137"/>
    </row>
    <row r="128" spans="2:7" x14ac:dyDescent="0.25">
      <c r="B128" s="130" t="s">
        <v>104</v>
      </c>
      <c r="C128" s="135" t="s">
        <v>103</v>
      </c>
      <c r="D128" s="136">
        <v>1</v>
      </c>
      <c r="E128" s="154">
        <v>3700</v>
      </c>
      <c r="F128" s="279">
        <f t="shared" si="15"/>
        <v>3700</v>
      </c>
      <c r="G128" s="137"/>
    </row>
    <row r="129" spans="2:13" ht="15.75" thickBot="1" x14ac:dyDescent="0.3">
      <c r="B129" s="323" t="s">
        <v>92</v>
      </c>
      <c r="C129" s="324"/>
      <c r="D129" s="324"/>
      <c r="E129" s="325"/>
      <c r="F129" s="281">
        <f>SUM(F123:F128)</f>
        <v>50000</v>
      </c>
      <c r="G129" s="167"/>
    </row>
    <row r="130" spans="2:13" ht="15.75" thickBot="1" x14ac:dyDescent="0.3">
      <c r="B130"/>
      <c r="C130"/>
      <c r="D130"/>
      <c r="E130"/>
      <c r="F130"/>
      <c r="G130"/>
      <c r="L130" s="65"/>
      <c r="M130" s="65"/>
    </row>
    <row r="131" spans="2:13" s="65" customFormat="1" ht="15.75" thickBot="1" x14ac:dyDescent="0.3">
      <c r="B131" s="314" t="s">
        <v>154</v>
      </c>
      <c r="C131" s="315"/>
      <c r="D131" s="315"/>
      <c r="E131" s="315"/>
      <c r="F131" s="315"/>
      <c r="G131" s="316"/>
      <c r="L131"/>
      <c r="M131"/>
    </row>
    <row r="132" spans="2:13" x14ac:dyDescent="0.25">
      <c r="B132" s="140" t="s">
        <v>153</v>
      </c>
      <c r="C132" s="191">
        <v>60000000</v>
      </c>
      <c r="D132" s="49" t="s">
        <v>91</v>
      </c>
      <c r="E132" s="44"/>
      <c r="F132" s="27"/>
      <c r="G132" s="45"/>
    </row>
    <row r="133" spans="2:13" x14ac:dyDescent="0.25">
      <c r="B133" s="130" t="s">
        <v>100</v>
      </c>
      <c r="C133" s="14">
        <f>+C132/20</f>
        <v>3000000</v>
      </c>
      <c r="G133" s="33"/>
    </row>
    <row r="134" spans="2:13" ht="15.75" thickBot="1" x14ac:dyDescent="0.3">
      <c r="B134" s="141" t="s">
        <v>99</v>
      </c>
      <c r="C134" s="52">
        <f>+C133/12</f>
        <v>250000</v>
      </c>
      <c r="D134" s="31"/>
      <c r="E134" s="37"/>
      <c r="F134" s="31"/>
      <c r="G134" s="38"/>
    </row>
    <row r="135" spans="2:13" x14ac:dyDescent="0.25">
      <c r="B135" s="149" t="s">
        <v>142</v>
      </c>
      <c r="C135" s="191">
        <v>1200000</v>
      </c>
      <c r="D135" s="49" t="s">
        <v>143</v>
      </c>
      <c r="E135" s="44"/>
      <c r="F135" s="27"/>
      <c r="G135" s="45"/>
    </row>
    <row r="136" spans="2:13" x14ac:dyDescent="0.25">
      <c r="B136" s="130" t="s">
        <v>100</v>
      </c>
      <c r="C136" s="14">
        <f>+C135/5</f>
        <v>240000</v>
      </c>
      <c r="G136" s="33"/>
    </row>
    <row r="137" spans="2:13" ht="15.75" thickBot="1" x14ac:dyDescent="0.3">
      <c r="B137" s="141" t="s">
        <v>99</v>
      </c>
      <c r="C137" s="52">
        <f>+C136/12</f>
        <v>20000</v>
      </c>
      <c r="D137" s="31"/>
      <c r="E137" s="37"/>
      <c r="F137" s="31"/>
      <c r="G137" s="38"/>
    </row>
    <row r="138" spans="2:13" x14ac:dyDescent="0.25">
      <c r="B138" s="140" t="s">
        <v>144</v>
      </c>
      <c r="C138" s="192">
        <v>700000</v>
      </c>
      <c r="D138" s="49" t="s">
        <v>145</v>
      </c>
      <c r="E138" s="44"/>
      <c r="F138" s="27"/>
      <c r="G138" s="45"/>
    </row>
    <row r="139" spans="2:13" x14ac:dyDescent="0.25">
      <c r="B139" s="130" t="s">
        <v>100</v>
      </c>
      <c r="C139" s="14">
        <f>+C138/3</f>
        <v>233333.33333333334</v>
      </c>
      <c r="G139" s="33"/>
    </row>
    <row r="140" spans="2:13" ht="15.75" thickBot="1" x14ac:dyDescent="0.3">
      <c r="B140" s="141" t="s">
        <v>99</v>
      </c>
      <c r="C140" s="52">
        <f>+C139/12</f>
        <v>19444.444444444445</v>
      </c>
      <c r="D140" s="31"/>
      <c r="E140" s="37"/>
      <c r="F140" s="31"/>
      <c r="G140" s="38"/>
    </row>
    <row r="141" spans="2:13" ht="15.75" thickBot="1" x14ac:dyDescent="0.3">
      <c r="B141" s="21"/>
      <c r="C141" s="21"/>
      <c r="D141" s="21"/>
      <c r="E141" s="23"/>
      <c r="F141" s="21"/>
      <c r="G141" s="21"/>
    </row>
    <row r="142" spans="2:13" x14ac:dyDescent="0.25">
      <c r="B142" s="320" t="s">
        <v>188</v>
      </c>
      <c r="C142" s="321"/>
      <c r="D142" s="322"/>
      <c r="E142" s="23"/>
      <c r="F142" s="21"/>
      <c r="G142" s="21"/>
    </row>
    <row r="143" spans="2:13" x14ac:dyDescent="0.25">
      <c r="B143" s="150" t="s">
        <v>151</v>
      </c>
      <c r="C143" s="135" t="s">
        <v>58</v>
      </c>
      <c r="D143" s="138">
        <v>2</v>
      </c>
      <c r="E143" s="21"/>
      <c r="F143" s="21"/>
      <c r="G143" s="21"/>
    </row>
    <row r="144" spans="2:13" x14ac:dyDescent="0.25">
      <c r="B144" s="288" t="s">
        <v>54</v>
      </c>
      <c r="C144" s="135" t="s">
        <v>55</v>
      </c>
      <c r="D144" s="164">
        <v>1160000</v>
      </c>
      <c r="E144" s="21"/>
      <c r="F144" s="21"/>
      <c r="G144" s="21"/>
    </row>
    <row r="145" spans="2:7" x14ac:dyDescent="0.25">
      <c r="B145" s="289"/>
      <c r="C145" s="135" t="s">
        <v>56</v>
      </c>
      <c r="D145" s="164">
        <v>0</v>
      </c>
      <c r="E145" s="21"/>
      <c r="F145" s="21"/>
      <c r="G145" s="21"/>
    </row>
    <row r="146" spans="2:7" x14ac:dyDescent="0.25">
      <c r="B146" s="289"/>
      <c r="C146" s="135" t="s">
        <v>57</v>
      </c>
      <c r="D146" s="164">
        <v>0</v>
      </c>
      <c r="E146" s="21"/>
      <c r="F146" s="21"/>
      <c r="G146" s="21"/>
    </row>
    <row r="147" spans="2:7" ht="15.75" thickBot="1" x14ac:dyDescent="0.3">
      <c r="B147" s="290"/>
      <c r="C147" s="156" t="s">
        <v>58</v>
      </c>
      <c r="D147" s="166">
        <f>SUM(D144:D146)</f>
        <v>1160000</v>
      </c>
      <c r="E147" s="21"/>
      <c r="F147" s="21"/>
      <c r="G147" s="21"/>
    </row>
    <row r="148" spans="2:7" x14ac:dyDescent="0.25">
      <c r="B148" s="21"/>
      <c r="C148" s="21"/>
      <c r="D148" s="21"/>
      <c r="E148" s="21"/>
      <c r="F148" s="21"/>
      <c r="G148" s="21"/>
    </row>
    <row r="149" spans="2:7" x14ac:dyDescent="0.25">
      <c r="B149" s="150" t="s">
        <v>211</v>
      </c>
      <c r="C149" s="21"/>
      <c r="D149" s="21"/>
      <c r="E149" s="21"/>
      <c r="F149" s="21"/>
      <c r="G149" s="21"/>
    </row>
    <row r="150" spans="2:7" x14ac:dyDescent="0.25">
      <c r="B150" s="245" t="s">
        <v>187</v>
      </c>
      <c r="C150" s="246">
        <v>0.3</v>
      </c>
      <c r="D150" s="21"/>
      <c r="E150" s="21"/>
      <c r="F150" s="21"/>
      <c r="G150" s="21"/>
    </row>
    <row r="151" spans="2:7" x14ac:dyDescent="0.25">
      <c r="B151" s="243" t="s">
        <v>212</v>
      </c>
      <c r="C151" s="244">
        <v>0.4</v>
      </c>
      <c r="D151" s="21"/>
      <c r="E151" s="21"/>
      <c r="F151" s="21"/>
      <c r="G151" s="21"/>
    </row>
    <row r="152" spans="2:7" x14ac:dyDescent="0.25">
      <c r="B152" s="21"/>
      <c r="C152" s="21"/>
      <c r="D152" s="21"/>
      <c r="E152" s="21"/>
      <c r="F152" s="21"/>
      <c r="G152" s="21"/>
    </row>
    <row r="153" spans="2:7" x14ac:dyDescent="0.25">
      <c r="B153" s="21"/>
      <c r="C153" s="21"/>
      <c r="D153" s="21"/>
      <c r="E153" s="21"/>
      <c r="F153" s="21"/>
      <c r="G153" s="21"/>
    </row>
    <row r="154" spans="2:7" x14ac:dyDescent="0.25">
      <c r="B154" s="21"/>
      <c r="C154" s="21"/>
      <c r="D154" s="21"/>
      <c r="E154" s="23"/>
      <c r="F154" s="21"/>
      <c r="G154" s="21"/>
    </row>
    <row r="155" spans="2:7" x14ac:dyDescent="0.25">
      <c r="B155" s="21"/>
      <c r="C155" s="21"/>
      <c r="D155" s="21"/>
      <c r="E155" s="23"/>
      <c r="F155" s="21"/>
      <c r="G155" s="21"/>
    </row>
    <row r="156" spans="2:7" x14ac:dyDescent="0.25">
      <c r="B156" s="21"/>
      <c r="C156" s="21"/>
      <c r="D156" s="21"/>
      <c r="E156" s="23"/>
      <c r="F156" s="21"/>
      <c r="G156" s="21"/>
    </row>
    <row r="157" spans="2:7" x14ac:dyDescent="0.25">
      <c r="B157" s="21"/>
      <c r="C157" s="21"/>
      <c r="D157" s="21"/>
      <c r="E157" s="23"/>
      <c r="F157" s="21"/>
      <c r="G157" s="21"/>
    </row>
    <row r="158" spans="2:7" x14ac:dyDescent="0.25">
      <c r="B158" s="21"/>
      <c r="C158" s="21"/>
      <c r="D158" s="21"/>
      <c r="E158" s="23"/>
      <c r="F158" s="21"/>
      <c r="G158" s="21"/>
    </row>
    <row r="159" spans="2:7" x14ac:dyDescent="0.25">
      <c r="B159" s="21"/>
      <c r="C159" s="21"/>
      <c r="D159" s="21"/>
      <c r="E159" s="23"/>
      <c r="F159" s="21"/>
      <c r="G159" s="21"/>
    </row>
    <row r="160" spans="2:7" x14ac:dyDescent="0.25">
      <c r="B160" s="21"/>
      <c r="C160" s="21"/>
      <c r="D160" s="21"/>
      <c r="E160" s="23"/>
      <c r="F160" s="21"/>
      <c r="G160" s="21"/>
    </row>
    <row r="161" spans="2:7" x14ac:dyDescent="0.25">
      <c r="B161" s="21"/>
      <c r="C161" s="21"/>
      <c r="D161" s="21"/>
      <c r="E161" s="23"/>
      <c r="F161" s="21"/>
      <c r="G161" s="21"/>
    </row>
    <row r="162" spans="2:7" x14ac:dyDescent="0.25">
      <c r="B162" s="21"/>
      <c r="C162" s="21"/>
      <c r="D162" s="21"/>
      <c r="E162" s="23"/>
      <c r="F162" s="21"/>
      <c r="G162" s="21"/>
    </row>
    <row r="163" spans="2:7" x14ac:dyDescent="0.25">
      <c r="B163" s="21"/>
      <c r="C163" s="21"/>
      <c r="D163" s="21"/>
      <c r="E163" s="23"/>
      <c r="F163" s="21"/>
      <c r="G163" s="21"/>
    </row>
    <row r="164" spans="2:7" x14ac:dyDescent="0.25">
      <c r="B164" s="21"/>
      <c r="C164" s="21"/>
      <c r="D164" s="21"/>
      <c r="E164" s="23"/>
      <c r="F164" s="21"/>
      <c r="G164" s="21"/>
    </row>
    <row r="165" spans="2:7" x14ac:dyDescent="0.25">
      <c r="B165" s="21"/>
      <c r="C165" s="21"/>
      <c r="D165" s="21"/>
      <c r="E165" s="23"/>
      <c r="F165" s="21"/>
      <c r="G165" s="21"/>
    </row>
    <row r="166" spans="2:7" x14ac:dyDescent="0.25">
      <c r="B166" s="21"/>
      <c r="C166" s="21"/>
      <c r="D166" s="21"/>
      <c r="E166" s="23"/>
      <c r="F166" s="21"/>
      <c r="G166" s="21"/>
    </row>
    <row r="167" spans="2:7" x14ac:dyDescent="0.25">
      <c r="B167" s="21"/>
      <c r="C167" s="21"/>
      <c r="D167" s="21"/>
      <c r="E167" s="23"/>
      <c r="F167" s="21"/>
      <c r="G167" s="21"/>
    </row>
    <row r="168" spans="2:7" x14ac:dyDescent="0.25">
      <c r="B168" s="21"/>
      <c r="C168" s="21"/>
      <c r="D168" s="21"/>
      <c r="E168" s="23"/>
      <c r="F168" s="21"/>
      <c r="G168" s="21"/>
    </row>
    <row r="169" spans="2:7" x14ac:dyDescent="0.25">
      <c r="B169" s="21"/>
      <c r="C169" s="21"/>
      <c r="D169" s="21"/>
      <c r="E169" s="23"/>
      <c r="F169" s="21"/>
      <c r="G169" s="21"/>
    </row>
    <row r="170" spans="2:7" x14ac:dyDescent="0.25">
      <c r="B170" s="21"/>
      <c r="C170" s="21"/>
      <c r="D170" s="21"/>
      <c r="E170" s="23"/>
      <c r="F170" s="21"/>
      <c r="G170" s="21"/>
    </row>
    <row r="171" spans="2:7" x14ac:dyDescent="0.25">
      <c r="B171" s="21"/>
      <c r="C171" s="21"/>
      <c r="D171" s="21"/>
      <c r="E171" s="23"/>
      <c r="F171" s="21"/>
      <c r="G171" s="21"/>
    </row>
    <row r="172" spans="2:7" x14ac:dyDescent="0.25">
      <c r="B172" s="21"/>
      <c r="C172" s="21"/>
      <c r="D172" s="21"/>
      <c r="E172" s="23"/>
      <c r="F172" s="21"/>
      <c r="G172" s="21"/>
    </row>
    <row r="173" spans="2:7" x14ac:dyDescent="0.25">
      <c r="B173" s="21"/>
      <c r="C173" s="21"/>
      <c r="D173" s="21"/>
      <c r="E173" s="23"/>
      <c r="F173" s="21"/>
      <c r="G173" s="21"/>
    </row>
    <row r="174" spans="2:7" x14ac:dyDescent="0.25">
      <c r="B174" s="21"/>
      <c r="C174" s="21"/>
      <c r="D174" s="21"/>
      <c r="E174" s="23"/>
      <c r="F174" s="21"/>
      <c r="G174" s="21"/>
    </row>
    <row r="175" spans="2:7" x14ac:dyDescent="0.25">
      <c r="B175" s="21"/>
      <c r="C175" s="21"/>
      <c r="D175" s="21"/>
      <c r="E175" s="23"/>
      <c r="F175" s="21"/>
      <c r="G175" s="21"/>
    </row>
    <row r="176" spans="2:7" x14ac:dyDescent="0.25">
      <c r="B176" s="21"/>
      <c r="C176" s="21"/>
      <c r="D176" s="21"/>
      <c r="E176" s="23"/>
      <c r="F176" s="21"/>
      <c r="G176" s="21"/>
    </row>
    <row r="177" spans="2:7" x14ac:dyDescent="0.25">
      <c r="B177" s="21"/>
      <c r="C177" s="21"/>
      <c r="D177" s="21"/>
      <c r="E177" s="23"/>
      <c r="F177" s="21"/>
      <c r="G177" s="21"/>
    </row>
    <row r="178" spans="2:7" x14ac:dyDescent="0.25">
      <c r="B178" s="21"/>
      <c r="C178" s="21"/>
      <c r="D178" s="21"/>
      <c r="E178" s="23"/>
      <c r="F178" s="21"/>
      <c r="G178" s="21"/>
    </row>
    <row r="179" spans="2:7" x14ac:dyDescent="0.25">
      <c r="B179" s="21"/>
      <c r="C179" s="21"/>
      <c r="D179" s="21"/>
      <c r="E179" s="23"/>
      <c r="F179" s="21"/>
      <c r="G179" s="21"/>
    </row>
    <row r="180" spans="2:7" x14ac:dyDescent="0.25">
      <c r="B180" s="21"/>
      <c r="C180" s="21"/>
      <c r="D180" s="21"/>
      <c r="E180" s="23"/>
      <c r="F180" s="21"/>
      <c r="G180" s="21"/>
    </row>
    <row r="181" spans="2:7" x14ac:dyDescent="0.25">
      <c r="B181" s="21"/>
      <c r="C181" s="21"/>
      <c r="D181" s="21"/>
      <c r="E181" s="23"/>
      <c r="F181" s="21"/>
      <c r="G181" s="21"/>
    </row>
    <row r="182" spans="2:7" x14ac:dyDescent="0.25">
      <c r="B182" s="21"/>
      <c r="C182" s="21"/>
      <c r="D182" s="21"/>
      <c r="E182" s="23"/>
      <c r="F182" s="21"/>
      <c r="G182" s="21"/>
    </row>
    <row r="183" spans="2:7" x14ac:dyDescent="0.25">
      <c r="B183" s="21"/>
      <c r="C183" s="21"/>
      <c r="D183" s="21"/>
      <c r="E183" s="23"/>
      <c r="F183" s="21"/>
      <c r="G183" s="21"/>
    </row>
    <row r="184" spans="2:7" x14ac:dyDescent="0.25">
      <c r="B184" s="21"/>
      <c r="C184" s="21"/>
      <c r="D184" s="21"/>
      <c r="E184" s="23"/>
      <c r="F184" s="21"/>
      <c r="G184" s="21"/>
    </row>
    <row r="185" spans="2:7" x14ac:dyDescent="0.25">
      <c r="B185" s="21"/>
      <c r="C185" s="21"/>
      <c r="D185" s="21"/>
      <c r="E185" s="23"/>
      <c r="F185" s="21"/>
      <c r="G185" s="21"/>
    </row>
    <row r="186" spans="2:7" x14ac:dyDescent="0.25">
      <c r="B186" s="21"/>
      <c r="C186" s="21"/>
      <c r="D186" s="21"/>
      <c r="E186" s="23"/>
      <c r="F186" s="21"/>
      <c r="G186" s="21"/>
    </row>
    <row r="187" spans="2:7" x14ac:dyDescent="0.25">
      <c r="B187" s="21"/>
      <c r="C187" s="21"/>
      <c r="D187" s="21"/>
      <c r="E187" s="23"/>
      <c r="F187" s="21"/>
      <c r="G187" s="21"/>
    </row>
    <row r="188" spans="2:7" x14ac:dyDescent="0.25">
      <c r="B188" s="21"/>
      <c r="C188" s="21"/>
      <c r="D188" s="21"/>
      <c r="E188" s="23"/>
      <c r="F188" s="21"/>
      <c r="G188" s="21"/>
    </row>
    <row r="189" spans="2:7" x14ac:dyDescent="0.25">
      <c r="B189" s="21"/>
      <c r="C189" s="21"/>
      <c r="D189" s="21"/>
      <c r="E189" s="23"/>
      <c r="F189" s="21"/>
      <c r="G189" s="21"/>
    </row>
    <row r="190" spans="2:7" x14ac:dyDescent="0.25">
      <c r="B190" s="21"/>
      <c r="C190" s="21"/>
      <c r="D190" s="21"/>
      <c r="E190" s="23"/>
      <c r="F190" s="21"/>
      <c r="G190" s="21"/>
    </row>
    <row r="191" spans="2:7" x14ac:dyDescent="0.25">
      <c r="B191" s="21"/>
      <c r="C191" s="21"/>
      <c r="D191" s="21"/>
      <c r="E191" s="23"/>
      <c r="F191" s="21"/>
      <c r="G191" s="21"/>
    </row>
    <row r="192" spans="2:7" x14ac:dyDescent="0.25">
      <c r="B192" s="21"/>
      <c r="C192" s="21"/>
      <c r="D192" s="21"/>
      <c r="E192" s="23"/>
      <c r="F192" s="21"/>
      <c r="G192" s="21"/>
    </row>
    <row r="193" spans="2:7" x14ac:dyDescent="0.25">
      <c r="B193" s="21"/>
      <c r="C193" s="21"/>
      <c r="D193" s="21"/>
      <c r="E193" s="23"/>
      <c r="F193" s="21"/>
      <c r="G193" s="21"/>
    </row>
    <row r="194" spans="2:7" x14ac:dyDescent="0.25">
      <c r="B194" s="21"/>
      <c r="C194" s="21"/>
      <c r="D194" s="21"/>
      <c r="E194" s="23"/>
      <c r="F194" s="21"/>
      <c r="G194" s="21"/>
    </row>
    <row r="195" spans="2:7" x14ac:dyDescent="0.25">
      <c r="B195" s="21"/>
      <c r="C195" s="21"/>
      <c r="D195" s="21"/>
      <c r="E195" s="23"/>
      <c r="F195" s="21"/>
      <c r="G195" s="21"/>
    </row>
    <row r="196" spans="2:7" x14ac:dyDescent="0.25">
      <c r="B196" s="21"/>
      <c r="C196" s="21"/>
      <c r="D196" s="21"/>
      <c r="E196" s="23"/>
      <c r="F196" s="21"/>
      <c r="G196" s="21"/>
    </row>
    <row r="197" spans="2:7" x14ac:dyDescent="0.25">
      <c r="B197" s="21"/>
      <c r="C197" s="21"/>
      <c r="D197" s="21"/>
      <c r="E197" s="23"/>
      <c r="F197" s="21"/>
      <c r="G197" s="21"/>
    </row>
    <row r="198" spans="2:7" x14ac:dyDescent="0.25">
      <c r="B198" s="21"/>
      <c r="C198" s="21"/>
      <c r="D198" s="21"/>
      <c r="E198" s="23"/>
      <c r="F198" s="21"/>
      <c r="G198" s="21"/>
    </row>
    <row r="199" spans="2:7" x14ac:dyDescent="0.25">
      <c r="B199" s="21"/>
      <c r="C199" s="21"/>
      <c r="D199" s="21"/>
      <c r="E199" s="23"/>
      <c r="F199" s="21"/>
      <c r="G199" s="21"/>
    </row>
    <row r="200" spans="2:7" x14ac:dyDescent="0.25">
      <c r="B200" s="21"/>
      <c r="C200" s="21"/>
      <c r="D200" s="21"/>
      <c r="E200" s="23"/>
      <c r="F200" s="21"/>
      <c r="G200" s="21"/>
    </row>
    <row r="201" spans="2:7" x14ac:dyDescent="0.25">
      <c r="B201" s="21"/>
      <c r="C201" s="21"/>
      <c r="D201" s="21"/>
      <c r="E201" s="23"/>
      <c r="F201" s="21"/>
      <c r="G201" s="21"/>
    </row>
    <row r="202" spans="2:7" x14ac:dyDescent="0.25">
      <c r="B202" s="21"/>
      <c r="C202" s="21"/>
      <c r="D202" s="21"/>
      <c r="E202" s="23"/>
      <c r="F202" s="21"/>
      <c r="G202" s="21"/>
    </row>
    <row r="203" spans="2:7" x14ac:dyDescent="0.25">
      <c r="B203" s="21"/>
      <c r="C203" s="21"/>
      <c r="D203" s="21"/>
      <c r="E203" s="23"/>
      <c r="F203" s="21"/>
      <c r="G203" s="21"/>
    </row>
    <row r="204" spans="2:7" x14ac:dyDescent="0.25">
      <c r="B204" s="21"/>
      <c r="C204" s="21"/>
      <c r="D204" s="21"/>
      <c r="E204" s="23"/>
      <c r="F204" s="21"/>
      <c r="G204" s="21"/>
    </row>
    <row r="205" spans="2:7" x14ac:dyDescent="0.25">
      <c r="B205" s="21"/>
      <c r="C205" s="21"/>
      <c r="D205" s="21"/>
      <c r="E205" s="23"/>
      <c r="F205" s="21"/>
      <c r="G205" s="21"/>
    </row>
    <row r="206" spans="2:7" x14ac:dyDescent="0.25">
      <c r="B206" s="21"/>
      <c r="C206" s="21"/>
      <c r="D206" s="21"/>
      <c r="E206" s="23"/>
      <c r="F206" s="21"/>
      <c r="G206" s="21"/>
    </row>
    <row r="207" spans="2:7" x14ac:dyDescent="0.25">
      <c r="B207" s="21"/>
      <c r="C207" s="21"/>
      <c r="D207" s="21"/>
      <c r="E207" s="23"/>
      <c r="F207" s="21"/>
      <c r="G207" s="21"/>
    </row>
    <row r="208" spans="2:7" x14ac:dyDescent="0.25">
      <c r="B208" s="21"/>
      <c r="C208" s="21"/>
      <c r="D208" s="21"/>
      <c r="E208" s="23"/>
      <c r="F208" s="21"/>
      <c r="G208" s="21"/>
    </row>
    <row r="209" spans="2:7" x14ac:dyDescent="0.25">
      <c r="B209" s="21"/>
      <c r="C209" s="21"/>
      <c r="D209" s="21"/>
      <c r="E209" s="23"/>
      <c r="F209" s="21"/>
      <c r="G209" s="21"/>
    </row>
    <row r="210" spans="2:7" x14ac:dyDescent="0.25">
      <c r="B210" s="21"/>
      <c r="C210" s="21"/>
      <c r="D210" s="21"/>
      <c r="E210" s="23"/>
      <c r="F210" s="21"/>
      <c r="G210" s="21"/>
    </row>
    <row r="211" spans="2:7" x14ac:dyDescent="0.25">
      <c r="B211" s="21"/>
      <c r="C211" s="21"/>
      <c r="D211" s="21"/>
      <c r="E211" s="23"/>
      <c r="F211" s="21"/>
      <c r="G211" s="21"/>
    </row>
    <row r="212" spans="2:7" x14ac:dyDescent="0.25">
      <c r="B212" s="21"/>
      <c r="C212" s="21"/>
      <c r="D212" s="21"/>
      <c r="E212" s="23"/>
      <c r="F212" s="21"/>
      <c r="G212" s="21"/>
    </row>
    <row r="213" spans="2:7" x14ac:dyDescent="0.25">
      <c r="B213" s="21"/>
      <c r="C213" s="21"/>
      <c r="D213" s="21"/>
      <c r="E213" s="23"/>
      <c r="F213" s="21"/>
      <c r="G213" s="21"/>
    </row>
    <row r="214" spans="2:7" x14ac:dyDescent="0.25">
      <c r="B214" s="21"/>
      <c r="C214" s="21"/>
      <c r="D214" s="21"/>
      <c r="E214" s="23"/>
      <c r="F214" s="21"/>
      <c r="G214" s="21"/>
    </row>
    <row r="215" spans="2:7" x14ac:dyDescent="0.25">
      <c r="B215" s="21"/>
      <c r="C215" s="21"/>
      <c r="D215" s="21"/>
      <c r="E215" s="23"/>
      <c r="F215" s="21"/>
      <c r="G215" s="21"/>
    </row>
    <row r="216" spans="2:7" x14ac:dyDescent="0.25">
      <c r="B216" s="21"/>
      <c r="C216" s="21"/>
      <c r="D216" s="21"/>
      <c r="E216" s="23"/>
      <c r="F216" s="21"/>
      <c r="G216" s="21"/>
    </row>
    <row r="217" spans="2:7" x14ac:dyDescent="0.25">
      <c r="B217" s="21"/>
      <c r="C217" s="21"/>
      <c r="D217" s="21"/>
      <c r="E217" s="23"/>
      <c r="F217" s="21"/>
      <c r="G217" s="21"/>
    </row>
    <row r="218" spans="2:7" x14ac:dyDescent="0.25">
      <c r="B218" s="21"/>
      <c r="C218" s="21"/>
      <c r="D218" s="21"/>
      <c r="E218" s="23"/>
      <c r="F218" s="21"/>
      <c r="G218" s="21"/>
    </row>
    <row r="219" spans="2:7" x14ac:dyDescent="0.25">
      <c r="B219" s="21"/>
      <c r="C219" s="21"/>
      <c r="D219" s="21"/>
      <c r="E219" s="23"/>
      <c r="F219" s="21"/>
      <c r="G219" s="21"/>
    </row>
    <row r="220" spans="2:7" x14ac:dyDescent="0.25">
      <c r="B220" s="21"/>
      <c r="C220" s="21"/>
      <c r="D220" s="21"/>
      <c r="E220" s="23"/>
      <c r="F220" s="21"/>
      <c r="G220" s="21"/>
    </row>
    <row r="221" spans="2:7" x14ac:dyDescent="0.25">
      <c r="B221" s="21"/>
      <c r="C221" s="21"/>
      <c r="D221" s="21"/>
      <c r="E221" s="23"/>
      <c r="F221" s="21"/>
      <c r="G221" s="21"/>
    </row>
    <row r="222" spans="2:7" x14ac:dyDescent="0.25">
      <c r="B222" s="21"/>
      <c r="C222" s="21"/>
      <c r="D222" s="21"/>
      <c r="E222" s="23"/>
      <c r="F222" s="21"/>
      <c r="G222" s="21"/>
    </row>
    <row r="223" spans="2:7" x14ac:dyDescent="0.25">
      <c r="B223" s="21"/>
      <c r="C223" s="21"/>
      <c r="D223" s="21"/>
      <c r="E223" s="23"/>
      <c r="F223" s="21"/>
      <c r="G223" s="21"/>
    </row>
    <row r="224" spans="2:7" x14ac:dyDescent="0.25">
      <c r="B224" s="21"/>
      <c r="C224" s="21"/>
      <c r="D224" s="21"/>
      <c r="E224" s="23"/>
      <c r="F224" s="21"/>
      <c r="G224" s="21"/>
    </row>
    <row r="225" spans="2:7" x14ac:dyDescent="0.25">
      <c r="B225" s="21"/>
      <c r="C225" s="21"/>
      <c r="D225" s="21"/>
      <c r="E225" s="23"/>
      <c r="F225" s="21"/>
      <c r="G225" s="21"/>
    </row>
    <row r="226" spans="2:7" x14ac:dyDescent="0.25">
      <c r="B226" s="21"/>
      <c r="C226" s="21"/>
      <c r="D226" s="21"/>
      <c r="E226" s="23"/>
      <c r="F226" s="21"/>
      <c r="G226" s="21"/>
    </row>
    <row r="227" spans="2:7" x14ac:dyDescent="0.25">
      <c r="B227" s="21"/>
      <c r="C227" s="21"/>
      <c r="D227" s="21"/>
      <c r="E227" s="23"/>
      <c r="F227" s="21"/>
      <c r="G227" s="21"/>
    </row>
    <row r="228" spans="2:7" x14ac:dyDescent="0.25">
      <c r="B228" s="21"/>
      <c r="C228" s="21"/>
      <c r="D228" s="21"/>
      <c r="E228" s="23"/>
      <c r="F228" s="21"/>
      <c r="G228" s="21"/>
    </row>
    <row r="229" spans="2:7" x14ac:dyDescent="0.25">
      <c r="B229" s="21"/>
      <c r="C229" s="21"/>
      <c r="D229" s="21"/>
      <c r="E229" s="23"/>
      <c r="F229" s="21"/>
      <c r="G229" s="21"/>
    </row>
    <row r="230" spans="2:7" x14ac:dyDescent="0.25">
      <c r="B230" s="21"/>
      <c r="C230" s="21"/>
      <c r="D230" s="21"/>
      <c r="E230" s="23"/>
      <c r="F230" s="21"/>
      <c r="G230" s="21"/>
    </row>
    <row r="231" spans="2:7" x14ac:dyDescent="0.25">
      <c r="B231" s="21"/>
      <c r="C231" s="21"/>
      <c r="D231" s="21"/>
      <c r="E231" s="23"/>
      <c r="F231" s="21"/>
      <c r="G231" s="21"/>
    </row>
    <row r="232" spans="2:7" x14ac:dyDescent="0.25">
      <c r="B232" s="21"/>
      <c r="C232" s="21"/>
      <c r="D232" s="21"/>
      <c r="E232" s="23"/>
      <c r="F232" s="21"/>
      <c r="G232" s="21"/>
    </row>
    <row r="233" spans="2:7" x14ac:dyDescent="0.25">
      <c r="B233" s="21"/>
      <c r="C233" s="21"/>
      <c r="D233" s="21"/>
      <c r="E233" s="23"/>
      <c r="F233" s="21"/>
      <c r="G233" s="21"/>
    </row>
    <row r="234" spans="2:7" x14ac:dyDescent="0.25">
      <c r="B234" s="21"/>
      <c r="C234" s="21"/>
      <c r="D234" s="21"/>
      <c r="E234" s="23"/>
      <c r="F234" s="21"/>
      <c r="G234" s="21"/>
    </row>
    <row r="235" spans="2:7" x14ac:dyDescent="0.25">
      <c r="B235" s="21"/>
      <c r="C235" s="21"/>
      <c r="D235" s="21"/>
      <c r="E235" s="23"/>
      <c r="F235" s="21"/>
      <c r="G235" s="21"/>
    </row>
    <row r="236" spans="2:7" x14ac:dyDescent="0.25">
      <c r="B236" s="21"/>
      <c r="C236" s="21"/>
      <c r="D236" s="21"/>
      <c r="E236" s="23"/>
      <c r="F236" s="21"/>
      <c r="G236" s="21"/>
    </row>
    <row r="237" spans="2:7" x14ac:dyDescent="0.25">
      <c r="B237" s="21"/>
      <c r="C237" s="21"/>
      <c r="D237" s="21"/>
      <c r="E237" s="23"/>
      <c r="F237" s="21"/>
      <c r="G237" s="21"/>
    </row>
    <row r="238" spans="2:7" x14ac:dyDescent="0.25">
      <c r="B238" s="21"/>
      <c r="C238" s="21"/>
      <c r="D238" s="21"/>
      <c r="E238" s="23"/>
      <c r="F238" s="21"/>
      <c r="G238" s="21"/>
    </row>
    <row r="239" spans="2:7" x14ac:dyDescent="0.25">
      <c r="B239" s="21"/>
      <c r="C239" s="21"/>
      <c r="D239" s="21"/>
      <c r="E239" s="23"/>
      <c r="F239" s="21"/>
      <c r="G239" s="21"/>
    </row>
    <row r="240" spans="2:7" x14ac:dyDescent="0.25">
      <c r="B240" s="21"/>
      <c r="C240" s="21"/>
      <c r="D240" s="21"/>
      <c r="E240" s="23"/>
      <c r="F240" s="21"/>
      <c r="G240" s="21"/>
    </row>
    <row r="241" spans="2:7" x14ac:dyDescent="0.25">
      <c r="B241" s="21"/>
      <c r="C241" s="21"/>
      <c r="D241" s="21"/>
      <c r="E241" s="23"/>
      <c r="F241" s="21"/>
      <c r="G241" s="21"/>
    </row>
    <row r="242" spans="2:7" x14ac:dyDescent="0.25">
      <c r="B242" s="21"/>
      <c r="C242" s="21"/>
      <c r="D242" s="21"/>
      <c r="E242" s="23"/>
      <c r="F242" s="21"/>
      <c r="G242" s="21"/>
    </row>
    <row r="243" spans="2:7" x14ac:dyDescent="0.25">
      <c r="B243" s="21"/>
      <c r="C243" s="21"/>
      <c r="D243" s="21"/>
      <c r="E243" s="23"/>
      <c r="F243" s="21"/>
      <c r="G243" s="21"/>
    </row>
    <row r="244" spans="2:7" x14ac:dyDescent="0.25">
      <c r="B244" s="21"/>
      <c r="C244" s="21"/>
      <c r="D244" s="21"/>
      <c r="E244" s="23"/>
      <c r="F244" s="21"/>
      <c r="G244" s="21"/>
    </row>
    <row r="245" spans="2:7" x14ac:dyDescent="0.25">
      <c r="B245" s="21"/>
      <c r="C245" s="21"/>
      <c r="D245" s="21"/>
      <c r="E245" s="23"/>
      <c r="F245" s="21"/>
      <c r="G245" s="21"/>
    </row>
    <row r="246" spans="2:7" x14ac:dyDescent="0.25">
      <c r="B246" s="21"/>
      <c r="C246" s="21"/>
      <c r="D246" s="21"/>
      <c r="E246" s="23"/>
      <c r="F246" s="21"/>
      <c r="G246" s="21"/>
    </row>
    <row r="247" spans="2:7" x14ac:dyDescent="0.25">
      <c r="B247" s="21"/>
      <c r="C247" s="21"/>
      <c r="D247" s="21"/>
      <c r="E247" s="23"/>
      <c r="F247" s="21"/>
      <c r="G247" s="21"/>
    </row>
    <row r="248" spans="2:7" x14ac:dyDescent="0.25">
      <c r="B248" s="21"/>
      <c r="C248" s="21"/>
      <c r="D248" s="21"/>
      <c r="E248" s="23"/>
      <c r="F248" s="21"/>
      <c r="G248" s="21"/>
    </row>
    <row r="249" spans="2:7" x14ac:dyDescent="0.25">
      <c r="B249" s="21"/>
      <c r="C249" s="21"/>
      <c r="D249" s="21"/>
      <c r="E249" s="23"/>
      <c r="F249" s="21"/>
      <c r="G249" s="21"/>
    </row>
    <row r="250" spans="2:7" x14ac:dyDescent="0.25">
      <c r="B250" s="21"/>
      <c r="C250" s="21"/>
      <c r="D250" s="21"/>
      <c r="E250" s="23"/>
      <c r="F250" s="21"/>
      <c r="G250" s="21"/>
    </row>
    <row r="251" spans="2:7" x14ac:dyDescent="0.25">
      <c r="B251" s="21"/>
      <c r="C251" s="21"/>
      <c r="D251" s="21"/>
      <c r="E251" s="23"/>
      <c r="F251" s="21"/>
      <c r="G251" s="21"/>
    </row>
    <row r="252" spans="2:7" x14ac:dyDescent="0.25">
      <c r="B252" s="21"/>
      <c r="C252" s="21"/>
      <c r="D252" s="21"/>
      <c r="E252" s="23"/>
      <c r="F252" s="21"/>
      <c r="G252" s="21"/>
    </row>
    <row r="253" spans="2:7" x14ac:dyDescent="0.25">
      <c r="B253" s="21"/>
      <c r="C253" s="21"/>
      <c r="D253" s="21"/>
      <c r="E253" s="23"/>
      <c r="F253" s="21"/>
      <c r="G253" s="21"/>
    </row>
    <row r="254" spans="2:7" x14ac:dyDescent="0.25">
      <c r="B254" s="21"/>
      <c r="C254" s="21"/>
      <c r="D254" s="21"/>
      <c r="E254" s="23"/>
      <c r="F254" s="21"/>
      <c r="G254" s="21"/>
    </row>
    <row r="255" spans="2:7" x14ac:dyDescent="0.25">
      <c r="B255" s="21"/>
      <c r="C255" s="21"/>
      <c r="D255" s="21"/>
      <c r="E255" s="23"/>
      <c r="F255" s="21"/>
      <c r="G255" s="21"/>
    </row>
    <row r="256" spans="2:7" x14ac:dyDescent="0.25">
      <c r="B256" s="21"/>
      <c r="C256" s="21"/>
      <c r="D256" s="21"/>
      <c r="E256" s="23"/>
      <c r="F256" s="21"/>
      <c r="G256" s="21"/>
    </row>
    <row r="257" spans="2:7" x14ac:dyDescent="0.25">
      <c r="B257" s="21"/>
      <c r="C257" s="21"/>
      <c r="D257" s="21"/>
      <c r="E257" s="23"/>
      <c r="F257" s="21"/>
      <c r="G257" s="21"/>
    </row>
    <row r="258" spans="2:7" x14ac:dyDescent="0.25">
      <c r="B258" s="21"/>
      <c r="C258" s="21"/>
      <c r="D258" s="21"/>
      <c r="E258" s="23"/>
      <c r="F258" s="21"/>
      <c r="G258" s="21"/>
    </row>
    <row r="259" spans="2:7" x14ac:dyDescent="0.25">
      <c r="B259" s="21"/>
      <c r="C259" s="21"/>
      <c r="D259" s="21"/>
      <c r="E259" s="23"/>
      <c r="F259" s="21"/>
      <c r="G259" s="21"/>
    </row>
    <row r="260" spans="2:7" x14ac:dyDescent="0.25">
      <c r="B260" s="21"/>
      <c r="C260" s="21"/>
      <c r="D260" s="21"/>
      <c r="E260" s="23"/>
      <c r="F260" s="21"/>
      <c r="G260" s="21"/>
    </row>
    <row r="261" spans="2:7" x14ac:dyDescent="0.25">
      <c r="B261" s="21"/>
      <c r="C261" s="21"/>
      <c r="D261" s="21"/>
      <c r="E261" s="23"/>
      <c r="F261" s="21"/>
      <c r="G261" s="21"/>
    </row>
    <row r="262" spans="2:7" x14ac:dyDescent="0.25">
      <c r="B262" s="117"/>
      <c r="C262" s="114"/>
      <c r="D262" s="114"/>
      <c r="E262" s="115"/>
      <c r="F262" s="114"/>
      <c r="G262" s="114"/>
    </row>
  </sheetData>
  <mergeCells count="23">
    <mergeCell ref="J23:N23"/>
    <mergeCell ref="J33:N33"/>
    <mergeCell ref="B131:G131"/>
    <mergeCell ref="B121:G121"/>
    <mergeCell ref="B142:D142"/>
    <mergeCell ref="B129:E129"/>
    <mergeCell ref="B110:G110"/>
    <mergeCell ref="B144:B147"/>
    <mergeCell ref="B80:B82"/>
    <mergeCell ref="B83:B84"/>
    <mergeCell ref="B1:G1"/>
    <mergeCell ref="B13:G13"/>
    <mergeCell ref="C23:G23"/>
    <mergeCell ref="B74:G74"/>
    <mergeCell ref="B86:G86"/>
    <mergeCell ref="C33:G33"/>
    <mergeCell ref="C43:G43"/>
    <mergeCell ref="C53:G53"/>
    <mergeCell ref="C63:G63"/>
    <mergeCell ref="B106:G106"/>
    <mergeCell ref="B87:G87"/>
    <mergeCell ref="B96:G96"/>
    <mergeCell ref="B2:G2"/>
  </mergeCells>
  <pageMargins left="0.7" right="0.7" top="0.75" bottom="0.75" header="0.3" footer="0.3"/>
  <pageSetup paperSize="9" orientation="portrait" r:id="rId1"/>
  <ignoredErrors>
    <ignoredError sqref="D147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62B5-2AAE-4478-8CDC-0B7A11EB2CEC}">
  <dimension ref="A1:F38"/>
  <sheetViews>
    <sheetView topLeftCell="A28" zoomScale="160" zoomScaleNormal="160" workbookViewId="0">
      <selection activeCell="C33" sqref="C33"/>
    </sheetView>
  </sheetViews>
  <sheetFormatPr baseColWidth="10" defaultRowHeight="15" x14ac:dyDescent="0.25"/>
  <cols>
    <col min="1" max="1" width="29.42578125" customWidth="1"/>
    <col min="2" max="2" width="19.28515625" bestFit="1" customWidth="1"/>
    <col min="3" max="3" width="21.28515625" customWidth="1"/>
    <col min="5" max="5" width="12.28515625" bestFit="1" customWidth="1"/>
  </cols>
  <sheetData>
    <row r="1" spans="1:4" ht="16.5" thickBot="1" x14ac:dyDescent="0.3">
      <c r="A1" s="332" t="s">
        <v>155</v>
      </c>
      <c r="B1" s="333"/>
      <c r="C1" s="333"/>
      <c r="D1" s="334"/>
    </row>
    <row r="2" spans="1:4" x14ac:dyDescent="0.25">
      <c r="A2" s="326" t="s">
        <v>54</v>
      </c>
      <c r="B2" s="1" t="s">
        <v>55</v>
      </c>
      <c r="C2" s="6">
        <f>General!D144</f>
        <v>1160000</v>
      </c>
      <c r="D2" s="60"/>
    </row>
    <row r="3" spans="1:4" x14ac:dyDescent="0.25">
      <c r="A3" s="327"/>
      <c r="B3" s="1" t="s">
        <v>56</v>
      </c>
      <c r="C3" s="6">
        <f>General!D145</f>
        <v>0</v>
      </c>
      <c r="D3" s="60"/>
    </row>
    <row r="4" spans="1:4" x14ac:dyDescent="0.25">
      <c r="A4" s="327"/>
      <c r="B4" s="1" t="s">
        <v>57</v>
      </c>
      <c r="C4" s="6">
        <f>General!D146</f>
        <v>0</v>
      </c>
      <c r="D4" s="60"/>
    </row>
    <row r="5" spans="1:4" x14ac:dyDescent="0.25">
      <c r="A5" s="328"/>
      <c r="B5" s="1" t="s">
        <v>58</v>
      </c>
      <c r="C5" s="6">
        <f>General!D147</f>
        <v>1160000</v>
      </c>
      <c r="D5" s="60"/>
    </row>
    <row r="6" spans="1:4" x14ac:dyDescent="0.25">
      <c r="A6" s="329" t="s">
        <v>59</v>
      </c>
      <c r="B6" s="1" t="s">
        <v>60</v>
      </c>
      <c r="C6" s="5">
        <f>C5*D6</f>
        <v>96628</v>
      </c>
      <c r="D6" s="33" t="s">
        <v>61</v>
      </c>
    </row>
    <row r="7" spans="1:4" x14ac:dyDescent="0.25">
      <c r="A7" s="330"/>
      <c r="B7" s="1" t="s">
        <v>62</v>
      </c>
      <c r="C7" s="5">
        <f>C5*D7</f>
        <v>96628</v>
      </c>
      <c r="D7" s="33" t="s">
        <v>61</v>
      </c>
    </row>
    <row r="8" spans="1:4" x14ac:dyDescent="0.25">
      <c r="A8" s="330"/>
      <c r="B8" s="1" t="s">
        <v>63</v>
      </c>
      <c r="C8" s="5">
        <f>C5*D8</f>
        <v>11600</v>
      </c>
      <c r="D8" s="61">
        <v>0.01</v>
      </c>
    </row>
    <row r="9" spans="1:4" x14ac:dyDescent="0.25">
      <c r="A9" s="330"/>
      <c r="B9" s="1" t="s">
        <v>64</v>
      </c>
      <c r="C9" s="5">
        <f>C2*D9</f>
        <v>50692</v>
      </c>
      <c r="D9" s="33" t="s">
        <v>65</v>
      </c>
    </row>
    <row r="10" spans="1:4" x14ac:dyDescent="0.25">
      <c r="A10" s="331"/>
      <c r="B10" s="1" t="s">
        <v>58</v>
      </c>
      <c r="C10" s="6">
        <f>SUM(C6:C9)</f>
        <v>255548</v>
      </c>
      <c r="D10" s="33"/>
    </row>
    <row r="11" spans="1:4" x14ac:dyDescent="0.25">
      <c r="A11" s="329" t="s">
        <v>66</v>
      </c>
      <c r="B11" s="1" t="s">
        <v>67</v>
      </c>
      <c r="C11" s="5">
        <f>C5*D11</f>
        <v>46400</v>
      </c>
      <c r="D11" s="61">
        <v>0.04</v>
      </c>
    </row>
    <row r="12" spans="1:4" x14ac:dyDescent="0.25">
      <c r="A12" s="330"/>
      <c r="B12" s="1" t="s">
        <v>68</v>
      </c>
      <c r="C12" s="5">
        <f>C5*D12</f>
        <v>34800</v>
      </c>
      <c r="D12" s="61">
        <v>0.03</v>
      </c>
    </row>
    <row r="13" spans="1:4" x14ac:dyDescent="0.25">
      <c r="A13" s="330"/>
      <c r="B13" s="1" t="s">
        <v>69</v>
      </c>
      <c r="C13" s="5">
        <f>C5*D13</f>
        <v>23200</v>
      </c>
      <c r="D13" s="61">
        <v>0.02</v>
      </c>
    </row>
    <row r="14" spans="1:4" x14ac:dyDescent="0.25">
      <c r="A14" s="330"/>
      <c r="B14" s="1" t="s">
        <v>70</v>
      </c>
      <c r="C14" s="5">
        <f>C5*D14</f>
        <v>92800</v>
      </c>
      <c r="D14" s="61">
        <v>0.08</v>
      </c>
    </row>
    <row r="15" spans="1:4" x14ac:dyDescent="0.25">
      <c r="A15" s="330"/>
      <c r="B15" s="1" t="s">
        <v>71</v>
      </c>
      <c r="C15" s="5">
        <f>C5*D15</f>
        <v>98600</v>
      </c>
      <c r="D15" s="62">
        <v>8.5000000000000006E-2</v>
      </c>
    </row>
    <row r="16" spans="1:4" x14ac:dyDescent="0.25">
      <c r="A16" s="330"/>
      <c r="B16" s="1" t="s">
        <v>83</v>
      </c>
      <c r="C16" s="5">
        <f>C5*D16</f>
        <v>50460</v>
      </c>
      <c r="D16" s="63">
        <v>4.3499999999999997E-2</v>
      </c>
    </row>
    <row r="17" spans="1:6" x14ac:dyDescent="0.25">
      <c r="A17" s="331"/>
      <c r="B17" s="1" t="s">
        <v>58</v>
      </c>
      <c r="C17" s="6">
        <f>SUM(C11:C16)</f>
        <v>346260</v>
      </c>
      <c r="D17" s="33"/>
    </row>
    <row r="18" spans="1:6" x14ac:dyDescent="0.25">
      <c r="A18" s="66" t="s">
        <v>151</v>
      </c>
      <c r="B18" s="1" t="s">
        <v>58</v>
      </c>
      <c r="C18" s="15">
        <f>General!D143</f>
        <v>2</v>
      </c>
      <c r="D18" s="33"/>
    </row>
    <row r="19" spans="1:6" x14ac:dyDescent="0.25">
      <c r="A19" s="66"/>
      <c r="B19" s="1"/>
      <c r="C19" s="15"/>
      <c r="D19" s="60"/>
    </row>
    <row r="20" spans="1:6" ht="15.75" x14ac:dyDescent="0.25">
      <c r="A20" s="53" t="s">
        <v>179</v>
      </c>
      <c r="B20" s="7">
        <f>C17+C10+C5</f>
        <v>1761808</v>
      </c>
      <c r="C20" s="16"/>
      <c r="D20" s="60"/>
    </row>
    <row r="21" spans="1:6" ht="15.75" x14ac:dyDescent="0.25">
      <c r="A21" s="112" t="s">
        <v>180</v>
      </c>
      <c r="B21" s="7">
        <f>+C18*B20</f>
        <v>3523616</v>
      </c>
      <c r="C21" s="16"/>
      <c r="D21" s="60"/>
    </row>
    <row r="22" spans="1:6" x14ac:dyDescent="0.25">
      <c r="A22" s="28" t="s">
        <v>72</v>
      </c>
      <c r="B22" s="5">
        <f>B21/C22</f>
        <v>135523.69230769231</v>
      </c>
      <c r="C22" s="1">
        <v>26</v>
      </c>
      <c r="D22" s="60" t="s">
        <v>75</v>
      </c>
    </row>
    <row r="23" spans="1:6" x14ac:dyDescent="0.25">
      <c r="A23" s="28" t="s">
        <v>73</v>
      </c>
      <c r="B23" s="5">
        <f>B22/C23</f>
        <v>16940.461538461539</v>
      </c>
      <c r="C23" s="1">
        <v>8</v>
      </c>
      <c r="D23" s="60" t="s">
        <v>76</v>
      </c>
    </row>
    <row r="24" spans="1:6" ht="15.75" thickBot="1" x14ac:dyDescent="0.3">
      <c r="A24" s="30" t="s">
        <v>74</v>
      </c>
      <c r="B24" s="54">
        <f>B23/60</f>
        <v>282.34102564102562</v>
      </c>
      <c r="C24" s="31"/>
      <c r="D24" s="64"/>
    </row>
    <row r="25" spans="1:6" ht="15.75" thickBot="1" x14ac:dyDescent="0.3"/>
    <row r="26" spans="1:6" x14ac:dyDescent="0.25">
      <c r="A26" s="26" t="s">
        <v>225</v>
      </c>
      <c r="B26" s="230" t="str">
        <f>+General!F5</f>
        <v>Especial x 10</v>
      </c>
      <c r="C26" s="86" t="str">
        <f>+General!D5</f>
        <v>Estándar x 12</v>
      </c>
    </row>
    <row r="27" spans="1:6" x14ac:dyDescent="0.25">
      <c r="A27" s="28" t="str">
        <f>+General!B6</f>
        <v>Tiempo de cocción</v>
      </c>
      <c r="B27" s="231">
        <f>+General!C6*General!C4</f>
        <v>4</v>
      </c>
      <c r="C27" s="15">
        <f>+General!C6*General!C4</f>
        <v>4</v>
      </c>
    </row>
    <row r="28" spans="1:6" x14ac:dyDescent="0.25">
      <c r="A28" s="28" t="str">
        <f>+General!B9</f>
        <v>Otros tiempos adicionales</v>
      </c>
      <c r="B28" s="231">
        <f>+General!C9*General!C4</f>
        <v>2</v>
      </c>
      <c r="C28" s="15">
        <f>+General!C9*General!C4</f>
        <v>2</v>
      </c>
    </row>
    <row r="29" spans="1:6" ht="15.75" thickBot="1" x14ac:dyDescent="0.3">
      <c r="A29" s="30" t="str">
        <f>+General!B8</f>
        <v>Tiempo de corte y empaque</v>
      </c>
      <c r="B29" s="232">
        <f>+General!C7*General!C4</f>
        <v>4</v>
      </c>
      <c r="C29" s="47">
        <f>+General!C8*General!C4</f>
        <v>2</v>
      </c>
    </row>
    <row r="30" spans="1:6" x14ac:dyDescent="0.25">
      <c r="A30" s="43" t="s">
        <v>77</v>
      </c>
      <c r="B30" s="211">
        <f>+B27+B28+B29</f>
        <v>10</v>
      </c>
      <c r="C30" s="41">
        <f>+C27+C28+C29</f>
        <v>8</v>
      </c>
    </row>
    <row r="31" spans="1:6" ht="15.75" thickBot="1" x14ac:dyDescent="0.3">
      <c r="A31" s="30" t="s">
        <v>78</v>
      </c>
      <c r="B31" s="233">
        <f>B30*B23</f>
        <v>169404.61538461538</v>
      </c>
      <c r="C31" s="93">
        <f>C30*B23</f>
        <v>135523.69230769231</v>
      </c>
    </row>
    <row r="32" spans="1:6" ht="15.75" thickBot="1" x14ac:dyDescent="0.3">
      <c r="E32" s="274"/>
      <c r="F32" s="274"/>
    </row>
    <row r="33" spans="1:6" x14ac:dyDescent="0.25">
      <c r="A33" s="94" t="str">
        <f>+C26</f>
        <v>Estándar x 12</v>
      </c>
      <c r="B33" s="95">
        <f>+C31/(General!C11*General!C4)</f>
        <v>625.49396449704147</v>
      </c>
      <c r="C33" s="96">
        <f>+B33/General!D89</f>
        <v>52.124497041420121</v>
      </c>
      <c r="E33" s="274"/>
      <c r="F33" s="274"/>
    </row>
    <row r="34" spans="1:6" ht="15.75" thickBot="1" x14ac:dyDescent="0.3">
      <c r="A34" s="193" t="str">
        <f>+B26</f>
        <v>Especial x 10</v>
      </c>
      <c r="B34" s="194">
        <f>+B31/(General!E11*General!C4)</f>
        <v>651.55621301775147</v>
      </c>
      <c r="C34" s="195">
        <f>+B34/General!D98</f>
        <v>65.155621301775142</v>
      </c>
    </row>
    <row r="35" spans="1:6" ht="15.75" thickBot="1" x14ac:dyDescent="0.3"/>
    <row r="36" spans="1:6" x14ac:dyDescent="0.25">
      <c r="A36" s="82" t="s">
        <v>129</v>
      </c>
      <c r="B36" s="97" t="s">
        <v>131</v>
      </c>
      <c r="C36" s="83" t="s">
        <v>130</v>
      </c>
    </row>
    <row r="37" spans="1:6" ht="15.75" thickBot="1" x14ac:dyDescent="0.3">
      <c r="A37" s="98">
        <f>+C37/B37</f>
        <v>0.8</v>
      </c>
      <c r="B37" s="232">
        <f>+B30</f>
        <v>10</v>
      </c>
      <c r="C37" s="48">
        <f>+C23</f>
        <v>8</v>
      </c>
    </row>
    <row r="38" spans="1:6" ht="15.75" thickBot="1" x14ac:dyDescent="0.3">
      <c r="B38" s="47">
        <f>+C30</f>
        <v>8</v>
      </c>
    </row>
  </sheetData>
  <mergeCells count="4">
    <mergeCell ref="A2:A5"/>
    <mergeCell ref="A6:A10"/>
    <mergeCell ref="A11:A17"/>
    <mergeCell ref="A1:D1"/>
  </mergeCells>
  <pageMargins left="0.7" right="0.7" top="0.75" bottom="0.75" header="0.3" footer="0.3"/>
  <pageSetup orientation="portrait" r:id="rId1"/>
  <ignoredErrors>
    <ignoredError sqref="D6:D7 D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2D18-9217-4E5C-AFEA-37A41D343E72}">
  <dimension ref="A1:O80"/>
  <sheetViews>
    <sheetView topLeftCell="A55" zoomScale="84" workbookViewId="0">
      <selection activeCell="L19" sqref="L19"/>
    </sheetView>
  </sheetViews>
  <sheetFormatPr baseColWidth="10" defaultRowHeight="15" x14ac:dyDescent="0.25"/>
  <cols>
    <col min="1" max="1" width="19" customWidth="1"/>
    <col min="5" max="5" width="13.5703125" customWidth="1"/>
    <col min="6" max="6" width="5.140625" customWidth="1"/>
    <col min="7" max="7" width="24.140625" customWidth="1"/>
    <col min="8" max="8" width="16.28515625" customWidth="1"/>
    <col min="9" max="9" width="15" customWidth="1"/>
    <col min="10" max="10" width="15.7109375" customWidth="1"/>
    <col min="11" max="11" width="6.28515625" customWidth="1"/>
    <col min="12" max="12" width="20.28515625" style="207" bestFit="1" customWidth="1"/>
    <col min="13" max="13" width="17" style="207" customWidth="1"/>
    <col min="14" max="14" width="14.7109375" style="207" customWidth="1"/>
    <col min="15" max="15" width="12.7109375" style="207" bestFit="1" customWidth="1"/>
  </cols>
  <sheetData>
    <row r="1" spans="1:15" ht="15.75" thickBot="1" x14ac:dyDescent="0.3"/>
    <row r="2" spans="1:15" ht="16.5" thickBot="1" x14ac:dyDescent="0.3">
      <c r="A2" s="332" t="s">
        <v>156</v>
      </c>
      <c r="B2" s="333"/>
      <c r="C2" s="333"/>
      <c r="D2" s="333"/>
      <c r="E2" s="334"/>
      <c r="G2" s="332" t="s">
        <v>202</v>
      </c>
      <c r="H2" s="333"/>
      <c r="I2" s="333"/>
      <c r="J2" s="333"/>
      <c r="K2" s="333"/>
      <c r="L2" s="333"/>
      <c r="M2" s="333"/>
      <c r="N2" s="333"/>
      <c r="O2" s="334"/>
    </row>
    <row r="3" spans="1:15" x14ac:dyDescent="0.25">
      <c r="A3" s="4" t="s">
        <v>0</v>
      </c>
      <c r="B3" s="15">
        <f>+General!C10</f>
        <v>1300</v>
      </c>
      <c r="C3" s="15" t="s">
        <v>1</v>
      </c>
    </row>
    <row r="4" spans="1:15" ht="15.75" thickBot="1" x14ac:dyDescent="0.3"/>
    <row r="5" spans="1:15" ht="16.5" thickBot="1" x14ac:dyDescent="0.3">
      <c r="A5" s="332" t="str">
        <f>+General!C23</f>
        <v>Guayaba</v>
      </c>
      <c r="B5" s="333"/>
      <c r="C5" s="333"/>
      <c r="D5" s="333"/>
      <c r="E5" s="334"/>
      <c r="G5" s="332" t="str">
        <f>+General!D5</f>
        <v>Estándar x 12</v>
      </c>
      <c r="H5" s="333"/>
      <c r="I5" s="333"/>
      <c r="J5" s="334"/>
      <c r="L5" s="335" t="str">
        <f>+General!F5</f>
        <v>Especial x 10</v>
      </c>
      <c r="M5" s="336"/>
      <c r="N5" s="336"/>
      <c r="O5" s="337"/>
    </row>
    <row r="6" spans="1:15" x14ac:dyDescent="0.25">
      <c r="A6" s="107" t="s">
        <v>79</v>
      </c>
      <c r="B6" s="41" t="s">
        <v>10</v>
      </c>
      <c r="C6" s="41" t="s">
        <v>11</v>
      </c>
      <c r="D6" s="41" t="s">
        <v>84</v>
      </c>
      <c r="E6" s="108" t="s">
        <v>85</v>
      </c>
      <c r="G6" s="107" t="s">
        <v>81</v>
      </c>
      <c r="H6" s="41" t="s">
        <v>10</v>
      </c>
      <c r="I6" s="41" t="s">
        <v>11</v>
      </c>
      <c r="J6" s="108" t="s">
        <v>80</v>
      </c>
      <c r="L6" s="210" t="s">
        <v>81</v>
      </c>
      <c r="M6" s="211" t="s">
        <v>10</v>
      </c>
      <c r="N6" s="211" t="s">
        <v>11</v>
      </c>
      <c r="O6" s="212" t="s">
        <v>80</v>
      </c>
    </row>
    <row r="7" spans="1:15" x14ac:dyDescent="0.25">
      <c r="A7" s="28" t="s">
        <v>16</v>
      </c>
      <c r="B7" s="1" t="s">
        <v>17</v>
      </c>
      <c r="C7" s="1">
        <f>+General!D25</f>
        <v>25</v>
      </c>
      <c r="D7" s="14">
        <f>+General!E25</f>
        <v>3800</v>
      </c>
      <c r="E7" s="29">
        <f>D7*C7</f>
        <v>95000</v>
      </c>
      <c r="G7" s="28" t="s">
        <v>37</v>
      </c>
      <c r="H7" s="1" t="s">
        <v>181</v>
      </c>
      <c r="I7" s="118">
        <f>General!D90</f>
        <v>1</v>
      </c>
      <c r="J7" s="80">
        <f>+General!F90</f>
        <v>201.5</v>
      </c>
      <c r="L7" s="213" t="s">
        <v>37</v>
      </c>
      <c r="M7" s="203" t="s">
        <v>181</v>
      </c>
      <c r="N7" s="214">
        <f>+General!D99</f>
        <v>1</v>
      </c>
      <c r="O7" s="215">
        <f>+General!F99</f>
        <v>550</v>
      </c>
    </row>
    <row r="8" spans="1:15" x14ac:dyDescent="0.25">
      <c r="A8" s="28" t="s">
        <v>21</v>
      </c>
      <c r="B8" s="1" t="s">
        <v>22</v>
      </c>
      <c r="C8" s="1">
        <f>+General!D26</f>
        <v>0</v>
      </c>
      <c r="D8" s="14">
        <f>+General!E26</f>
        <v>3000</v>
      </c>
      <c r="E8" s="29">
        <f t="shared" ref="E8:E13" si="0">D8*C8</f>
        <v>0</v>
      </c>
      <c r="G8" s="28" t="s">
        <v>38</v>
      </c>
      <c r="H8" s="1" t="s">
        <v>39</v>
      </c>
      <c r="I8" s="116">
        <f>General!D91</f>
        <v>0</v>
      </c>
      <c r="J8" s="80">
        <f>+General!F91</f>
        <v>0</v>
      </c>
      <c r="L8" s="213" t="s">
        <v>38</v>
      </c>
      <c r="M8" s="203" t="s">
        <v>39</v>
      </c>
      <c r="N8" s="203">
        <f>General!D100</f>
        <v>300</v>
      </c>
      <c r="O8" s="215">
        <f>+General!F100</f>
        <v>14</v>
      </c>
    </row>
    <row r="9" spans="1:15" x14ac:dyDescent="0.25">
      <c r="A9" s="28" t="s">
        <v>23</v>
      </c>
      <c r="B9" s="1" t="s">
        <v>17</v>
      </c>
      <c r="C9" s="1">
        <f>+General!D27</f>
        <v>18</v>
      </c>
      <c r="D9" s="14">
        <f>+General!E27</f>
        <v>3100</v>
      </c>
      <c r="E9" s="29">
        <f t="shared" si="0"/>
        <v>55800</v>
      </c>
      <c r="G9" s="28" t="s">
        <v>40</v>
      </c>
      <c r="H9" s="1" t="s">
        <v>181</v>
      </c>
      <c r="I9" s="116">
        <f>+General!D92</f>
        <v>0</v>
      </c>
      <c r="J9" s="80">
        <f>+General!F92</f>
        <v>0</v>
      </c>
      <c r="L9" s="213" t="s">
        <v>40</v>
      </c>
      <c r="M9" s="203" t="s">
        <v>181</v>
      </c>
      <c r="N9" s="203">
        <v>10</v>
      </c>
      <c r="O9" s="215">
        <f>+General!F101</f>
        <v>172</v>
      </c>
    </row>
    <row r="10" spans="1:15" x14ac:dyDescent="0.25">
      <c r="A10" s="28" t="s">
        <v>25</v>
      </c>
      <c r="B10" s="1" t="s">
        <v>17</v>
      </c>
      <c r="C10" s="1">
        <f>+General!D28</f>
        <v>1</v>
      </c>
      <c r="D10" s="14">
        <f>+General!E28</f>
        <v>3000</v>
      </c>
      <c r="E10" s="29">
        <f>D10*C10</f>
        <v>3000</v>
      </c>
      <c r="G10" s="28" t="s">
        <v>41</v>
      </c>
      <c r="H10" s="1" t="str">
        <f>+General!C93</f>
        <v>Unidad</v>
      </c>
      <c r="I10" s="116">
        <f>General!D93</f>
        <v>8</v>
      </c>
      <c r="J10" s="80">
        <f>+General!F93</f>
        <v>10.666666666666666</v>
      </c>
      <c r="L10" s="213" t="s">
        <v>41</v>
      </c>
      <c r="M10" s="203" t="s">
        <v>43</v>
      </c>
      <c r="N10" s="203">
        <v>8</v>
      </c>
      <c r="O10" s="215">
        <f>+General!F102</f>
        <v>10.666666666666666</v>
      </c>
    </row>
    <row r="11" spans="1:15" x14ac:dyDescent="0.25">
      <c r="A11" s="28" t="s">
        <v>27</v>
      </c>
      <c r="B11" s="1" t="s">
        <v>28</v>
      </c>
      <c r="C11" s="1">
        <f>+General!D29</f>
        <v>5</v>
      </c>
      <c r="D11" s="14">
        <f>+General!E29</f>
        <v>210</v>
      </c>
      <c r="E11" s="29">
        <f t="shared" si="0"/>
        <v>1050</v>
      </c>
      <c r="G11" s="28" t="s">
        <v>42</v>
      </c>
      <c r="H11" s="1" t="s">
        <v>43</v>
      </c>
      <c r="I11" s="116">
        <f>+General!D94</f>
        <v>1</v>
      </c>
      <c r="J11" s="80">
        <f>+General!F94</f>
        <v>40</v>
      </c>
      <c r="L11" s="213" t="s">
        <v>42</v>
      </c>
      <c r="M11" s="203" t="s">
        <v>43</v>
      </c>
      <c r="N11" s="203">
        <f>General!D103</f>
        <v>1</v>
      </c>
      <c r="O11" s="215">
        <f>+General!F94</f>
        <v>40</v>
      </c>
    </row>
    <row r="12" spans="1:15" ht="15.75" thickBot="1" x14ac:dyDescent="0.3">
      <c r="A12" s="28" t="s">
        <v>29</v>
      </c>
      <c r="B12" s="1" t="s">
        <v>30</v>
      </c>
      <c r="C12" s="1">
        <f>+General!D30</f>
        <v>12</v>
      </c>
      <c r="D12" s="13">
        <f>+General!E30</f>
        <v>500</v>
      </c>
      <c r="E12" s="33">
        <f t="shared" si="0"/>
        <v>6000</v>
      </c>
      <c r="G12" s="341" t="s">
        <v>158</v>
      </c>
      <c r="H12" s="342"/>
      <c r="I12" s="342"/>
      <c r="J12" s="92">
        <f>SUM(J7:J11)</f>
        <v>252.16666666666666</v>
      </c>
      <c r="L12" s="343" t="s">
        <v>159</v>
      </c>
      <c r="M12" s="344"/>
      <c r="N12" s="344"/>
      <c r="O12" s="206">
        <f>SUM(O7:O11)</f>
        <v>786.66666666666663</v>
      </c>
    </row>
    <row r="13" spans="1:15" x14ac:dyDescent="0.25">
      <c r="A13" s="28" t="s">
        <v>31</v>
      </c>
      <c r="B13" s="1" t="s">
        <v>32</v>
      </c>
      <c r="C13" s="1">
        <f>+General!D31</f>
        <v>3</v>
      </c>
      <c r="D13" s="14">
        <f>+General!E31</f>
        <v>2500</v>
      </c>
      <c r="E13" s="33">
        <f t="shared" si="0"/>
        <v>7500</v>
      </c>
    </row>
    <row r="14" spans="1:15" ht="15.75" thickBot="1" x14ac:dyDescent="0.3">
      <c r="A14" s="338" t="s">
        <v>53</v>
      </c>
      <c r="B14" s="339"/>
      <c r="C14" s="339"/>
      <c r="D14" s="340"/>
      <c r="E14" s="99">
        <f>SUM(E7:E13)</f>
        <v>168350</v>
      </c>
      <c r="H14" s="8"/>
      <c r="I14" s="8"/>
      <c r="J14" s="8"/>
    </row>
    <row r="15" spans="1:15" ht="15.75" thickBot="1" x14ac:dyDescent="0.3"/>
    <row r="16" spans="1:15" ht="16.5" thickBot="1" x14ac:dyDescent="0.3">
      <c r="A16" s="332" t="str">
        <f>+General!C33</f>
        <v>Mandarina</v>
      </c>
      <c r="B16" s="333"/>
      <c r="C16" s="333"/>
      <c r="D16" s="333"/>
      <c r="E16" s="334"/>
      <c r="G16" s="332" t="s">
        <v>203</v>
      </c>
      <c r="H16" s="333"/>
      <c r="I16" s="333"/>
      <c r="J16" s="333"/>
      <c r="K16" s="333"/>
      <c r="L16" s="333"/>
      <c r="M16" s="333"/>
      <c r="N16" s="333"/>
      <c r="O16" s="334"/>
    </row>
    <row r="17" spans="1:15" ht="15.75" thickBot="1" x14ac:dyDescent="0.3">
      <c r="A17" s="107" t="s">
        <v>79</v>
      </c>
      <c r="B17" s="41" t="s">
        <v>10</v>
      </c>
      <c r="C17" s="41" t="s">
        <v>11</v>
      </c>
      <c r="D17" s="41" t="s">
        <v>84</v>
      </c>
      <c r="E17" s="108" t="s">
        <v>85</v>
      </c>
    </row>
    <row r="18" spans="1:15" ht="16.5" thickBot="1" x14ac:dyDescent="0.3">
      <c r="A18" s="28" t="s">
        <v>16</v>
      </c>
      <c r="B18" s="1" t="s">
        <v>17</v>
      </c>
      <c r="C18" s="1">
        <f>+General!D35</f>
        <v>10</v>
      </c>
      <c r="D18" s="14">
        <f>+General!E35</f>
        <v>1900</v>
      </c>
      <c r="E18" s="29">
        <f>D18*C18</f>
        <v>19000</v>
      </c>
      <c r="G18" s="332" t="str">
        <f>+G5</f>
        <v>Estándar x 12</v>
      </c>
      <c r="H18" s="333"/>
      <c r="I18" s="333"/>
      <c r="J18" s="334"/>
      <c r="L18" s="335" t="str">
        <f>+L5</f>
        <v>Especial x 10</v>
      </c>
      <c r="M18" s="336"/>
      <c r="N18" s="336"/>
      <c r="O18" s="337"/>
    </row>
    <row r="19" spans="1:15" ht="30.75" thickBot="1" x14ac:dyDescent="0.3">
      <c r="A19" s="28" t="s">
        <v>21</v>
      </c>
      <c r="B19" s="1" t="s">
        <v>22</v>
      </c>
      <c r="C19" s="1">
        <f>+General!D36</f>
        <v>0</v>
      </c>
      <c r="D19" s="14">
        <f>+General!E36</f>
        <v>3000</v>
      </c>
      <c r="E19" s="29">
        <f t="shared" ref="E19:E24" si="1">D19*C19</f>
        <v>0</v>
      </c>
      <c r="G19" s="103" t="s">
        <v>122</v>
      </c>
      <c r="H19" s="104" t="s">
        <v>160</v>
      </c>
      <c r="I19" s="105" t="s">
        <v>123</v>
      </c>
      <c r="J19" s="106" t="s">
        <v>124</v>
      </c>
      <c r="L19" s="216" t="s">
        <v>122</v>
      </c>
      <c r="M19" s="217" t="s">
        <v>160</v>
      </c>
      <c r="N19" s="218" t="s">
        <v>123</v>
      </c>
      <c r="O19" s="219" t="s">
        <v>124</v>
      </c>
    </row>
    <row r="20" spans="1:15" x14ac:dyDescent="0.25">
      <c r="A20" s="28" t="s">
        <v>23</v>
      </c>
      <c r="B20" s="1" t="s">
        <v>17</v>
      </c>
      <c r="C20" s="1">
        <f>+General!D37</f>
        <v>18</v>
      </c>
      <c r="D20" s="14">
        <f>+General!E37</f>
        <v>3100</v>
      </c>
      <c r="E20" s="29">
        <f>D20*C20</f>
        <v>55800</v>
      </c>
      <c r="G20" s="187" t="str">
        <f>+A5</f>
        <v>Guayaba</v>
      </c>
      <c r="H20" s="95">
        <f>+E14+(J12*General!C11)</f>
        <v>195668.05555555556</v>
      </c>
      <c r="I20" s="101">
        <f>J20*General!$C$5</f>
        <v>1806.1666666666665</v>
      </c>
      <c r="J20" s="188">
        <f>H20/General!$C$10</f>
        <v>150.51388888888889</v>
      </c>
      <c r="L20" s="220" t="str">
        <f>+G20</f>
        <v>Guayaba</v>
      </c>
      <c r="M20" s="221">
        <f>+E14+(O12*General!E11)</f>
        <v>270616.66666666663</v>
      </c>
      <c r="N20" s="222">
        <f>O20*General!$E$5</f>
        <v>2081.6666666666661</v>
      </c>
      <c r="O20" s="223">
        <f>M20/General!$C$10</f>
        <v>208.16666666666663</v>
      </c>
    </row>
    <row r="21" spans="1:15" x14ac:dyDescent="0.25">
      <c r="A21" s="28" t="s">
        <v>25</v>
      </c>
      <c r="B21" s="1" t="s">
        <v>17</v>
      </c>
      <c r="C21" s="1">
        <f>+General!D38</f>
        <v>1</v>
      </c>
      <c r="D21" s="14">
        <f>+General!E38</f>
        <v>3000</v>
      </c>
      <c r="E21" s="29">
        <f t="shared" si="1"/>
        <v>3000</v>
      </c>
      <c r="G21" s="28" t="str">
        <f>+A16</f>
        <v>Mandarina</v>
      </c>
      <c r="H21" s="17">
        <f>+E25+(J12*General!C11)</f>
        <v>119668.05555555556</v>
      </c>
      <c r="I21" s="100">
        <f>J21*General!$C$5</f>
        <v>1104.6282051282051</v>
      </c>
      <c r="J21" s="102">
        <f>H21/General!$C$10</f>
        <v>92.052350427350433</v>
      </c>
      <c r="L21" s="213" t="str">
        <f>+G21</f>
        <v>Mandarina</v>
      </c>
      <c r="M21" s="201">
        <f>+E25+(O12*General!E11)</f>
        <v>194616.66666666666</v>
      </c>
      <c r="N21" s="224">
        <f>O21*General!$E$5</f>
        <v>1497.051282051282</v>
      </c>
      <c r="O21" s="225">
        <f>M21/General!$C$10</f>
        <v>149.7051282051282</v>
      </c>
    </row>
    <row r="22" spans="1:15" x14ac:dyDescent="0.25">
      <c r="A22" s="28" t="s">
        <v>27</v>
      </c>
      <c r="B22" s="1" t="s">
        <v>28</v>
      </c>
      <c r="C22" s="1">
        <f>+General!D39</f>
        <v>5</v>
      </c>
      <c r="D22" s="14">
        <f>+General!E39</f>
        <v>210</v>
      </c>
      <c r="E22" s="29">
        <f t="shared" si="1"/>
        <v>1050</v>
      </c>
      <c r="G22" s="28" t="str">
        <f>+A27</f>
        <v>Fresa</v>
      </c>
      <c r="H22" s="5">
        <f>+E36+(J12*General!C11)</f>
        <v>105718.05555555556</v>
      </c>
      <c r="I22" s="100">
        <f>J22*General!$C$5</f>
        <v>975.85897435897448</v>
      </c>
      <c r="J22" s="102">
        <f>H22/General!$C$10</f>
        <v>81.321581196581207</v>
      </c>
      <c r="L22" s="213" t="str">
        <f t="shared" ref="L22:L25" si="2">+G22</f>
        <v>Fresa</v>
      </c>
      <c r="M22" s="201">
        <f>+E36+(O12*General!E11)</f>
        <v>180666.66666666666</v>
      </c>
      <c r="N22" s="224">
        <f>O22*General!$E$5</f>
        <v>1389.7435897435898</v>
      </c>
      <c r="O22" s="225">
        <f>M22/General!$C$10</f>
        <v>138.97435897435898</v>
      </c>
    </row>
    <row r="23" spans="1:15" x14ac:dyDescent="0.25">
      <c r="A23" s="28" t="s">
        <v>29</v>
      </c>
      <c r="B23" s="1" t="s">
        <v>30</v>
      </c>
      <c r="C23" s="1">
        <f>+General!D40</f>
        <v>12</v>
      </c>
      <c r="D23" s="13">
        <f>+General!E40</f>
        <v>500</v>
      </c>
      <c r="E23" s="33">
        <f t="shared" si="1"/>
        <v>6000</v>
      </c>
      <c r="G23" s="28" t="str">
        <f>+A38</f>
        <v>Café molido instantáneo</v>
      </c>
      <c r="H23" s="5">
        <f>+E47+(J12*General!C11)</f>
        <v>131868.05555555556</v>
      </c>
      <c r="I23" s="100">
        <f>J23*General!$C$5</f>
        <v>1217.2435897435898</v>
      </c>
      <c r="J23" s="102">
        <f>H23/General!$C$10</f>
        <v>101.43696581196582</v>
      </c>
      <c r="L23" s="213" t="str">
        <f t="shared" si="2"/>
        <v>Café molido instantáneo</v>
      </c>
      <c r="M23" s="201">
        <f>+E47+(O12*General!E11)</f>
        <v>206816.66666666666</v>
      </c>
      <c r="N23" s="224">
        <f>O23*General!$E$5</f>
        <v>1590.897435897436</v>
      </c>
      <c r="O23" s="225">
        <f>M23/General!$C$10</f>
        <v>159.08974358974359</v>
      </c>
    </row>
    <row r="24" spans="1:15" x14ac:dyDescent="0.25">
      <c r="A24" s="28" t="s">
        <v>31</v>
      </c>
      <c r="B24" s="1" t="s">
        <v>32</v>
      </c>
      <c r="C24" s="1">
        <f>+General!D41</f>
        <v>3</v>
      </c>
      <c r="D24" s="14">
        <f>+General!E41</f>
        <v>2500</v>
      </c>
      <c r="E24" s="33">
        <f t="shared" si="1"/>
        <v>7500</v>
      </c>
      <c r="G24" s="28" t="str">
        <f>+A49</f>
        <v>Leche</v>
      </c>
      <c r="H24" s="5">
        <f>+E58+(J12*General!C11)</f>
        <v>142068.05555555556</v>
      </c>
      <c r="I24" s="6">
        <f>J24*General!$C$5</f>
        <v>1311.397435897436</v>
      </c>
      <c r="J24" s="50">
        <f>H24/General!$C$10</f>
        <v>109.28311965811966</v>
      </c>
      <c r="L24" s="213" t="str">
        <f t="shared" si="2"/>
        <v>Leche</v>
      </c>
      <c r="M24" s="201">
        <f>+E58+(O12*General!E11)</f>
        <v>217016.66666666666</v>
      </c>
      <c r="N24" s="226">
        <f>O24*General!$E$5</f>
        <v>1669.3589743589744</v>
      </c>
      <c r="O24" s="215">
        <f>M24/General!$C$10</f>
        <v>166.93589743589743</v>
      </c>
    </row>
    <row r="25" spans="1:15" ht="15.75" thickBot="1" x14ac:dyDescent="0.3">
      <c r="A25" s="338" t="s">
        <v>53</v>
      </c>
      <c r="B25" s="339"/>
      <c r="C25" s="339"/>
      <c r="D25" s="340"/>
      <c r="E25" s="99">
        <f>SUM(E18:E24)</f>
        <v>92350</v>
      </c>
      <c r="G25" s="28" t="str">
        <f>+A60</f>
        <v>Apio</v>
      </c>
      <c r="H25" s="5">
        <f>+E69+(J12*General!C11)</f>
        <v>195668.05555555556</v>
      </c>
      <c r="I25" s="6">
        <f>J25*General!$C$5</f>
        <v>1806.1666666666665</v>
      </c>
      <c r="J25" s="50">
        <f>H25/General!$C$10</f>
        <v>150.51388888888889</v>
      </c>
      <c r="L25" s="213" t="str">
        <f t="shared" si="2"/>
        <v>Apio</v>
      </c>
      <c r="M25" s="201">
        <f>+E69+(O12*General!E11)</f>
        <v>270616.66666666663</v>
      </c>
      <c r="N25" s="226">
        <f>O25*General!$E$5</f>
        <v>2081.6666666666661</v>
      </c>
      <c r="O25" s="215">
        <f>M25/General!$C$10</f>
        <v>208.16666666666663</v>
      </c>
    </row>
    <row r="26" spans="1:15" ht="15.75" thickBot="1" x14ac:dyDescent="0.3">
      <c r="G26" s="30" t="str">
        <f>+A71</f>
        <v>MORA</v>
      </c>
      <c r="H26" s="54">
        <f>+E80+(J12*General!C11)</f>
        <v>106668.05555555556</v>
      </c>
      <c r="I26" s="189">
        <f>J26*General!$C$5</f>
        <v>984.6282051282052</v>
      </c>
      <c r="J26" s="51">
        <f>H26/General!$C$10</f>
        <v>82.052350427350433</v>
      </c>
      <c r="L26" s="227" t="str">
        <f>+G26</f>
        <v>MORA</v>
      </c>
      <c r="M26" s="201">
        <f>+E80+(O12*General!E11)</f>
        <v>181616.66666666666</v>
      </c>
      <c r="N26" s="224">
        <f>O26*General!$E$5</f>
        <v>1397.051282051282</v>
      </c>
      <c r="O26" s="225">
        <f>M26/General!$C$10</f>
        <v>139.7051282051282</v>
      </c>
    </row>
    <row r="27" spans="1:15" ht="16.5" thickBot="1" x14ac:dyDescent="0.3">
      <c r="A27" s="332" t="str">
        <f>+General!C43</f>
        <v>Fresa</v>
      </c>
      <c r="B27" s="333"/>
      <c r="C27" s="333"/>
      <c r="D27" s="333"/>
      <c r="E27" s="334"/>
    </row>
    <row r="28" spans="1:15" x14ac:dyDescent="0.25">
      <c r="A28" s="40"/>
      <c r="B28" s="41" t="s">
        <v>10</v>
      </c>
      <c r="C28" s="41" t="s">
        <v>11</v>
      </c>
      <c r="D28" s="42" t="s">
        <v>112</v>
      </c>
      <c r="E28" s="108" t="s">
        <v>113</v>
      </c>
    </row>
    <row r="29" spans="1:15" x14ac:dyDescent="0.25">
      <c r="A29" s="28" t="s">
        <v>16</v>
      </c>
      <c r="B29" s="1" t="s">
        <v>119</v>
      </c>
      <c r="C29" s="1">
        <f>+General!D45</f>
        <v>9</v>
      </c>
      <c r="D29" s="14">
        <f>+General!E45</f>
        <v>600</v>
      </c>
      <c r="E29" s="29">
        <f>+C29*D29</f>
        <v>5400</v>
      </c>
    </row>
    <row r="30" spans="1:15" x14ac:dyDescent="0.25">
      <c r="A30" s="28" t="s">
        <v>21</v>
      </c>
      <c r="B30" s="1" t="s">
        <v>22</v>
      </c>
      <c r="C30" s="1">
        <f>+General!D46</f>
        <v>0</v>
      </c>
      <c r="D30" s="14">
        <f>+General!E46</f>
        <v>3000</v>
      </c>
      <c r="E30" s="29">
        <f t="shared" ref="E30:E35" si="3">+C30*D30</f>
        <v>0</v>
      </c>
    </row>
    <row r="31" spans="1:15" x14ac:dyDescent="0.25">
      <c r="A31" s="28" t="s">
        <v>23</v>
      </c>
      <c r="B31" s="1" t="s">
        <v>17</v>
      </c>
      <c r="C31" s="1">
        <f>+General!D47</f>
        <v>20</v>
      </c>
      <c r="D31" s="14">
        <f>+General!E47</f>
        <v>2000</v>
      </c>
      <c r="E31" s="29">
        <f t="shared" si="3"/>
        <v>40000</v>
      </c>
    </row>
    <row r="32" spans="1:15" x14ac:dyDescent="0.25">
      <c r="A32" s="28" t="s">
        <v>25</v>
      </c>
      <c r="B32" s="1" t="s">
        <v>17</v>
      </c>
      <c r="C32" s="1">
        <f>+General!D48</f>
        <v>3</v>
      </c>
      <c r="D32" s="14">
        <f>+General!E48</f>
        <v>9000</v>
      </c>
      <c r="E32" s="29">
        <f>+C32*D32</f>
        <v>27000</v>
      </c>
    </row>
    <row r="33" spans="1:5" x14ac:dyDescent="0.25">
      <c r="A33" s="28" t="s">
        <v>27</v>
      </c>
      <c r="B33" s="1" t="s">
        <v>28</v>
      </c>
      <c r="C33" s="1">
        <f>+General!D49</f>
        <v>0</v>
      </c>
      <c r="D33" s="14">
        <f>+General!E49</f>
        <v>210</v>
      </c>
      <c r="E33" s="29">
        <f t="shared" si="3"/>
        <v>0</v>
      </c>
    </row>
    <row r="34" spans="1:5" x14ac:dyDescent="0.25">
      <c r="A34" s="28" t="s">
        <v>29</v>
      </c>
      <c r="B34" s="1" t="s">
        <v>30</v>
      </c>
      <c r="C34" s="1">
        <f>+General!D50</f>
        <v>12</v>
      </c>
      <c r="D34" s="14">
        <f>+General!E50</f>
        <v>500</v>
      </c>
      <c r="E34" s="29">
        <f t="shared" si="3"/>
        <v>6000</v>
      </c>
    </row>
    <row r="35" spans="1:5" x14ac:dyDescent="0.25">
      <c r="A35" s="28" t="s">
        <v>31</v>
      </c>
      <c r="B35" s="1" t="s">
        <v>32</v>
      </c>
      <c r="C35" s="1">
        <f>+General!D51</f>
        <v>0</v>
      </c>
      <c r="D35" s="14">
        <f>+General!E51</f>
        <v>2500</v>
      </c>
      <c r="E35" s="29">
        <f t="shared" si="3"/>
        <v>0</v>
      </c>
    </row>
    <row r="36" spans="1:5" ht="15.75" thickBot="1" x14ac:dyDescent="0.3">
      <c r="A36" s="338" t="s">
        <v>53</v>
      </c>
      <c r="B36" s="339"/>
      <c r="C36" s="339"/>
      <c r="D36" s="340"/>
      <c r="E36" s="59">
        <f>SUM(E29:E35)</f>
        <v>78400</v>
      </c>
    </row>
    <row r="37" spans="1:5" ht="15.75" thickBot="1" x14ac:dyDescent="0.3"/>
    <row r="38" spans="1:5" ht="16.5" thickBot="1" x14ac:dyDescent="0.3">
      <c r="A38" s="332" t="str">
        <f>+General!C53</f>
        <v>Café molido instantáneo</v>
      </c>
      <c r="B38" s="333"/>
      <c r="C38" s="333"/>
      <c r="D38" s="333"/>
      <c r="E38" s="334"/>
    </row>
    <row r="39" spans="1:5" x14ac:dyDescent="0.25">
      <c r="A39" s="40"/>
      <c r="B39" s="41" t="s">
        <v>10</v>
      </c>
      <c r="C39" s="41" t="s">
        <v>11</v>
      </c>
      <c r="D39" s="42" t="s">
        <v>112</v>
      </c>
      <c r="E39" s="108" t="s">
        <v>113</v>
      </c>
    </row>
    <row r="40" spans="1:5" x14ac:dyDescent="0.25">
      <c r="A40" s="28" t="s">
        <v>16</v>
      </c>
      <c r="B40" s="1" t="s">
        <v>120</v>
      </c>
      <c r="C40" s="1">
        <f>+General!D55</f>
        <v>4</v>
      </c>
      <c r="D40" s="14">
        <f>+General!E55</f>
        <v>7800</v>
      </c>
      <c r="E40" s="29">
        <f>+C40*D40</f>
        <v>31200</v>
      </c>
    </row>
    <row r="41" spans="1:5" x14ac:dyDescent="0.25">
      <c r="A41" s="28" t="s">
        <v>21</v>
      </c>
      <c r="B41" s="1" t="s">
        <v>22</v>
      </c>
      <c r="C41" s="1">
        <f>+General!D56</f>
        <v>0</v>
      </c>
      <c r="D41" s="14">
        <f>+General!E56</f>
        <v>3000</v>
      </c>
      <c r="E41" s="29">
        <f t="shared" ref="E41:E46" si="4">+C41*D41</f>
        <v>0</v>
      </c>
    </row>
    <row r="42" spans="1:5" x14ac:dyDescent="0.25">
      <c r="A42" s="28" t="s">
        <v>23</v>
      </c>
      <c r="B42" s="1" t="s">
        <v>17</v>
      </c>
      <c r="C42" s="1">
        <f>+General!D57</f>
        <v>18</v>
      </c>
      <c r="D42" s="14">
        <f>+General!E57</f>
        <v>3100</v>
      </c>
      <c r="E42" s="29">
        <f t="shared" si="4"/>
        <v>55800</v>
      </c>
    </row>
    <row r="43" spans="1:5" x14ac:dyDescent="0.25">
      <c r="A43" s="28" t="s">
        <v>25</v>
      </c>
      <c r="B43" s="1" t="s">
        <v>17</v>
      </c>
      <c r="C43" s="1">
        <f>+General!D58</f>
        <v>1</v>
      </c>
      <c r="D43" s="14">
        <f>+General!E58</f>
        <v>3000</v>
      </c>
      <c r="E43" s="29">
        <f t="shared" si="4"/>
        <v>3000</v>
      </c>
    </row>
    <row r="44" spans="1:5" x14ac:dyDescent="0.25">
      <c r="A44" s="28" t="s">
        <v>27</v>
      </c>
      <c r="B44" s="1" t="s">
        <v>28</v>
      </c>
      <c r="C44" s="1">
        <f>+General!D59</f>
        <v>5</v>
      </c>
      <c r="D44" s="14">
        <f>+General!E59</f>
        <v>210</v>
      </c>
      <c r="E44" s="29">
        <f t="shared" si="4"/>
        <v>1050</v>
      </c>
    </row>
    <row r="45" spans="1:5" x14ac:dyDescent="0.25">
      <c r="A45" s="28" t="s">
        <v>29</v>
      </c>
      <c r="B45" s="1" t="s">
        <v>30</v>
      </c>
      <c r="C45" s="1">
        <f>+General!D60</f>
        <v>12</v>
      </c>
      <c r="D45" s="14">
        <f>+General!E60</f>
        <v>500</v>
      </c>
      <c r="E45" s="29">
        <f t="shared" si="4"/>
        <v>6000</v>
      </c>
    </row>
    <row r="46" spans="1:5" x14ac:dyDescent="0.25">
      <c r="A46" s="28" t="s">
        <v>31</v>
      </c>
      <c r="B46" s="1" t="s">
        <v>32</v>
      </c>
      <c r="C46" s="1">
        <f>+General!D61</f>
        <v>3</v>
      </c>
      <c r="D46" s="14">
        <f>+General!E61</f>
        <v>2500</v>
      </c>
      <c r="E46" s="29">
        <f t="shared" si="4"/>
        <v>7500</v>
      </c>
    </row>
    <row r="47" spans="1:5" ht="15.75" thickBot="1" x14ac:dyDescent="0.3">
      <c r="A47" s="338" t="s">
        <v>53</v>
      </c>
      <c r="B47" s="339"/>
      <c r="C47" s="339"/>
      <c r="D47" s="340"/>
      <c r="E47" s="59">
        <f>SUM(E40:E46)</f>
        <v>104550</v>
      </c>
    </row>
    <row r="48" spans="1:5" ht="15.75" thickBot="1" x14ac:dyDescent="0.3"/>
    <row r="49" spans="1:5" ht="16.5" thickBot="1" x14ac:dyDescent="0.3">
      <c r="A49" s="332" t="str">
        <f>+General!C63</f>
        <v>Leche</v>
      </c>
      <c r="B49" s="333"/>
      <c r="C49" s="333"/>
      <c r="D49" s="333"/>
      <c r="E49" s="334"/>
    </row>
    <row r="50" spans="1:5" x14ac:dyDescent="0.25">
      <c r="A50" s="40"/>
      <c r="B50" s="41" t="s">
        <v>10</v>
      </c>
      <c r="C50" s="41" t="s">
        <v>11</v>
      </c>
      <c r="D50" s="42" t="s">
        <v>112</v>
      </c>
      <c r="E50" s="108" t="s">
        <v>113</v>
      </c>
    </row>
    <row r="51" spans="1:5" x14ac:dyDescent="0.25">
      <c r="A51" s="28" t="s">
        <v>16</v>
      </c>
      <c r="B51" s="1" t="s">
        <v>17</v>
      </c>
      <c r="C51" s="1">
        <f>General!D65</f>
        <v>0</v>
      </c>
      <c r="D51" s="14">
        <f>General!E65</f>
        <v>7800</v>
      </c>
      <c r="E51" s="29">
        <f>+C51*D51</f>
        <v>0</v>
      </c>
    </row>
    <row r="52" spans="1:5" x14ac:dyDescent="0.25">
      <c r="A52" s="28" t="s">
        <v>21</v>
      </c>
      <c r="B52" s="1" t="s">
        <v>22</v>
      </c>
      <c r="C52" s="1">
        <f>General!D66</f>
        <v>20</v>
      </c>
      <c r="D52" s="14">
        <f>+General!E66</f>
        <v>3000</v>
      </c>
      <c r="E52" s="29">
        <f>+C52*D52</f>
        <v>60000</v>
      </c>
    </row>
    <row r="53" spans="1:5" x14ac:dyDescent="0.25">
      <c r="A53" s="28" t="s">
        <v>23</v>
      </c>
      <c r="B53" s="1" t="s">
        <v>17</v>
      </c>
      <c r="C53" s="1">
        <f>General!D67</f>
        <v>12</v>
      </c>
      <c r="D53" s="14">
        <f>+General!E67</f>
        <v>3100</v>
      </c>
      <c r="E53" s="29">
        <f t="shared" ref="E53:E57" si="5">+C53*D53</f>
        <v>37200</v>
      </c>
    </row>
    <row r="54" spans="1:5" x14ac:dyDescent="0.25">
      <c r="A54" s="28" t="s">
        <v>25</v>
      </c>
      <c r="B54" s="1" t="s">
        <v>17</v>
      </c>
      <c r="C54" s="1">
        <f>General!D68</f>
        <v>1</v>
      </c>
      <c r="D54" s="14">
        <f>+General!E68</f>
        <v>3000</v>
      </c>
      <c r="E54" s="29">
        <f>+C54*D54</f>
        <v>3000</v>
      </c>
    </row>
    <row r="55" spans="1:5" x14ac:dyDescent="0.25">
      <c r="A55" s="28" t="s">
        <v>27</v>
      </c>
      <c r="B55" s="1" t="s">
        <v>28</v>
      </c>
      <c r="C55" s="1">
        <f>General!D69</f>
        <v>5</v>
      </c>
      <c r="D55" s="14">
        <f>+General!E69</f>
        <v>210</v>
      </c>
      <c r="E55" s="29">
        <f t="shared" si="5"/>
        <v>1050</v>
      </c>
    </row>
    <row r="56" spans="1:5" x14ac:dyDescent="0.25">
      <c r="A56" s="28" t="s">
        <v>29</v>
      </c>
      <c r="B56" s="1" t="s">
        <v>30</v>
      </c>
      <c r="C56" s="1">
        <f>General!D70</f>
        <v>12</v>
      </c>
      <c r="D56" s="14">
        <f>+General!E70</f>
        <v>500</v>
      </c>
      <c r="E56" s="29">
        <f t="shared" si="5"/>
        <v>6000</v>
      </c>
    </row>
    <row r="57" spans="1:5" x14ac:dyDescent="0.25">
      <c r="A57" s="28" t="s">
        <v>31</v>
      </c>
      <c r="B57" s="1" t="s">
        <v>32</v>
      </c>
      <c r="C57" s="1">
        <f>General!D71</f>
        <v>3</v>
      </c>
      <c r="D57" s="14">
        <f>+General!E71</f>
        <v>2500</v>
      </c>
      <c r="E57" s="29">
        <f t="shared" si="5"/>
        <v>7500</v>
      </c>
    </row>
    <row r="58" spans="1:5" ht="15.75" thickBot="1" x14ac:dyDescent="0.3">
      <c r="A58" s="338" t="s">
        <v>53</v>
      </c>
      <c r="B58" s="339"/>
      <c r="C58" s="339"/>
      <c r="D58" s="340"/>
      <c r="E58" s="59">
        <f>SUM(E51:E57)</f>
        <v>114750</v>
      </c>
    </row>
    <row r="59" spans="1:5" ht="15.75" thickBot="1" x14ac:dyDescent="0.3"/>
    <row r="60" spans="1:5" ht="16.5" thickBot="1" x14ac:dyDescent="0.3">
      <c r="A60" s="332" t="str">
        <f>+General!J23</f>
        <v>Apio</v>
      </c>
      <c r="B60" s="333"/>
      <c r="C60" s="333"/>
      <c r="D60" s="333"/>
      <c r="E60" s="334"/>
    </row>
    <row r="61" spans="1:5" x14ac:dyDescent="0.25">
      <c r="A61" s="107" t="s">
        <v>79</v>
      </c>
      <c r="B61" s="41" t="s">
        <v>10</v>
      </c>
      <c r="C61" s="41" t="s">
        <v>11</v>
      </c>
      <c r="D61" s="41" t="s">
        <v>84</v>
      </c>
      <c r="E61" s="108" t="s">
        <v>85</v>
      </c>
    </row>
    <row r="62" spans="1:5" x14ac:dyDescent="0.25">
      <c r="A62" s="28" t="s">
        <v>16</v>
      </c>
      <c r="B62" s="1" t="s">
        <v>17</v>
      </c>
      <c r="C62" s="1">
        <f>General!K25</f>
        <v>25</v>
      </c>
      <c r="D62" s="14">
        <f>General!L25</f>
        <v>3800</v>
      </c>
      <c r="E62" s="29">
        <f>General!M25</f>
        <v>95000</v>
      </c>
    </row>
    <row r="63" spans="1:5" x14ac:dyDescent="0.25">
      <c r="A63" s="28" t="s">
        <v>21</v>
      </c>
      <c r="B63" s="1" t="s">
        <v>22</v>
      </c>
      <c r="C63" s="1">
        <f>General!K26</f>
        <v>0</v>
      </c>
      <c r="D63" s="14">
        <f>General!L26</f>
        <v>3000</v>
      </c>
      <c r="E63" s="29">
        <f>General!M26</f>
        <v>0</v>
      </c>
    </row>
    <row r="64" spans="1:5" x14ac:dyDescent="0.25">
      <c r="A64" s="28" t="s">
        <v>23</v>
      </c>
      <c r="B64" s="1" t="s">
        <v>17</v>
      </c>
      <c r="C64" s="1">
        <f>General!K27</f>
        <v>18</v>
      </c>
      <c r="D64" s="14">
        <f>General!L27</f>
        <v>3100</v>
      </c>
      <c r="E64" s="29">
        <f>General!M27</f>
        <v>55800</v>
      </c>
    </row>
    <row r="65" spans="1:5" x14ac:dyDescent="0.25">
      <c r="A65" s="28" t="s">
        <v>25</v>
      </c>
      <c r="B65" s="1" t="s">
        <v>17</v>
      </c>
      <c r="C65" s="1">
        <f>General!K28</f>
        <v>1</v>
      </c>
      <c r="D65" s="14">
        <f>General!L28</f>
        <v>3000</v>
      </c>
      <c r="E65" s="29">
        <f>General!M28</f>
        <v>3000</v>
      </c>
    </row>
    <row r="66" spans="1:5" x14ac:dyDescent="0.25">
      <c r="A66" s="28" t="s">
        <v>27</v>
      </c>
      <c r="B66" s="1" t="s">
        <v>28</v>
      </c>
      <c r="C66" s="1">
        <f>General!K29</f>
        <v>5</v>
      </c>
      <c r="D66" s="14">
        <f>General!L29</f>
        <v>210</v>
      </c>
      <c r="E66" s="29">
        <f>General!M29</f>
        <v>1050</v>
      </c>
    </row>
    <row r="67" spans="1:5" x14ac:dyDescent="0.25">
      <c r="A67" s="28" t="s">
        <v>29</v>
      </c>
      <c r="B67" s="1" t="s">
        <v>30</v>
      </c>
      <c r="C67" s="1">
        <f>General!K30</f>
        <v>12</v>
      </c>
      <c r="D67" s="14">
        <f>General!L30</f>
        <v>500</v>
      </c>
      <c r="E67" s="29">
        <f>General!M30</f>
        <v>6000</v>
      </c>
    </row>
    <row r="68" spans="1:5" x14ac:dyDescent="0.25">
      <c r="A68" s="28" t="s">
        <v>31</v>
      </c>
      <c r="B68" s="1" t="s">
        <v>32</v>
      </c>
      <c r="C68" s="1">
        <f>General!K31</f>
        <v>3</v>
      </c>
      <c r="D68" s="14">
        <f>General!L31</f>
        <v>2500</v>
      </c>
      <c r="E68" s="29">
        <f>General!M31</f>
        <v>7500</v>
      </c>
    </row>
    <row r="69" spans="1:5" ht="15.75" thickBot="1" x14ac:dyDescent="0.3">
      <c r="A69" s="338" t="s">
        <v>53</v>
      </c>
      <c r="B69" s="339"/>
      <c r="C69" s="339"/>
      <c r="D69" s="340"/>
      <c r="E69" s="99">
        <f>SUM(E62:E68)</f>
        <v>168350</v>
      </c>
    </row>
    <row r="70" spans="1:5" ht="15.75" thickBot="1" x14ac:dyDescent="0.3"/>
    <row r="71" spans="1:5" ht="16.5" thickBot="1" x14ac:dyDescent="0.3">
      <c r="A71" s="332" t="str">
        <f>+General!J33</f>
        <v>MORA</v>
      </c>
      <c r="B71" s="333"/>
      <c r="C71" s="333"/>
      <c r="D71" s="333"/>
      <c r="E71" s="334"/>
    </row>
    <row r="72" spans="1:5" x14ac:dyDescent="0.25">
      <c r="A72" s="40"/>
      <c r="B72" s="41" t="s">
        <v>10</v>
      </c>
      <c r="C72" s="41" t="s">
        <v>11</v>
      </c>
      <c r="D72" s="42" t="s">
        <v>112</v>
      </c>
      <c r="E72" s="108" t="s">
        <v>113</v>
      </c>
    </row>
    <row r="73" spans="1:5" x14ac:dyDescent="0.25">
      <c r="A73" s="28" t="s">
        <v>16</v>
      </c>
      <c r="B73" s="1" t="s">
        <v>119</v>
      </c>
      <c r="C73" s="1">
        <f>General!K35</f>
        <v>6</v>
      </c>
      <c r="D73" s="14">
        <f>General!L35</f>
        <v>1000</v>
      </c>
      <c r="E73" s="29">
        <f>General!M35</f>
        <v>6000</v>
      </c>
    </row>
    <row r="74" spans="1:5" x14ac:dyDescent="0.25">
      <c r="A74" s="28" t="s">
        <v>21</v>
      </c>
      <c r="B74" s="1" t="s">
        <v>22</v>
      </c>
      <c r="C74" s="1">
        <f>General!K36</f>
        <v>0</v>
      </c>
      <c r="D74" s="14">
        <f>General!L36</f>
        <v>3000</v>
      </c>
      <c r="E74" s="29">
        <f>General!M36</f>
        <v>0</v>
      </c>
    </row>
    <row r="75" spans="1:5" x14ac:dyDescent="0.25">
      <c r="A75" s="28" t="s">
        <v>23</v>
      </c>
      <c r="B75" s="1" t="s">
        <v>17</v>
      </c>
      <c r="C75" s="1">
        <f>General!K37</f>
        <v>18</v>
      </c>
      <c r="D75" s="14">
        <f>General!L37</f>
        <v>3100</v>
      </c>
      <c r="E75" s="29">
        <f>General!M37</f>
        <v>55800</v>
      </c>
    </row>
    <row r="76" spans="1:5" x14ac:dyDescent="0.25">
      <c r="A76" s="28" t="s">
        <v>25</v>
      </c>
      <c r="B76" s="1" t="s">
        <v>17</v>
      </c>
      <c r="C76" s="1">
        <f>General!K38</f>
        <v>1</v>
      </c>
      <c r="D76" s="14">
        <f>General!L38</f>
        <v>3000</v>
      </c>
      <c r="E76" s="29">
        <f>General!M38</f>
        <v>3000</v>
      </c>
    </row>
    <row r="77" spans="1:5" x14ac:dyDescent="0.25">
      <c r="A77" s="28" t="s">
        <v>27</v>
      </c>
      <c r="B77" s="1" t="s">
        <v>28</v>
      </c>
      <c r="C77" s="1">
        <f>General!K39</f>
        <v>5</v>
      </c>
      <c r="D77" s="14">
        <f>General!L39</f>
        <v>210</v>
      </c>
      <c r="E77" s="29">
        <f>General!M39</f>
        <v>1050</v>
      </c>
    </row>
    <row r="78" spans="1:5" x14ac:dyDescent="0.25">
      <c r="A78" s="28" t="s">
        <v>29</v>
      </c>
      <c r="B78" s="1" t="s">
        <v>30</v>
      </c>
      <c r="C78" s="1">
        <f>General!K40</f>
        <v>12</v>
      </c>
      <c r="D78" s="14">
        <f>General!L40</f>
        <v>500</v>
      </c>
      <c r="E78" s="29">
        <f>General!M40</f>
        <v>6000</v>
      </c>
    </row>
    <row r="79" spans="1:5" x14ac:dyDescent="0.25">
      <c r="A79" s="28" t="s">
        <v>31</v>
      </c>
      <c r="B79" s="1" t="s">
        <v>32</v>
      </c>
      <c r="C79" s="1">
        <f>General!K41</f>
        <v>3</v>
      </c>
      <c r="D79" s="14">
        <f>General!L41</f>
        <v>2500</v>
      </c>
      <c r="E79" s="29">
        <f>General!M41</f>
        <v>7500</v>
      </c>
    </row>
    <row r="80" spans="1:5" ht="15.75" thickBot="1" x14ac:dyDescent="0.3">
      <c r="A80" s="338" t="s">
        <v>53</v>
      </c>
      <c r="B80" s="339"/>
      <c r="C80" s="339"/>
      <c r="D80" s="340"/>
      <c r="E80" s="59">
        <f>SUM(E73:E79)</f>
        <v>79350</v>
      </c>
    </row>
  </sheetData>
  <mergeCells count="23">
    <mergeCell ref="A60:E60"/>
    <mergeCell ref="A69:D69"/>
    <mergeCell ref="A71:E71"/>
    <mergeCell ref="A80:D80"/>
    <mergeCell ref="G2:O2"/>
    <mergeCell ref="A16:E16"/>
    <mergeCell ref="A25:D25"/>
    <mergeCell ref="A14:D14"/>
    <mergeCell ref="G5:J5"/>
    <mergeCell ref="L5:O5"/>
    <mergeCell ref="A5:E5"/>
    <mergeCell ref="A2:E2"/>
    <mergeCell ref="A58:D58"/>
    <mergeCell ref="G16:O16"/>
    <mergeCell ref="G12:I12"/>
    <mergeCell ref="L12:N12"/>
    <mergeCell ref="G18:J18"/>
    <mergeCell ref="L18:O18"/>
    <mergeCell ref="A27:E27"/>
    <mergeCell ref="A38:E38"/>
    <mergeCell ref="A49:E49"/>
    <mergeCell ref="A36:D36"/>
    <mergeCell ref="A47:D4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62E1-55F5-46FE-8D15-0A72B1EC4E62}">
  <dimension ref="A1:E32"/>
  <sheetViews>
    <sheetView zoomScaleNormal="100" workbookViewId="0">
      <selection activeCell="C4" sqref="C4"/>
    </sheetView>
  </sheetViews>
  <sheetFormatPr baseColWidth="10" defaultRowHeight="15" x14ac:dyDescent="0.25"/>
  <cols>
    <col min="1" max="1" width="31.42578125" customWidth="1"/>
    <col min="2" max="2" width="16.28515625" bestFit="1" customWidth="1"/>
    <col min="3" max="3" width="14.28515625" bestFit="1" customWidth="1"/>
    <col min="4" max="4" width="17.42578125" bestFit="1" customWidth="1"/>
    <col min="5" max="5" width="14.7109375" bestFit="1" customWidth="1"/>
    <col min="6" max="6" width="27.28515625" bestFit="1" customWidth="1"/>
    <col min="7" max="7" width="14.5703125" bestFit="1" customWidth="1"/>
    <col min="8" max="8" width="14.28515625" bestFit="1" customWidth="1"/>
    <col min="9" max="9" width="16.140625" bestFit="1" customWidth="1"/>
  </cols>
  <sheetData>
    <row r="1" spans="1:4" ht="16.5" thickBot="1" x14ac:dyDescent="0.3">
      <c r="A1" s="347" t="s">
        <v>110</v>
      </c>
      <c r="B1" s="348"/>
      <c r="C1" s="348"/>
      <c r="D1" s="349"/>
    </row>
    <row r="2" spans="1:4" ht="30" x14ac:dyDescent="0.25">
      <c r="A2" s="71" t="s">
        <v>44</v>
      </c>
      <c r="B2" s="27"/>
      <c r="C2" s="78" t="s">
        <v>111</v>
      </c>
      <c r="D2" s="79">
        <v>0.6</v>
      </c>
    </row>
    <row r="3" spans="1:4" x14ac:dyDescent="0.25">
      <c r="A3" s="28" t="s">
        <v>108</v>
      </c>
      <c r="B3" s="1" t="s">
        <v>107</v>
      </c>
      <c r="C3" s="17">
        <f>+General!D108</f>
        <v>35000</v>
      </c>
      <c r="D3" s="56">
        <f>+General!E108</f>
        <v>21000</v>
      </c>
    </row>
    <row r="4" spans="1:4" ht="15.75" thickBot="1" x14ac:dyDescent="0.3">
      <c r="A4" s="30" t="s">
        <v>109</v>
      </c>
      <c r="B4" s="31" t="s">
        <v>107</v>
      </c>
      <c r="C4" s="32">
        <f>+General!D109</f>
        <v>30000</v>
      </c>
      <c r="D4" s="58">
        <f>+General!E109</f>
        <v>18000</v>
      </c>
    </row>
    <row r="5" spans="1:4" ht="15.75" thickBot="1" x14ac:dyDescent="0.3">
      <c r="C5" s="8"/>
      <c r="D5" s="8"/>
    </row>
    <row r="6" spans="1:4" ht="30" x14ac:dyDescent="0.25">
      <c r="A6" s="71" t="s">
        <v>82</v>
      </c>
      <c r="B6" s="113" t="s">
        <v>169</v>
      </c>
      <c r="C6" s="109" t="s">
        <v>111</v>
      </c>
    </row>
    <row r="7" spans="1:4" x14ac:dyDescent="0.25">
      <c r="A7" s="28" t="s">
        <v>45</v>
      </c>
      <c r="B7" s="1" t="s">
        <v>107</v>
      </c>
      <c r="C7" s="56">
        <f>+General!F129</f>
        <v>50000</v>
      </c>
    </row>
    <row r="8" spans="1:4" x14ac:dyDescent="0.25">
      <c r="A8" s="28" t="s">
        <v>46</v>
      </c>
      <c r="B8" s="1" t="s">
        <v>172</v>
      </c>
      <c r="C8" s="56">
        <f>+General!D113</f>
        <v>130000</v>
      </c>
    </row>
    <row r="9" spans="1:4" x14ac:dyDescent="0.25">
      <c r="A9" s="28" t="s">
        <v>47</v>
      </c>
      <c r="B9" s="1" t="s">
        <v>172</v>
      </c>
      <c r="C9" s="56">
        <f>+General!D114</f>
        <v>110000</v>
      </c>
    </row>
    <row r="10" spans="1:4" x14ac:dyDescent="0.25">
      <c r="A10" s="28" t="s">
        <v>48</v>
      </c>
      <c r="B10" s="1" t="s">
        <v>175</v>
      </c>
      <c r="C10" s="56">
        <f>+General!D115</f>
        <v>150000</v>
      </c>
    </row>
    <row r="11" spans="1:4" x14ac:dyDescent="0.25">
      <c r="A11" s="28" t="s">
        <v>49</v>
      </c>
      <c r="B11" s="1" t="s">
        <v>175</v>
      </c>
      <c r="C11" s="56">
        <f>+General!D116</f>
        <v>50000</v>
      </c>
    </row>
    <row r="12" spans="1:4" x14ac:dyDescent="0.25">
      <c r="A12" s="28" t="s">
        <v>50</v>
      </c>
      <c r="B12" s="1" t="s">
        <v>107</v>
      </c>
      <c r="C12" s="56">
        <f>General!D117</f>
        <v>4000</v>
      </c>
    </row>
    <row r="13" spans="1:4" ht="15.75" thickBot="1" x14ac:dyDescent="0.3">
      <c r="A13" s="28" t="s">
        <v>128</v>
      </c>
      <c r="B13" s="1" t="s">
        <v>6</v>
      </c>
      <c r="C13" s="29">
        <f>+General!D118</f>
        <v>4000</v>
      </c>
    </row>
    <row r="14" spans="1:4" ht="15.75" thickBot="1" x14ac:dyDescent="0.3">
      <c r="A14" s="30" t="s">
        <v>7</v>
      </c>
      <c r="B14" s="31" t="s">
        <v>149</v>
      </c>
      <c r="C14" s="110">
        <f>+General!D119</f>
        <v>6400</v>
      </c>
      <c r="D14" s="120" t="s">
        <v>9</v>
      </c>
    </row>
    <row r="16" spans="1:4" ht="15.75" thickBot="1" x14ac:dyDescent="0.3"/>
    <row r="17" spans="1:5" x14ac:dyDescent="0.25">
      <c r="A17" s="26" t="s">
        <v>33</v>
      </c>
      <c r="B17" s="67" t="s">
        <v>1</v>
      </c>
      <c r="C17" s="67" t="s">
        <v>132</v>
      </c>
      <c r="D17" s="67" t="s">
        <v>133</v>
      </c>
      <c r="E17" s="68" t="s">
        <v>134</v>
      </c>
    </row>
    <row r="18" spans="1:5" ht="15.75" thickBot="1" x14ac:dyDescent="0.3">
      <c r="A18" s="35" t="s">
        <v>0</v>
      </c>
      <c r="B18" s="47">
        <f>+General!C10</f>
        <v>1300</v>
      </c>
      <c r="C18" s="47">
        <f>+'Mano de obra'!A37</f>
        <v>0.8</v>
      </c>
      <c r="D18" s="47">
        <f>+B18*C18</f>
        <v>1040</v>
      </c>
      <c r="E18" s="48">
        <f>+D18*'Mano de obra'!C22</f>
        <v>27040</v>
      </c>
    </row>
    <row r="19" spans="1:5" ht="15.75" thickBot="1" x14ac:dyDescent="0.3">
      <c r="A19" s="69"/>
      <c r="B19" s="70"/>
      <c r="C19" s="70"/>
    </row>
    <row r="20" spans="1:5" x14ac:dyDescent="0.25">
      <c r="A20" s="71" t="s">
        <v>44</v>
      </c>
      <c r="B20" s="72"/>
      <c r="C20" s="73">
        <v>0.6</v>
      </c>
      <c r="D20" s="74" t="s">
        <v>135</v>
      </c>
    </row>
    <row r="21" spans="1:5" x14ac:dyDescent="0.25">
      <c r="A21" s="28" t="s">
        <v>108</v>
      </c>
      <c r="B21" s="1" t="s">
        <v>107</v>
      </c>
      <c r="C21" s="5">
        <f>+General!E108</f>
        <v>21000</v>
      </c>
      <c r="D21" s="50">
        <f>+C21/E18</f>
        <v>0.77662721893491127</v>
      </c>
    </row>
    <row r="22" spans="1:5" x14ac:dyDescent="0.25">
      <c r="A22" s="28" t="s">
        <v>109</v>
      </c>
      <c r="B22" s="1" t="s">
        <v>107</v>
      </c>
      <c r="C22" s="5">
        <f>+General!E109</f>
        <v>18000</v>
      </c>
      <c r="D22" s="50">
        <f>+C22/E18</f>
        <v>0.66568047337278102</v>
      </c>
    </row>
    <row r="23" spans="1:5" x14ac:dyDescent="0.25">
      <c r="A23" s="75" t="s">
        <v>82</v>
      </c>
      <c r="B23" s="3"/>
      <c r="C23" s="20">
        <v>0.6</v>
      </c>
      <c r="D23" s="76" t="s">
        <v>135</v>
      </c>
    </row>
    <row r="24" spans="1:5" x14ac:dyDescent="0.25">
      <c r="A24" s="28" t="s">
        <v>45</v>
      </c>
      <c r="B24" s="1" t="s">
        <v>107</v>
      </c>
      <c r="C24" s="5">
        <f>+C7</f>
        <v>50000</v>
      </c>
      <c r="D24" s="50">
        <f>+C24/$E$18</f>
        <v>1.849112426035503</v>
      </c>
    </row>
    <row r="25" spans="1:5" x14ac:dyDescent="0.25">
      <c r="A25" s="28" t="s">
        <v>46</v>
      </c>
      <c r="B25" s="1" t="s">
        <v>172</v>
      </c>
      <c r="C25" s="5">
        <f>+C8/12</f>
        <v>10833.333333333334</v>
      </c>
      <c r="D25" s="50">
        <f t="shared" ref="D25:D28" si="0">+C25/$E$18</f>
        <v>0.40064102564102566</v>
      </c>
    </row>
    <row r="26" spans="1:5" x14ac:dyDescent="0.25">
      <c r="A26" s="28" t="s">
        <v>47</v>
      </c>
      <c r="B26" s="1" t="s">
        <v>172</v>
      </c>
      <c r="C26" s="5">
        <f>+C9/12</f>
        <v>9166.6666666666661</v>
      </c>
      <c r="D26" s="50">
        <f>+C26/$E$18</f>
        <v>0.33900394477317553</v>
      </c>
    </row>
    <row r="27" spans="1:5" x14ac:dyDescent="0.25">
      <c r="A27" s="28" t="s">
        <v>48</v>
      </c>
      <c r="B27" s="1" t="s">
        <v>175</v>
      </c>
      <c r="C27" s="5">
        <f>+C10/4</f>
        <v>37500</v>
      </c>
      <c r="D27" s="50">
        <f>+C27/$E$18</f>
        <v>1.3868343195266273</v>
      </c>
    </row>
    <row r="28" spans="1:5" x14ac:dyDescent="0.25">
      <c r="A28" s="28" t="s">
        <v>176</v>
      </c>
      <c r="B28" s="1" t="s">
        <v>175</v>
      </c>
      <c r="C28" s="5">
        <f>+C11/4</f>
        <v>12500</v>
      </c>
      <c r="D28" s="50">
        <f t="shared" si="0"/>
        <v>0.46227810650887574</v>
      </c>
    </row>
    <row r="29" spans="1:5" x14ac:dyDescent="0.25">
      <c r="A29" s="28" t="s">
        <v>50</v>
      </c>
      <c r="B29" s="1" t="s">
        <v>107</v>
      </c>
      <c r="C29" s="5">
        <f>+C12</f>
        <v>4000</v>
      </c>
      <c r="D29" s="50">
        <f>+C29/$E$18</f>
        <v>0.14792899408284024</v>
      </c>
    </row>
    <row r="30" spans="1:5" x14ac:dyDescent="0.25">
      <c r="A30" s="28" t="s">
        <v>128</v>
      </c>
      <c r="B30" s="1" t="s">
        <v>6</v>
      </c>
      <c r="C30" s="14">
        <f>+General!D118</f>
        <v>4000</v>
      </c>
      <c r="D30" s="50">
        <f>+C30/$E$18</f>
        <v>0.14792899408284024</v>
      </c>
    </row>
    <row r="31" spans="1:5" ht="15.75" thickBot="1" x14ac:dyDescent="0.3">
      <c r="A31" s="30" t="s">
        <v>7</v>
      </c>
      <c r="B31" s="31" t="s">
        <v>149</v>
      </c>
      <c r="C31" s="52">
        <f>+General!D119</f>
        <v>6400</v>
      </c>
      <c r="D31" s="51">
        <f>+C31/$E$18</f>
        <v>0.23668639053254437</v>
      </c>
    </row>
    <row r="32" spans="1:5" ht="15.75" thickBot="1" x14ac:dyDescent="0.3">
      <c r="A32" s="345" t="s">
        <v>182</v>
      </c>
      <c r="B32" s="346"/>
      <c r="C32" s="346"/>
      <c r="D32" s="119">
        <f>+D21+D22+D24+D25+D26+D27+D28+D29+D30+D31</f>
        <v>6.412721893491125</v>
      </c>
    </row>
  </sheetData>
  <mergeCells count="2">
    <mergeCell ref="A32:C32"/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6293-6877-473D-A996-D009A2A4836D}">
  <dimension ref="A1:I37"/>
  <sheetViews>
    <sheetView workbookViewId="0">
      <selection activeCell="C3" sqref="C3"/>
    </sheetView>
  </sheetViews>
  <sheetFormatPr baseColWidth="10" defaultRowHeight="15" x14ac:dyDescent="0.25"/>
  <cols>
    <col min="1" max="1" width="13.7109375" bestFit="1" customWidth="1"/>
    <col min="2" max="2" width="22.7109375" bestFit="1" customWidth="1"/>
    <col min="3" max="3" width="25.7109375" bestFit="1" customWidth="1"/>
    <col min="5" max="5" width="22.7109375" bestFit="1" customWidth="1"/>
    <col min="6" max="6" width="20.28515625" bestFit="1" customWidth="1"/>
    <col min="7" max="7" width="25.7109375" bestFit="1" customWidth="1"/>
    <col min="8" max="8" width="13.7109375" bestFit="1" customWidth="1"/>
    <col min="9" max="9" width="14.7109375" bestFit="1" customWidth="1"/>
  </cols>
  <sheetData>
    <row r="1" spans="1:9" ht="16.5" thickBot="1" x14ac:dyDescent="0.3">
      <c r="A1" s="332" t="s">
        <v>152</v>
      </c>
      <c r="B1" s="333"/>
      <c r="C1" s="334"/>
      <c r="D1" s="21"/>
      <c r="E1" s="21"/>
      <c r="F1" s="21"/>
      <c r="G1" s="21"/>
      <c r="H1" s="21"/>
      <c r="I1" s="21"/>
    </row>
    <row r="2" spans="1:9" s="21" customFormat="1" ht="16.5" thickBot="1" x14ac:dyDescent="0.3">
      <c r="A2" s="111"/>
      <c r="B2" s="111"/>
      <c r="C2" s="111"/>
    </row>
    <row r="3" spans="1:9" x14ac:dyDescent="0.25">
      <c r="A3" s="235" t="s">
        <v>88</v>
      </c>
      <c r="B3" s="234">
        <f>+General!C132</f>
        <v>60000000</v>
      </c>
      <c r="C3" s="236" t="s">
        <v>89</v>
      </c>
      <c r="E3" s="82" t="s">
        <v>33</v>
      </c>
      <c r="F3" s="86" t="s">
        <v>1</v>
      </c>
      <c r="G3" s="86" t="s">
        <v>132</v>
      </c>
      <c r="H3" s="86" t="s">
        <v>133</v>
      </c>
      <c r="I3" s="87" t="s">
        <v>134</v>
      </c>
    </row>
    <row r="4" spans="1:9" ht="15.75" thickBot="1" x14ac:dyDescent="0.3">
      <c r="A4" s="10" t="s">
        <v>90</v>
      </c>
      <c r="B4" s="11" t="s">
        <v>91</v>
      </c>
      <c r="E4" s="77" t="s">
        <v>0</v>
      </c>
      <c r="F4" s="47">
        <f>+General!C10</f>
        <v>1300</v>
      </c>
      <c r="G4" s="47">
        <f>+'Mano de obra'!A37</f>
        <v>0.8</v>
      </c>
      <c r="H4" s="47">
        <f>+F4*G4</f>
        <v>1040</v>
      </c>
      <c r="I4" s="48">
        <f>+H4*'Mano de obra'!C22</f>
        <v>27040</v>
      </c>
    </row>
    <row r="5" spans="1:9" ht="16.5" thickBot="1" x14ac:dyDescent="0.3">
      <c r="A5" s="351" t="s">
        <v>89</v>
      </c>
      <c r="B5" s="352"/>
      <c r="C5" s="353"/>
      <c r="E5" s="350"/>
      <c r="F5" s="350"/>
    </row>
    <row r="6" spans="1:9" x14ac:dyDescent="0.25">
      <c r="A6" s="75" t="s">
        <v>93</v>
      </c>
      <c r="B6" s="18" t="s">
        <v>105</v>
      </c>
      <c r="C6" s="81" t="s">
        <v>106</v>
      </c>
      <c r="D6" s="12"/>
      <c r="E6" s="82" t="s">
        <v>146</v>
      </c>
      <c r="F6" s="83" t="s">
        <v>161</v>
      </c>
    </row>
    <row r="7" spans="1:9" ht="15.75" thickBot="1" x14ac:dyDescent="0.3">
      <c r="A7" s="55">
        <v>1</v>
      </c>
      <c r="B7" s="14">
        <f>+General!$C$133</f>
        <v>3000000</v>
      </c>
      <c r="C7" s="29">
        <f>+B7</f>
        <v>3000000</v>
      </c>
      <c r="E7" s="84">
        <f>+B7/12</f>
        <v>250000</v>
      </c>
      <c r="F7" s="85">
        <f>+E7/I4</f>
        <v>9.2455621301775146</v>
      </c>
    </row>
    <row r="8" spans="1:9" x14ac:dyDescent="0.25">
      <c r="A8" s="55">
        <f>1+A7</f>
        <v>2</v>
      </c>
      <c r="B8" s="14">
        <f>+General!$C$133</f>
        <v>3000000</v>
      </c>
      <c r="C8" s="56">
        <f>+C7+B8</f>
        <v>6000000</v>
      </c>
    </row>
    <row r="9" spans="1:9" ht="15.75" thickBot="1" x14ac:dyDescent="0.3">
      <c r="A9" s="55">
        <f t="shared" ref="A9:A25" si="0">1+A8</f>
        <v>3</v>
      </c>
      <c r="B9" s="14">
        <f>+General!$C$133</f>
        <v>3000000</v>
      </c>
      <c r="C9" s="56">
        <f t="shared" ref="C9:C25" si="1">+C8+B9</f>
        <v>9000000</v>
      </c>
    </row>
    <row r="10" spans="1:9" x14ac:dyDescent="0.25">
      <c r="A10" s="55">
        <f t="shared" si="0"/>
        <v>4</v>
      </c>
      <c r="B10" s="14">
        <f>+General!$C$133</f>
        <v>3000000</v>
      </c>
      <c r="C10" s="56">
        <f t="shared" si="1"/>
        <v>12000000</v>
      </c>
      <c r="E10" s="82" t="s">
        <v>147</v>
      </c>
      <c r="F10" s="83" t="s">
        <v>161</v>
      </c>
    </row>
    <row r="11" spans="1:9" ht="15.75" thickBot="1" x14ac:dyDescent="0.3">
      <c r="A11" s="55">
        <f t="shared" si="0"/>
        <v>5</v>
      </c>
      <c r="B11" s="14">
        <f>+General!$C$133</f>
        <v>3000000</v>
      </c>
      <c r="C11" s="56">
        <f t="shared" si="1"/>
        <v>15000000</v>
      </c>
      <c r="E11" s="84">
        <f>+B33</f>
        <v>240000</v>
      </c>
      <c r="F11" s="85">
        <f>+E11/I4</f>
        <v>8.8757396449704142</v>
      </c>
    </row>
    <row r="12" spans="1:9" ht="15.75" thickBot="1" x14ac:dyDescent="0.3">
      <c r="A12" s="55">
        <f t="shared" si="0"/>
        <v>6</v>
      </c>
      <c r="B12" s="14">
        <f>+General!$C$133</f>
        <v>3000000</v>
      </c>
      <c r="C12" s="56">
        <f t="shared" si="1"/>
        <v>18000000</v>
      </c>
    </row>
    <row r="13" spans="1:9" x14ac:dyDescent="0.25">
      <c r="A13" s="55">
        <f t="shared" si="0"/>
        <v>7</v>
      </c>
      <c r="B13" s="14">
        <f>+General!$C$133</f>
        <v>3000000</v>
      </c>
      <c r="C13" s="56">
        <f t="shared" si="1"/>
        <v>21000000</v>
      </c>
      <c r="E13" s="82" t="s">
        <v>148</v>
      </c>
      <c r="F13" s="83" t="s">
        <v>161</v>
      </c>
    </row>
    <row r="14" spans="1:9" ht="15.75" thickBot="1" x14ac:dyDescent="0.3">
      <c r="A14" s="55">
        <f t="shared" si="0"/>
        <v>8</v>
      </c>
      <c r="B14" s="14">
        <f>+General!$C$133</f>
        <v>3000000</v>
      </c>
      <c r="C14" s="56">
        <f t="shared" si="1"/>
        <v>24000000</v>
      </c>
      <c r="E14" s="84">
        <f>+F33</f>
        <v>233333.33333333334</v>
      </c>
      <c r="F14" s="85">
        <f>+E14/I4</f>
        <v>8.6291913214990146</v>
      </c>
    </row>
    <row r="15" spans="1:9" x14ac:dyDescent="0.25">
      <c r="A15" s="55">
        <f t="shared" si="0"/>
        <v>9</v>
      </c>
      <c r="B15" s="14">
        <f>+General!$C$133</f>
        <v>3000000</v>
      </c>
      <c r="C15" s="56">
        <f t="shared" si="1"/>
        <v>27000000</v>
      </c>
    </row>
    <row r="16" spans="1:9" x14ac:dyDescent="0.25">
      <c r="A16" s="55">
        <f t="shared" si="0"/>
        <v>10</v>
      </c>
      <c r="B16" s="14">
        <f>+General!$C$133</f>
        <v>3000000</v>
      </c>
      <c r="C16" s="56">
        <f t="shared" si="1"/>
        <v>30000000</v>
      </c>
    </row>
    <row r="17" spans="1:7" x14ac:dyDescent="0.25">
      <c r="A17" s="55">
        <f t="shared" si="0"/>
        <v>11</v>
      </c>
      <c r="B17" s="14">
        <f>+General!$C$133</f>
        <v>3000000</v>
      </c>
      <c r="C17" s="56">
        <f t="shared" si="1"/>
        <v>33000000</v>
      </c>
    </row>
    <row r="18" spans="1:7" x14ac:dyDescent="0.25">
      <c r="A18" s="55">
        <f t="shared" si="0"/>
        <v>12</v>
      </c>
      <c r="B18" s="14">
        <f>+General!$C$133</f>
        <v>3000000</v>
      </c>
      <c r="C18" s="56">
        <f t="shared" si="1"/>
        <v>36000000</v>
      </c>
    </row>
    <row r="19" spans="1:7" x14ac:dyDescent="0.25">
      <c r="A19" s="55">
        <f t="shared" si="0"/>
        <v>13</v>
      </c>
      <c r="B19" s="14">
        <f>+General!$C$133</f>
        <v>3000000</v>
      </c>
      <c r="C19" s="56">
        <f t="shared" si="1"/>
        <v>39000000</v>
      </c>
    </row>
    <row r="20" spans="1:7" x14ac:dyDescent="0.25">
      <c r="A20" s="55">
        <f t="shared" si="0"/>
        <v>14</v>
      </c>
      <c r="B20" s="14">
        <f>+General!$C$133</f>
        <v>3000000</v>
      </c>
      <c r="C20" s="56">
        <f t="shared" si="1"/>
        <v>42000000</v>
      </c>
    </row>
    <row r="21" spans="1:7" x14ac:dyDescent="0.25">
      <c r="A21" s="55">
        <f t="shared" si="0"/>
        <v>15</v>
      </c>
      <c r="B21" s="14">
        <f>+General!$C$133</f>
        <v>3000000</v>
      </c>
      <c r="C21" s="56">
        <f t="shared" si="1"/>
        <v>45000000</v>
      </c>
    </row>
    <row r="22" spans="1:7" x14ac:dyDescent="0.25">
      <c r="A22" s="55">
        <f t="shared" si="0"/>
        <v>16</v>
      </c>
      <c r="B22" s="14">
        <f>+General!$C$133</f>
        <v>3000000</v>
      </c>
      <c r="C22" s="56">
        <f t="shared" si="1"/>
        <v>48000000</v>
      </c>
    </row>
    <row r="23" spans="1:7" x14ac:dyDescent="0.25">
      <c r="A23" s="55">
        <f t="shared" si="0"/>
        <v>17</v>
      </c>
      <c r="B23" s="14">
        <f>+General!$C$133</f>
        <v>3000000</v>
      </c>
      <c r="C23" s="56">
        <f t="shared" si="1"/>
        <v>51000000</v>
      </c>
    </row>
    <row r="24" spans="1:7" x14ac:dyDescent="0.25">
      <c r="A24" s="55">
        <f>1+A23</f>
        <v>18</v>
      </c>
      <c r="B24" s="14">
        <f>+General!$C$133</f>
        <v>3000000</v>
      </c>
      <c r="C24" s="56">
        <f t="shared" si="1"/>
        <v>54000000</v>
      </c>
    </row>
    <row r="25" spans="1:7" x14ac:dyDescent="0.25">
      <c r="A25" s="55">
        <f t="shared" si="0"/>
        <v>19</v>
      </c>
      <c r="B25" s="14">
        <f>+General!$C$133</f>
        <v>3000000</v>
      </c>
      <c r="C25" s="56">
        <f t="shared" si="1"/>
        <v>57000000</v>
      </c>
    </row>
    <row r="26" spans="1:7" ht="15.75" thickBot="1" x14ac:dyDescent="0.3">
      <c r="A26" s="57">
        <f>1+A25</f>
        <v>20</v>
      </c>
      <c r="B26" s="52">
        <f>+General!$C$133</f>
        <v>3000000</v>
      </c>
      <c r="C26" s="59">
        <f>+C25+B26</f>
        <v>60000000</v>
      </c>
    </row>
    <row r="28" spans="1:7" x14ac:dyDescent="0.25">
      <c r="A28" s="9" t="s">
        <v>88</v>
      </c>
      <c r="B28" s="234">
        <f>+General!C135</f>
        <v>1200000</v>
      </c>
      <c r="C28" t="s">
        <v>142</v>
      </c>
      <c r="E28" s="9" t="s">
        <v>88</v>
      </c>
      <c r="F28" s="234">
        <f>+General!C138</f>
        <v>700000</v>
      </c>
      <c r="G28" t="s">
        <v>144</v>
      </c>
    </row>
    <row r="29" spans="1:7" x14ac:dyDescent="0.25">
      <c r="A29" s="10" t="s">
        <v>90</v>
      </c>
      <c r="B29" s="11" t="s">
        <v>143</v>
      </c>
      <c r="E29" s="10" t="s">
        <v>90</v>
      </c>
      <c r="F29" s="11" t="s">
        <v>145</v>
      </c>
    </row>
    <row r="30" spans="1:7" ht="15.75" thickBot="1" x14ac:dyDescent="0.3"/>
    <row r="31" spans="1:7" x14ac:dyDescent="0.25">
      <c r="A31" s="354" t="s">
        <v>142</v>
      </c>
      <c r="B31" s="355"/>
      <c r="C31" s="356"/>
      <c r="E31" s="354" t="s">
        <v>144</v>
      </c>
      <c r="F31" s="355"/>
      <c r="G31" s="356"/>
    </row>
    <row r="32" spans="1:7" x14ac:dyDescent="0.25">
      <c r="A32" s="75" t="s">
        <v>93</v>
      </c>
      <c r="B32" s="18" t="s">
        <v>105</v>
      </c>
      <c r="C32" s="81" t="s">
        <v>106</v>
      </c>
      <c r="E32" s="75" t="s">
        <v>93</v>
      </c>
      <c r="F32" s="18" t="s">
        <v>105</v>
      </c>
      <c r="G32" s="81" t="s">
        <v>106</v>
      </c>
    </row>
    <row r="33" spans="1:7" x14ac:dyDescent="0.25">
      <c r="A33" s="55">
        <v>1</v>
      </c>
      <c r="B33" s="14">
        <f>+General!$C$136</f>
        <v>240000</v>
      </c>
      <c r="C33" s="29">
        <f>+B33</f>
        <v>240000</v>
      </c>
      <c r="E33" s="55">
        <v>1</v>
      </c>
      <c r="F33" s="14">
        <f>+General!$C$139</f>
        <v>233333.33333333334</v>
      </c>
      <c r="G33" s="29">
        <f>+F33</f>
        <v>233333.33333333334</v>
      </c>
    </row>
    <row r="34" spans="1:7" x14ac:dyDescent="0.25">
      <c r="A34" s="55">
        <f>1+A33</f>
        <v>2</v>
      </c>
      <c r="B34" s="14">
        <f>+General!$C$136</f>
        <v>240000</v>
      </c>
      <c r="C34" s="56">
        <f>+C33+B34</f>
        <v>480000</v>
      </c>
      <c r="E34" s="55">
        <f>1+E33</f>
        <v>2</v>
      </c>
      <c r="F34" s="14">
        <f>+General!$C$139</f>
        <v>233333.33333333334</v>
      </c>
      <c r="G34" s="56">
        <f>+G33+F34</f>
        <v>466666.66666666669</v>
      </c>
    </row>
    <row r="35" spans="1:7" ht="15.75" thickBot="1" x14ac:dyDescent="0.3">
      <c r="A35" s="55">
        <f t="shared" ref="A35:A37" si="2">1+A34</f>
        <v>3</v>
      </c>
      <c r="B35" s="14">
        <f>+General!$C$136</f>
        <v>240000</v>
      </c>
      <c r="C35" s="56">
        <f t="shared" ref="C35:C37" si="3">+C34+B35</f>
        <v>720000</v>
      </c>
      <c r="E35" s="57">
        <f t="shared" ref="E35" si="4">1+E34</f>
        <v>3</v>
      </c>
      <c r="F35" s="52">
        <f>+General!$C$139</f>
        <v>233333.33333333334</v>
      </c>
      <c r="G35" s="58">
        <f t="shared" ref="G35" si="5">+G34+F35</f>
        <v>700000</v>
      </c>
    </row>
    <row r="36" spans="1:7" x14ac:dyDescent="0.25">
      <c r="A36" s="55">
        <f t="shared" si="2"/>
        <v>4</v>
      </c>
      <c r="B36" s="14">
        <f>+General!$C$136</f>
        <v>240000</v>
      </c>
      <c r="C36" s="56">
        <f t="shared" si="3"/>
        <v>960000</v>
      </c>
    </row>
    <row r="37" spans="1:7" ht="15.75" thickBot="1" x14ac:dyDescent="0.3">
      <c r="A37" s="57">
        <f t="shared" si="2"/>
        <v>5</v>
      </c>
      <c r="B37" s="52">
        <f>+General!$C$136</f>
        <v>240000</v>
      </c>
      <c r="C37" s="58">
        <f t="shared" si="3"/>
        <v>1200000</v>
      </c>
    </row>
  </sheetData>
  <mergeCells count="5">
    <mergeCell ref="E5:F5"/>
    <mergeCell ref="A5:C5"/>
    <mergeCell ref="A31:C31"/>
    <mergeCell ref="E31:G31"/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73F5-4250-4037-8D98-4670692716B5}">
  <dimension ref="A1:M49"/>
  <sheetViews>
    <sheetView workbookViewId="0">
      <selection activeCell="G2" sqref="G2"/>
    </sheetView>
  </sheetViews>
  <sheetFormatPr baseColWidth="10" defaultRowHeight="15" x14ac:dyDescent="0.25"/>
  <cols>
    <col min="1" max="1" width="32.28515625" bestFit="1" customWidth="1"/>
    <col min="2" max="2" width="13" bestFit="1" customWidth="1"/>
    <col min="3" max="3" width="13.7109375" bestFit="1" customWidth="1"/>
    <col min="4" max="4" width="16.7109375" bestFit="1" customWidth="1"/>
    <col min="5" max="5" width="6.7109375" customWidth="1"/>
    <col min="6" max="6" width="32.28515625" style="207" bestFit="1" customWidth="1"/>
    <col min="7" max="7" width="13" style="207" bestFit="1" customWidth="1"/>
    <col min="8" max="8" width="14.28515625" style="207" bestFit="1" customWidth="1"/>
    <col min="9" max="9" width="12" style="207" bestFit="1" customWidth="1"/>
    <col min="10" max="10" width="11.42578125" style="207"/>
  </cols>
  <sheetData>
    <row r="1" spans="1:13" ht="19.5" thickBot="1" x14ac:dyDescent="0.35">
      <c r="A1" s="357" t="s">
        <v>162</v>
      </c>
      <c r="B1" s="358"/>
      <c r="C1" s="358"/>
      <c r="D1" s="358"/>
      <c r="E1" s="358"/>
      <c r="F1" s="358"/>
      <c r="G1" s="358"/>
      <c r="H1" s="358"/>
      <c r="I1" s="359"/>
    </row>
    <row r="2" spans="1:13" x14ac:dyDescent="0.25">
      <c r="A2" s="71" t="str">
        <f>+General!C23</f>
        <v>Guayaba</v>
      </c>
      <c r="B2" s="88" t="str">
        <f>+General!D5</f>
        <v>Estándar x 12</v>
      </c>
      <c r="C2" s="121" t="s">
        <v>124</v>
      </c>
      <c r="D2" s="90" t="s">
        <v>183</v>
      </c>
      <c r="F2" s="196" t="str">
        <f>+A2</f>
        <v>Guayaba</v>
      </c>
      <c r="G2" s="197" t="str">
        <f>+General!F5</f>
        <v>Especial x 10</v>
      </c>
      <c r="H2" s="198" t="s">
        <v>124</v>
      </c>
      <c r="I2" s="199" t="s">
        <v>183</v>
      </c>
    </row>
    <row r="3" spans="1:13" x14ac:dyDescent="0.25">
      <c r="A3" s="91" t="s">
        <v>125</v>
      </c>
      <c r="B3" s="5">
        <f>+'Materia prima'!H20</f>
        <v>195668.05555555556</v>
      </c>
      <c r="C3" s="122">
        <f>+'Materia prima'!J20</f>
        <v>150.51388888888889</v>
      </c>
      <c r="D3" s="80">
        <f>+C3*General!D89</f>
        <v>1806.1666666666665</v>
      </c>
      <c r="F3" s="200" t="s">
        <v>125</v>
      </c>
      <c r="G3" s="201">
        <f>+'Materia prima'!M20</f>
        <v>270616.66666666663</v>
      </c>
      <c r="H3" s="201">
        <f>+'Materia prima'!O20</f>
        <v>208.16666666666663</v>
      </c>
      <c r="I3" s="202">
        <f>+H3*General!D98</f>
        <v>2081.6666666666661</v>
      </c>
    </row>
    <row r="4" spans="1:13" x14ac:dyDescent="0.25">
      <c r="A4" s="91" t="s">
        <v>126</v>
      </c>
      <c r="B4" s="1"/>
      <c r="C4" s="122">
        <f>+'Mano de obra'!C33</f>
        <v>52.124497041420121</v>
      </c>
      <c r="D4" s="80">
        <f>+C4*General!D89</f>
        <v>625.49396449704147</v>
      </c>
      <c r="F4" s="200" t="s">
        <v>126</v>
      </c>
      <c r="G4" s="203"/>
      <c r="H4" s="201">
        <f>+'Mano de obra'!C34</f>
        <v>65.155621301775142</v>
      </c>
      <c r="I4" s="202">
        <f>+H4*General!D98</f>
        <v>651.55621301775136</v>
      </c>
      <c r="L4" s="8"/>
      <c r="M4" s="8"/>
    </row>
    <row r="5" spans="1:13" x14ac:dyDescent="0.25">
      <c r="A5" s="91" t="s">
        <v>127</v>
      </c>
      <c r="B5" s="1"/>
      <c r="C5" s="123">
        <f>+Depreciacion!F7+Depreciacion!F11+Depreciacion!F14</f>
        <v>26.750493096646942</v>
      </c>
      <c r="D5" s="80">
        <f>+C5*General!D89</f>
        <v>321.00591715976327</v>
      </c>
      <c r="F5" s="200" t="s">
        <v>127</v>
      </c>
      <c r="G5" s="203"/>
      <c r="H5" s="204">
        <f>+Depreciacion!F7+Depreciacion!F11+Depreciacion!F14</f>
        <v>26.750493096646942</v>
      </c>
      <c r="I5" s="202">
        <f>+H5*General!D98</f>
        <v>267.50493096646943</v>
      </c>
      <c r="L5" s="8"/>
      <c r="M5" s="8"/>
    </row>
    <row r="6" spans="1:13" x14ac:dyDescent="0.25">
      <c r="A6" s="91" t="s">
        <v>82</v>
      </c>
      <c r="B6" s="1"/>
      <c r="C6" s="122">
        <f>+GIF!D32</f>
        <v>6.412721893491125</v>
      </c>
      <c r="D6" s="80">
        <f>+C6*General!D89</f>
        <v>76.952662721893503</v>
      </c>
      <c r="F6" s="200" t="s">
        <v>82</v>
      </c>
      <c r="G6" s="203"/>
      <c r="H6" s="201">
        <f>+GIF!D32</f>
        <v>6.412721893491125</v>
      </c>
      <c r="I6" s="202">
        <f>+H6*General!D98</f>
        <v>64.127218934911255</v>
      </c>
    </row>
    <row r="7" spans="1:13" ht="15.75" thickBot="1" x14ac:dyDescent="0.3">
      <c r="A7" s="360" t="s">
        <v>92</v>
      </c>
      <c r="B7" s="361"/>
      <c r="C7" s="124">
        <f>SUM(C3:C6)</f>
        <v>235.80160092044707</v>
      </c>
      <c r="D7" s="92">
        <f>SUM(D3:D6)</f>
        <v>2829.6192110453644</v>
      </c>
      <c r="F7" s="362" t="s">
        <v>92</v>
      </c>
      <c r="G7" s="363"/>
      <c r="H7" s="205">
        <f>SUM(H3:H6)</f>
        <v>306.48550295857984</v>
      </c>
      <c r="I7" s="206">
        <f>SUM(I3:I6)</f>
        <v>3064.8550295857981</v>
      </c>
    </row>
    <row r="8" spans="1:13" ht="15.75" thickBot="1" x14ac:dyDescent="0.3"/>
    <row r="9" spans="1:13" x14ac:dyDescent="0.25">
      <c r="A9" s="71" t="str">
        <f>+General!C33</f>
        <v>Mandarina</v>
      </c>
      <c r="B9" s="88" t="str">
        <f>+B2</f>
        <v>Estándar x 12</v>
      </c>
      <c r="C9" s="89" t="s">
        <v>124</v>
      </c>
      <c r="D9" s="90" t="s">
        <v>183</v>
      </c>
      <c r="F9" s="196" t="str">
        <f>+A9</f>
        <v>Mandarina</v>
      </c>
      <c r="G9" s="197" t="str">
        <f>+G2</f>
        <v>Especial x 10</v>
      </c>
      <c r="H9" s="198" t="s">
        <v>124</v>
      </c>
      <c r="I9" s="199" t="s">
        <v>183</v>
      </c>
    </row>
    <row r="10" spans="1:13" x14ac:dyDescent="0.25">
      <c r="A10" s="91" t="s">
        <v>125</v>
      </c>
      <c r="B10" s="5">
        <f>+'Materia prima'!H21</f>
        <v>119668.05555555556</v>
      </c>
      <c r="C10" s="5">
        <f>+'Materia prima'!J21</f>
        <v>92.052350427350433</v>
      </c>
      <c r="D10" s="80">
        <f>+C10*General!D89</f>
        <v>1104.6282051282051</v>
      </c>
      <c r="F10" s="200" t="s">
        <v>125</v>
      </c>
      <c r="G10" s="201">
        <f>+'Materia prima'!M21</f>
        <v>194616.66666666666</v>
      </c>
      <c r="H10" s="201">
        <f>+'Materia prima'!O21</f>
        <v>149.7051282051282</v>
      </c>
      <c r="I10" s="202">
        <f>+H10*General!D98</f>
        <v>1497.051282051282</v>
      </c>
    </row>
    <row r="11" spans="1:13" x14ac:dyDescent="0.25">
      <c r="A11" s="91" t="s">
        <v>126</v>
      </c>
      <c r="B11" s="1"/>
      <c r="C11" s="5">
        <f>+'Mano de obra'!C33</f>
        <v>52.124497041420121</v>
      </c>
      <c r="D11" s="80">
        <f>+C11*General!D89</f>
        <v>625.49396449704147</v>
      </c>
      <c r="F11" s="200" t="s">
        <v>126</v>
      </c>
      <c r="G11" s="203"/>
      <c r="H11" s="201">
        <f>+'Mano de obra'!C34</f>
        <v>65.155621301775142</v>
      </c>
      <c r="I11" s="202">
        <f>+H11*General!D98</f>
        <v>651.55621301775136</v>
      </c>
    </row>
    <row r="12" spans="1:13" x14ac:dyDescent="0.25">
      <c r="A12" s="91" t="s">
        <v>127</v>
      </c>
      <c r="B12" s="1"/>
      <c r="C12" s="13">
        <f>+Depreciacion!F7+Depreciacion!F11+Depreciacion!F14</f>
        <v>26.750493096646942</v>
      </c>
      <c r="D12" s="80">
        <f>+C12*General!D89</f>
        <v>321.00591715976327</v>
      </c>
      <c r="F12" s="200" t="s">
        <v>127</v>
      </c>
      <c r="G12" s="203"/>
      <c r="H12" s="204">
        <f>+Depreciacion!F7+Depreciacion!F11+Depreciacion!F14</f>
        <v>26.750493096646942</v>
      </c>
      <c r="I12" s="202">
        <f>+H12*General!D98</f>
        <v>267.50493096646943</v>
      </c>
    </row>
    <row r="13" spans="1:13" x14ac:dyDescent="0.25">
      <c r="A13" s="91" t="s">
        <v>82</v>
      </c>
      <c r="B13" s="1"/>
      <c r="C13" s="5">
        <f>+GIF!D32</f>
        <v>6.412721893491125</v>
      </c>
      <c r="D13" s="80">
        <f>+C13*General!D89</f>
        <v>76.952662721893503</v>
      </c>
      <c r="F13" s="200" t="s">
        <v>82</v>
      </c>
      <c r="G13" s="203"/>
      <c r="H13" s="201">
        <f>+GIF!D32</f>
        <v>6.412721893491125</v>
      </c>
      <c r="I13" s="202">
        <f>+H13*General!D98</f>
        <v>64.127218934911255</v>
      </c>
    </row>
    <row r="14" spans="1:13" ht="15.75" thickBot="1" x14ac:dyDescent="0.3">
      <c r="A14" s="360" t="s">
        <v>92</v>
      </c>
      <c r="B14" s="361"/>
      <c r="C14" s="124">
        <f>SUM(C10:C13)</f>
        <v>177.34006245890862</v>
      </c>
      <c r="D14" s="92">
        <f>SUM(D10:D13)</f>
        <v>2128.080749506903</v>
      </c>
      <c r="F14" s="362" t="s">
        <v>92</v>
      </c>
      <c r="G14" s="363"/>
      <c r="H14" s="205">
        <f>SUM(H10:H13)</f>
        <v>248.02396449704142</v>
      </c>
      <c r="I14" s="206">
        <f>SUM(I10:I13)</f>
        <v>2480.2396449704142</v>
      </c>
    </row>
    <row r="15" spans="1:13" ht="15.75" thickBot="1" x14ac:dyDescent="0.3"/>
    <row r="16" spans="1:13" x14ac:dyDescent="0.25">
      <c r="A16" s="71" t="str">
        <f>+General!C43</f>
        <v>Fresa</v>
      </c>
      <c r="B16" s="88" t="str">
        <f>+B2</f>
        <v>Estándar x 12</v>
      </c>
      <c r="C16" s="89" t="s">
        <v>124</v>
      </c>
      <c r="D16" s="90" t="s">
        <v>183</v>
      </c>
      <c r="F16" s="196" t="str">
        <f>+A16</f>
        <v>Fresa</v>
      </c>
      <c r="G16" s="197" t="str">
        <f>+G2</f>
        <v>Especial x 10</v>
      </c>
      <c r="H16" s="198" t="s">
        <v>124</v>
      </c>
      <c r="I16" s="199" t="s">
        <v>183</v>
      </c>
    </row>
    <row r="17" spans="1:9" x14ac:dyDescent="0.25">
      <c r="A17" s="91" t="s">
        <v>125</v>
      </c>
      <c r="B17" s="5">
        <f>+'Materia prima'!H22</f>
        <v>105718.05555555556</v>
      </c>
      <c r="C17" s="5">
        <f>+'Materia prima'!J22</f>
        <v>81.321581196581207</v>
      </c>
      <c r="D17" s="80">
        <f>+C17*General!D89</f>
        <v>975.85897435897448</v>
      </c>
      <c r="F17" s="200" t="s">
        <v>125</v>
      </c>
      <c r="G17" s="201">
        <f>+'Materia prima'!M22</f>
        <v>180666.66666666666</v>
      </c>
      <c r="H17" s="201">
        <f>+'Materia prima'!O22</f>
        <v>138.97435897435898</v>
      </c>
      <c r="I17" s="202">
        <f>+H17*General!D98</f>
        <v>1389.7435897435898</v>
      </c>
    </row>
    <row r="18" spans="1:9" x14ac:dyDescent="0.25">
      <c r="A18" s="91" t="s">
        <v>126</v>
      </c>
      <c r="B18" s="1"/>
      <c r="C18" s="5">
        <f>+'Mano de obra'!C33</f>
        <v>52.124497041420121</v>
      </c>
      <c r="D18" s="80">
        <f>+C18*General!D89</f>
        <v>625.49396449704147</v>
      </c>
      <c r="F18" s="200" t="s">
        <v>126</v>
      </c>
      <c r="G18" s="203"/>
      <c r="H18" s="201">
        <f>+'Mano de obra'!C34</f>
        <v>65.155621301775142</v>
      </c>
      <c r="I18" s="202">
        <f>+H18*General!D98</f>
        <v>651.55621301775136</v>
      </c>
    </row>
    <row r="19" spans="1:9" x14ac:dyDescent="0.25">
      <c r="A19" s="91" t="s">
        <v>127</v>
      </c>
      <c r="B19" s="1"/>
      <c r="C19" s="13">
        <f>+Depreciacion!F7+Depreciacion!F11+Depreciacion!F14</f>
        <v>26.750493096646942</v>
      </c>
      <c r="D19" s="80">
        <f>+C19*General!D89</f>
        <v>321.00591715976327</v>
      </c>
      <c r="F19" s="200" t="s">
        <v>127</v>
      </c>
      <c r="G19" s="203"/>
      <c r="H19" s="204">
        <f>+Depreciacion!F7+Depreciacion!F11+Depreciacion!F14</f>
        <v>26.750493096646942</v>
      </c>
      <c r="I19" s="202">
        <f>+H19*General!D98</f>
        <v>267.50493096646943</v>
      </c>
    </row>
    <row r="20" spans="1:9" x14ac:dyDescent="0.25">
      <c r="A20" s="91" t="s">
        <v>82</v>
      </c>
      <c r="B20" s="1"/>
      <c r="C20" s="5">
        <f>+GIF!D32</f>
        <v>6.412721893491125</v>
      </c>
      <c r="D20" s="80">
        <f>+C20*General!D89</f>
        <v>76.952662721893503</v>
      </c>
      <c r="F20" s="200" t="s">
        <v>82</v>
      </c>
      <c r="G20" s="203"/>
      <c r="H20" s="201">
        <f>+GIF!D32</f>
        <v>6.412721893491125</v>
      </c>
      <c r="I20" s="202">
        <f>+H20*General!D98</f>
        <v>64.127218934911255</v>
      </c>
    </row>
    <row r="21" spans="1:9" ht="15.75" thickBot="1" x14ac:dyDescent="0.3">
      <c r="A21" s="360" t="s">
        <v>92</v>
      </c>
      <c r="B21" s="361"/>
      <c r="C21" s="124">
        <f>SUM(C17:C20)</f>
        <v>166.60929322813939</v>
      </c>
      <c r="D21" s="92">
        <f>SUM(D17:D20)</f>
        <v>1999.3115187376727</v>
      </c>
      <c r="F21" s="362" t="s">
        <v>92</v>
      </c>
      <c r="G21" s="363"/>
      <c r="H21" s="205">
        <f>SUM(H17:H20)</f>
        <v>237.29319526627219</v>
      </c>
      <c r="I21" s="206">
        <f>SUM(I17:I20)</f>
        <v>2372.9319526627219</v>
      </c>
    </row>
    <row r="22" spans="1:9" ht="15.75" thickBot="1" x14ac:dyDescent="0.3"/>
    <row r="23" spans="1:9" x14ac:dyDescent="0.25">
      <c r="A23" s="71" t="str">
        <f>+General!C53</f>
        <v>Café molido instantáneo</v>
      </c>
      <c r="B23" s="88" t="str">
        <f>+B16</f>
        <v>Estándar x 12</v>
      </c>
      <c r="C23" s="89" t="s">
        <v>124</v>
      </c>
      <c r="D23" s="90" t="s">
        <v>183</v>
      </c>
      <c r="F23" s="196" t="str">
        <f>+A23</f>
        <v>Café molido instantáneo</v>
      </c>
      <c r="G23" s="197" t="str">
        <f>+G16</f>
        <v>Especial x 10</v>
      </c>
      <c r="H23" s="198" t="s">
        <v>124</v>
      </c>
      <c r="I23" s="199" t="s">
        <v>183</v>
      </c>
    </row>
    <row r="24" spans="1:9" x14ac:dyDescent="0.25">
      <c r="A24" s="91" t="s">
        <v>125</v>
      </c>
      <c r="B24" s="5">
        <f>+'Materia prima'!H23</f>
        <v>131868.05555555556</v>
      </c>
      <c r="C24" s="5">
        <f>+'Materia prima'!J23</f>
        <v>101.43696581196582</v>
      </c>
      <c r="D24" s="80">
        <f>+C24*General!D89</f>
        <v>1217.2435897435898</v>
      </c>
      <c r="F24" s="200" t="s">
        <v>125</v>
      </c>
      <c r="G24" s="201">
        <f>+'Materia prima'!M23</f>
        <v>206816.66666666666</v>
      </c>
      <c r="H24" s="201">
        <f>+'Materia prima'!O23</f>
        <v>159.08974358974359</v>
      </c>
      <c r="I24" s="202">
        <f>+H24*General!D98</f>
        <v>1590.897435897436</v>
      </c>
    </row>
    <row r="25" spans="1:9" x14ac:dyDescent="0.25">
      <c r="A25" s="91" t="s">
        <v>126</v>
      </c>
      <c r="B25" s="1"/>
      <c r="C25" s="5">
        <f>+'Mano de obra'!C33</f>
        <v>52.124497041420121</v>
      </c>
      <c r="D25" s="80">
        <f>+C25*General!D89</f>
        <v>625.49396449704147</v>
      </c>
      <c r="F25" s="200" t="s">
        <v>126</v>
      </c>
      <c r="G25" s="203"/>
      <c r="H25" s="201">
        <f>+'Mano de obra'!C34</f>
        <v>65.155621301775142</v>
      </c>
      <c r="I25" s="202">
        <f>+H25*General!D98</f>
        <v>651.55621301775136</v>
      </c>
    </row>
    <row r="26" spans="1:9" x14ac:dyDescent="0.25">
      <c r="A26" s="91" t="s">
        <v>127</v>
      </c>
      <c r="B26" s="1"/>
      <c r="C26" s="13">
        <f>+Depreciacion!F7+Depreciacion!F11+Depreciacion!F14</f>
        <v>26.750493096646942</v>
      </c>
      <c r="D26" s="80">
        <f>+C26*General!D89</f>
        <v>321.00591715976327</v>
      </c>
      <c r="F26" s="200" t="s">
        <v>127</v>
      </c>
      <c r="G26" s="203"/>
      <c r="H26" s="204">
        <f>+Depreciacion!F7+Depreciacion!F11+Depreciacion!F14</f>
        <v>26.750493096646942</v>
      </c>
      <c r="I26" s="202">
        <f>+H26*General!D98</f>
        <v>267.50493096646943</v>
      </c>
    </row>
    <row r="27" spans="1:9" x14ac:dyDescent="0.25">
      <c r="A27" s="91" t="s">
        <v>82</v>
      </c>
      <c r="B27" s="1"/>
      <c r="C27" s="5">
        <f>+GIF!D32</f>
        <v>6.412721893491125</v>
      </c>
      <c r="D27" s="80">
        <f>+C27*General!D89</f>
        <v>76.952662721893503</v>
      </c>
      <c r="F27" s="200" t="s">
        <v>82</v>
      </c>
      <c r="G27" s="203"/>
      <c r="H27" s="201">
        <f>+GIF!D32</f>
        <v>6.412721893491125</v>
      </c>
      <c r="I27" s="202">
        <f>+H27*General!D98</f>
        <v>64.127218934911255</v>
      </c>
    </row>
    <row r="28" spans="1:9" ht="15.75" thickBot="1" x14ac:dyDescent="0.3">
      <c r="A28" s="360" t="s">
        <v>92</v>
      </c>
      <c r="B28" s="361"/>
      <c r="C28" s="124">
        <f>SUM(C24:C27)</f>
        <v>186.72467784352401</v>
      </c>
      <c r="D28" s="92">
        <f>SUM(D24:D27)</f>
        <v>2240.6961341222877</v>
      </c>
      <c r="F28" s="362" t="s">
        <v>92</v>
      </c>
      <c r="G28" s="363"/>
      <c r="H28" s="205">
        <f>SUM(H24:H27)</f>
        <v>257.40857988165681</v>
      </c>
      <c r="I28" s="206">
        <f>SUM(I24:I27)</f>
        <v>2574.0857988165681</v>
      </c>
    </row>
    <row r="29" spans="1:9" ht="15.75" thickBot="1" x14ac:dyDescent="0.3"/>
    <row r="30" spans="1:9" x14ac:dyDescent="0.25">
      <c r="A30" s="71" t="str">
        <f>+General!C63</f>
        <v>Leche</v>
      </c>
      <c r="B30" s="88" t="str">
        <f>+B23</f>
        <v>Estándar x 12</v>
      </c>
      <c r="C30" s="89" t="s">
        <v>124</v>
      </c>
      <c r="D30" s="90" t="s">
        <v>183</v>
      </c>
      <c r="F30" s="196" t="str">
        <f>+A30</f>
        <v>Leche</v>
      </c>
      <c r="G30" s="197" t="str">
        <f>+G23</f>
        <v>Especial x 10</v>
      </c>
      <c r="H30" s="198" t="s">
        <v>124</v>
      </c>
      <c r="I30" s="199" t="s">
        <v>183</v>
      </c>
    </row>
    <row r="31" spans="1:9" x14ac:dyDescent="0.25">
      <c r="A31" s="91" t="s">
        <v>125</v>
      </c>
      <c r="B31" s="5">
        <f>+'Materia prima'!H24</f>
        <v>142068.05555555556</v>
      </c>
      <c r="C31" s="5">
        <f>+'Materia prima'!J24</f>
        <v>109.28311965811966</v>
      </c>
      <c r="D31" s="80">
        <f>+C31*General!D89</f>
        <v>1311.397435897436</v>
      </c>
      <c r="F31" s="200" t="s">
        <v>125</v>
      </c>
      <c r="G31" s="201">
        <f>+'Materia prima'!M24</f>
        <v>217016.66666666666</v>
      </c>
      <c r="H31" s="201">
        <f>+'Materia prima'!O24</f>
        <v>166.93589743589743</v>
      </c>
      <c r="I31" s="202">
        <f>+H31*General!D98</f>
        <v>1669.3589743589744</v>
      </c>
    </row>
    <row r="32" spans="1:9" x14ac:dyDescent="0.25">
      <c r="A32" s="91" t="s">
        <v>126</v>
      </c>
      <c r="B32" s="1"/>
      <c r="C32" s="5">
        <f>+'Mano de obra'!C33</f>
        <v>52.124497041420121</v>
      </c>
      <c r="D32" s="80">
        <f>+C32*General!D89</f>
        <v>625.49396449704147</v>
      </c>
      <c r="F32" s="200" t="s">
        <v>126</v>
      </c>
      <c r="G32" s="203"/>
      <c r="H32" s="201">
        <f>+'Mano de obra'!C34</f>
        <v>65.155621301775142</v>
      </c>
      <c r="I32" s="202">
        <f>+H32*General!D98</f>
        <v>651.55621301775136</v>
      </c>
    </row>
    <row r="33" spans="1:9" x14ac:dyDescent="0.25">
      <c r="A33" s="91" t="s">
        <v>127</v>
      </c>
      <c r="B33" s="1"/>
      <c r="C33" s="13">
        <f>+Depreciacion!F7+Depreciacion!F11+Depreciacion!F14</f>
        <v>26.750493096646942</v>
      </c>
      <c r="D33" s="80">
        <f>+C33*General!D89</f>
        <v>321.00591715976327</v>
      </c>
      <c r="F33" s="200" t="s">
        <v>127</v>
      </c>
      <c r="G33" s="203"/>
      <c r="H33" s="204">
        <f>+Depreciacion!F7+Depreciacion!F11+Depreciacion!F14</f>
        <v>26.750493096646942</v>
      </c>
      <c r="I33" s="202">
        <f>+H33*General!D98</f>
        <v>267.50493096646943</v>
      </c>
    </row>
    <row r="34" spans="1:9" x14ac:dyDescent="0.25">
      <c r="A34" s="91" t="s">
        <v>82</v>
      </c>
      <c r="B34" s="1"/>
      <c r="C34" s="5">
        <f>+GIF!D32</f>
        <v>6.412721893491125</v>
      </c>
      <c r="D34" s="80">
        <f>+C34*General!D89</f>
        <v>76.952662721893503</v>
      </c>
      <c r="F34" s="200" t="s">
        <v>82</v>
      </c>
      <c r="G34" s="203"/>
      <c r="H34" s="201">
        <f>+GIF!D32</f>
        <v>6.412721893491125</v>
      </c>
      <c r="I34" s="202">
        <f>+H34*General!D98</f>
        <v>64.127218934911255</v>
      </c>
    </row>
    <row r="35" spans="1:9" ht="15.75" thickBot="1" x14ac:dyDescent="0.3">
      <c r="A35" s="360" t="s">
        <v>92</v>
      </c>
      <c r="B35" s="361"/>
      <c r="C35" s="124">
        <f>SUM(C31:C34)</f>
        <v>194.57083168967785</v>
      </c>
      <c r="D35" s="92">
        <f>SUM(D31:D34)</f>
        <v>2334.8499802761339</v>
      </c>
      <c r="F35" s="362" t="s">
        <v>92</v>
      </c>
      <c r="G35" s="363"/>
      <c r="H35" s="205">
        <f>SUM(H31:H34)</f>
        <v>265.25473372781067</v>
      </c>
      <c r="I35" s="206">
        <f>SUM(I31:I34)</f>
        <v>2652.5473372781066</v>
      </c>
    </row>
    <row r="36" spans="1:9" ht="15.75" thickBot="1" x14ac:dyDescent="0.3"/>
    <row r="37" spans="1:9" x14ac:dyDescent="0.25">
      <c r="A37" s="71" t="str">
        <f>+General!J23</f>
        <v>Apio</v>
      </c>
      <c r="B37" s="88" t="str">
        <f>+B30</f>
        <v>Estándar x 12</v>
      </c>
      <c r="C37" s="121" t="s">
        <v>124</v>
      </c>
      <c r="D37" s="90" t="s">
        <v>183</v>
      </c>
      <c r="F37" s="196" t="str">
        <f>+A37</f>
        <v>Apio</v>
      </c>
      <c r="G37" s="197" t="str">
        <f>+G30</f>
        <v>Especial x 10</v>
      </c>
      <c r="H37" s="208" t="s">
        <v>124</v>
      </c>
      <c r="I37" s="199" t="s">
        <v>183</v>
      </c>
    </row>
    <row r="38" spans="1:9" x14ac:dyDescent="0.25">
      <c r="A38" s="91" t="s">
        <v>125</v>
      </c>
      <c r="B38" s="5">
        <f>+'Materia prima'!H25</f>
        <v>195668.05555555556</v>
      </c>
      <c r="C38" s="122">
        <f>+'Materia prima'!J25</f>
        <v>150.51388888888889</v>
      </c>
      <c r="D38" s="80">
        <f>+C38*General!D89</f>
        <v>1806.1666666666665</v>
      </c>
      <c r="F38" s="200" t="s">
        <v>125</v>
      </c>
      <c r="G38" s="201">
        <f>'Materia prima'!M20</f>
        <v>270616.66666666663</v>
      </c>
      <c r="H38" s="209">
        <f>'Materia prima'!O20</f>
        <v>208.16666666666663</v>
      </c>
      <c r="I38" s="202">
        <f>'Materia prima'!N20</f>
        <v>2081.6666666666661</v>
      </c>
    </row>
    <row r="39" spans="1:9" x14ac:dyDescent="0.25">
      <c r="A39" s="91" t="s">
        <v>126</v>
      </c>
      <c r="B39" s="1"/>
      <c r="C39" s="122">
        <f>+'Mano de obra'!C33</f>
        <v>52.124497041420121</v>
      </c>
      <c r="D39" s="80">
        <f>+C39*General!D89</f>
        <v>625.49396449704147</v>
      </c>
      <c r="F39" s="200" t="s">
        <v>126</v>
      </c>
      <c r="G39" s="203"/>
      <c r="H39" s="209">
        <f>'Mano de obra'!C34</f>
        <v>65.155621301775142</v>
      </c>
      <c r="I39" s="202">
        <f>'Mano de obra'!B34</f>
        <v>651.55621301775147</v>
      </c>
    </row>
    <row r="40" spans="1:9" x14ac:dyDescent="0.25">
      <c r="A40" s="91" t="s">
        <v>127</v>
      </c>
      <c r="B40" s="1"/>
      <c r="C40" s="123">
        <f>+Depreciacion!F14+Depreciacion!F11+Depreciacion!F7</f>
        <v>26.750493096646945</v>
      </c>
      <c r="D40" s="80">
        <f>+C40*General!D89</f>
        <v>321.00591715976333</v>
      </c>
      <c r="F40" s="200" t="s">
        <v>127</v>
      </c>
      <c r="G40" s="203"/>
      <c r="H40" s="204">
        <f>+Depreciacion!F7+Depreciacion!F11+Depreciacion!F14</f>
        <v>26.750493096646942</v>
      </c>
      <c r="I40" s="202">
        <f>+H40*General!D98</f>
        <v>267.50493096646943</v>
      </c>
    </row>
    <row r="41" spans="1:9" x14ac:dyDescent="0.25">
      <c r="A41" s="91" t="s">
        <v>82</v>
      </c>
      <c r="B41" s="1"/>
      <c r="C41" s="122">
        <f>+GIF!D32</f>
        <v>6.412721893491125</v>
      </c>
      <c r="D41" s="80">
        <f>+C41*General!D89</f>
        <v>76.952662721893503</v>
      </c>
      <c r="F41" s="200" t="s">
        <v>82</v>
      </c>
      <c r="G41" s="203"/>
      <c r="H41" s="209">
        <f>+GIF!D32</f>
        <v>6.412721893491125</v>
      </c>
      <c r="I41" s="202">
        <f>+H41*General!D98</f>
        <v>64.127218934911255</v>
      </c>
    </row>
    <row r="42" spans="1:9" ht="15.75" thickBot="1" x14ac:dyDescent="0.3">
      <c r="A42" s="360" t="s">
        <v>92</v>
      </c>
      <c r="B42" s="361"/>
      <c r="C42" s="124">
        <f>SUM(C38:C41)</f>
        <v>235.80160092044707</v>
      </c>
      <c r="D42" s="92">
        <f>SUM(D38:D41)</f>
        <v>2829.6192110453644</v>
      </c>
      <c r="F42" s="362" t="s">
        <v>92</v>
      </c>
      <c r="G42" s="363"/>
      <c r="H42" s="205">
        <f>SUM(H38:H41)</f>
        <v>306.48550295857984</v>
      </c>
      <c r="I42" s="206">
        <f>SUM(I38:I41)</f>
        <v>3064.8550295857981</v>
      </c>
    </row>
    <row r="43" spans="1:9" ht="15.75" thickBot="1" x14ac:dyDescent="0.3"/>
    <row r="44" spans="1:9" x14ac:dyDescent="0.25">
      <c r="A44" s="71" t="str">
        <f>+General!J33</f>
        <v>MORA</v>
      </c>
      <c r="B44" s="88" t="str">
        <f>+B37</f>
        <v>Estándar x 12</v>
      </c>
      <c r="C44" s="89" t="s">
        <v>124</v>
      </c>
      <c r="D44" s="90" t="s">
        <v>183</v>
      </c>
      <c r="F44" s="196" t="str">
        <f>+A44</f>
        <v>MORA</v>
      </c>
      <c r="G44" s="197" t="str">
        <f>+G37</f>
        <v>Especial x 10</v>
      </c>
      <c r="H44" s="198" t="s">
        <v>124</v>
      </c>
      <c r="I44" s="199" t="s">
        <v>183</v>
      </c>
    </row>
    <row r="45" spans="1:9" x14ac:dyDescent="0.25">
      <c r="A45" s="91" t="s">
        <v>125</v>
      </c>
      <c r="B45" s="5">
        <f>+'Materia prima'!H26</f>
        <v>106668.05555555556</v>
      </c>
      <c r="C45" s="5">
        <f>+'Materia prima'!J26</f>
        <v>82.052350427350433</v>
      </c>
      <c r="D45" s="80">
        <f>+C45*General!D89</f>
        <v>984.6282051282052</v>
      </c>
      <c r="F45" s="200" t="s">
        <v>125</v>
      </c>
      <c r="G45" s="201">
        <f>'Materia prima'!M26</f>
        <v>181616.66666666666</v>
      </c>
      <c r="H45" s="201">
        <f>'Materia prima'!O26</f>
        <v>139.7051282051282</v>
      </c>
      <c r="I45" s="202">
        <f>'Materia prima'!N26</f>
        <v>1397.051282051282</v>
      </c>
    </row>
    <row r="46" spans="1:9" x14ac:dyDescent="0.25">
      <c r="A46" s="91" t="s">
        <v>126</v>
      </c>
      <c r="B46" s="1"/>
      <c r="C46" s="5">
        <f>+'Mano de obra'!C33</f>
        <v>52.124497041420121</v>
      </c>
      <c r="D46" s="80">
        <f>+C46*General!D89</f>
        <v>625.49396449704147</v>
      </c>
      <c r="F46" s="200" t="s">
        <v>126</v>
      </c>
      <c r="G46" s="203"/>
      <c r="H46" s="201">
        <f>'Mano de obra'!C34</f>
        <v>65.155621301775142</v>
      </c>
      <c r="I46" s="202">
        <f>'Mano de obra'!B34</f>
        <v>651.55621301775147</v>
      </c>
    </row>
    <row r="47" spans="1:9" x14ac:dyDescent="0.25">
      <c r="A47" s="91" t="s">
        <v>127</v>
      </c>
      <c r="B47" s="1"/>
      <c r="C47" s="13">
        <f>+Depreciacion!F14+Depreciacion!F11+Depreciacion!F7</f>
        <v>26.750493096646945</v>
      </c>
      <c r="D47" s="80">
        <f>+C47*General!D89</f>
        <v>321.00591715976333</v>
      </c>
      <c r="F47" s="200" t="s">
        <v>127</v>
      </c>
      <c r="G47" s="203"/>
      <c r="H47" s="204">
        <f>+Depreciacion!F7+Depreciacion!F11+Depreciacion!F14</f>
        <v>26.750493096646942</v>
      </c>
      <c r="I47" s="202">
        <f>+H47*General!D98</f>
        <v>267.50493096646943</v>
      </c>
    </row>
    <row r="48" spans="1:9" x14ac:dyDescent="0.25">
      <c r="A48" s="91" t="s">
        <v>82</v>
      </c>
      <c r="B48" s="1"/>
      <c r="C48" s="5">
        <f>+GIF!D32</f>
        <v>6.412721893491125</v>
      </c>
      <c r="D48" s="80">
        <f>+C48*General!D89</f>
        <v>76.952662721893503</v>
      </c>
      <c r="F48" s="200" t="s">
        <v>82</v>
      </c>
      <c r="G48" s="203"/>
      <c r="H48" s="201">
        <f>+GIF!D32</f>
        <v>6.412721893491125</v>
      </c>
      <c r="I48" s="202">
        <f>+H48*General!D98</f>
        <v>64.127218934911255</v>
      </c>
    </row>
    <row r="49" spans="1:9" ht="15.75" thickBot="1" x14ac:dyDescent="0.3">
      <c r="A49" s="360" t="s">
        <v>92</v>
      </c>
      <c r="B49" s="361"/>
      <c r="C49" s="124">
        <f>SUM(C45:C48)</f>
        <v>167.34006245890862</v>
      </c>
      <c r="D49" s="92">
        <f>SUM(D45:D48)</f>
        <v>2008.0807495069037</v>
      </c>
      <c r="F49" s="362" t="s">
        <v>92</v>
      </c>
      <c r="G49" s="363"/>
      <c r="H49" s="205">
        <f>SUM(H45:H48)</f>
        <v>238.02396449704142</v>
      </c>
      <c r="I49" s="206">
        <f>SUM(I45:I48)</f>
        <v>2380.2396449704142</v>
      </c>
    </row>
  </sheetData>
  <mergeCells count="15">
    <mergeCell ref="A42:B42"/>
    <mergeCell ref="F42:G42"/>
    <mergeCell ref="A49:B49"/>
    <mergeCell ref="F49:G49"/>
    <mergeCell ref="A7:B7"/>
    <mergeCell ref="F7:G7"/>
    <mergeCell ref="A14:B14"/>
    <mergeCell ref="F14:G14"/>
    <mergeCell ref="A35:B35"/>
    <mergeCell ref="F35:G35"/>
    <mergeCell ref="A1:I1"/>
    <mergeCell ref="A21:B21"/>
    <mergeCell ref="F21:G21"/>
    <mergeCell ref="A28:B28"/>
    <mergeCell ref="F28:G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A225-FD12-43D2-BBD3-3B189032A95D}">
  <dimension ref="A2:E22"/>
  <sheetViews>
    <sheetView workbookViewId="0">
      <selection activeCell="C16" sqref="C16"/>
    </sheetView>
  </sheetViews>
  <sheetFormatPr baseColWidth="10" defaultRowHeight="15" x14ac:dyDescent="0.25"/>
  <cols>
    <col min="1" max="3" width="22.5703125" customWidth="1"/>
    <col min="4" max="4" width="27.140625" customWidth="1"/>
    <col min="5" max="5" width="22.5703125" customWidth="1"/>
  </cols>
  <sheetData>
    <row r="2" spans="1:5" ht="18.75" x14ac:dyDescent="0.3">
      <c r="A2" s="286" t="s">
        <v>228</v>
      </c>
    </row>
    <row r="4" spans="1:5" ht="15.75" x14ac:dyDescent="0.25">
      <c r="A4" s="364" t="str">
        <f>+General!D5</f>
        <v>Estándar x 12</v>
      </c>
      <c r="B4" s="364"/>
      <c r="C4" s="364"/>
      <c r="D4" s="364"/>
      <c r="E4" s="364"/>
    </row>
    <row r="5" spans="1:5" ht="30" x14ac:dyDescent="0.25">
      <c r="A5" s="125" t="s">
        <v>184</v>
      </c>
      <c r="B5" s="125" t="s">
        <v>185</v>
      </c>
      <c r="C5" s="125" t="s">
        <v>186</v>
      </c>
      <c r="D5" s="285" t="s">
        <v>227</v>
      </c>
      <c r="E5" s="125" t="s">
        <v>190</v>
      </c>
    </row>
    <row r="6" spans="1:5" x14ac:dyDescent="0.25">
      <c r="A6" t="str">
        <f>+General!C23</f>
        <v>Guayaba</v>
      </c>
      <c r="B6" s="126">
        <f>+'total costo dulces'!D7</f>
        <v>2829.6192110453644</v>
      </c>
      <c r="C6" s="8">
        <f>B6/(1-E$6)</f>
        <v>4716.0320184089405</v>
      </c>
      <c r="D6" s="8">
        <f>C6-B6</f>
        <v>1886.4128073635761</v>
      </c>
      <c r="E6" s="240">
        <f>+General!$C$151</f>
        <v>0.4</v>
      </c>
    </row>
    <row r="7" spans="1:5" x14ac:dyDescent="0.25">
      <c r="A7" t="str">
        <f>+General!C33</f>
        <v>Mandarina</v>
      </c>
      <c r="B7" s="126">
        <f>+'total costo dulces'!D14</f>
        <v>2128.080749506903</v>
      </c>
      <c r="C7" s="8">
        <f>B7/(1-E$7)</f>
        <v>3546.8012491781719</v>
      </c>
      <c r="D7" s="8">
        <f t="shared" ref="D7:D10" si="0">C7-B7</f>
        <v>1418.720499671269</v>
      </c>
      <c r="E7" s="240">
        <f>+General!$C$151</f>
        <v>0.4</v>
      </c>
    </row>
    <row r="8" spans="1:5" x14ac:dyDescent="0.25">
      <c r="A8" t="str">
        <f>+General!C43</f>
        <v>Fresa</v>
      </c>
      <c r="B8" s="126">
        <f>+'total costo dulces'!D21</f>
        <v>1999.3115187376727</v>
      </c>
      <c r="C8" s="8">
        <f>B8/(1-E$8)</f>
        <v>3332.1858645627881</v>
      </c>
      <c r="D8" s="8">
        <f t="shared" si="0"/>
        <v>1332.8743458251154</v>
      </c>
      <c r="E8" s="240">
        <f>+General!$C$151</f>
        <v>0.4</v>
      </c>
    </row>
    <row r="9" spans="1:5" x14ac:dyDescent="0.25">
      <c r="A9" t="str">
        <f>+General!C53</f>
        <v>Café molido instantáneo</v>
      </c>
      <c r="B9" s="126">
        <f>+'total costo dulces'!D28</f>
        <v>2240.6961341222877</v>
      </c>
      <c r="C9" s="8">
        <f>B9/(1-E$9)</f>
        <v>3734.4935568704796</v>
      </c>
      <c r="D9" s="8">
        <f t="shared" si="0"/>
        <v>1493.7974227481918</v>
      </c>
      <c r="E9" s="240">
        <f>+General!$C$151</f>
        <v>0.4</v>
      </c>
    </row>
    <row r="10" spans="1:5" x14ac:dyDescent="0.25">
      <c r="A10" t="str">
        <f>+General!C63</f>
        <v>Leche</v>
      </c>
      <c r="B10" s="126">
        <f>+'total costo dulces'!D35</f>
        <v>2334.8499802761339</v>
      </c>
      <c r="C10" s="8">
        <f>B10/(1-E$10)</f>
        <v>3891.4166337935567</v>
      </c>
      <c r="D10" s="8">
        <f t="shared" si="0"/>
        <v>1556.5666535174228</v>
      </c>
      <c r="E10" s="240">
        <f>+General!$C$151</f>
        <v>0.4</v>
      </c>
    </row>
    <row r="11" spans="1:5" x14ac:dyDescent="0.25">
      <c r="A11" t="str">
        <f>+General!J23</f>
        <v>Apio</v>
      </c>
      <c r="B11" s="126">
        <f>+'total costo dulces'!D42</f>
        <v>2829.6192110453644</v>
      </c>
      <c r="C11" s="8">
        <f>B11/(1-E$11)</f>
        <v>4716.0320184089405</v>
      </c>
      <c r="D11" s="8">
        <f>C11-B11</f>
        <v>1886.4128073635761</v>
      </c>
      <c r="E11" s="240">
        <f>+General!$C$151</f>
        <v>0.4</v>
      </c>
    </row>
    <row r="12" spans="1:5" x14ac:dyDescent="0.25">
      <c r="A12" t="str">
        <f>+General!J33</f>
        <v>MORA</v>
      </c>
      <c r="B12" s="126">
        <f>+'total costo dulces'!D49</f>
        <v>2008.0807495069037</v>
      </c>
      <c r="C12" s="8">
        <f>B12/(1-E$12)</f>
        <v>3346.8012491781728</v>
      </c>
      <c r="D12" s="8">
        <f>C12-B12</f>
        <v>1338.7204996712692</v>
      </c>
      <c r="E12" s="240">
        <f>+General!$C$151</f>
        <v>0.4</v>
      </c>
    </row>
    <row r="14" spans="1:5" ht="15.75" x14ac:dyDescent="0.25">
      <c r="A14" s="364" t="str">
        <f>+General!F5</f>
        <v>Especial x 10</v>
      </c>
      <c r="B14" s="364"/>
      <c r="C14" s="364"/>
      <c r="D14" s="364"/>
      <c r="E14" s="364"/>
    </row>
    <row r="15" spans="1:5" ht="30" x14ac:dyDescent="0.25">
      <c r="A15" s="125" t="s">
        <v>184</v>
      </c>
      <c r="B15" s="125" t="s">
        <v>185</v>
      </c>
      <c r="C15" s="125" t="s">
        <v>186</v>
      </c>
      <c r="D15" s="285" t="s">
        <v>227</v>
      </c>
      <c r="E15" s="237" t="s">
        <v>191</v>
      </c>
    </row>
    <row r="16" spans="1:5" x14ac:dyDescent="0.25">
      <c r="A16" t="str">
        <f t="shared" ref="A16:A22" si="1">+A6</f>
        <v>Guayaba</v>
      </c>
      <c r="B16" s="126">
        <f>+'total costo dulces'!I7</f>
        <v>3064.8550295857981</v>
      </c>
      <c r="C16" s="8">
        <f>B16/(1-E16)</f>
        <v>4378.3643279797116</v>
      </c>
      <c r="D16" s="8">
        <f>C16-B16</f>
        <v>1313.5092983939135</v>
      </c>
      <c r="E16" s="241">
        <f>+General!$C$150</f>
        <v>0.3</v>
      </c>
    </row>
    <row r="17" spans="1:5" x14ac:dyDescent="0.25">
      <c r="A17" t="str">
        <f t="shared" si="1"/>
        <v>Mandarina</v>
      </c>
      <c r="B17" s="126">
        <f>+'total costo dulces'!I14</f>
        <v>2480.2396449704142</v>
      </c>
      <c r="C17" s="8">
        <f>B17/(1-E17)</f>
        <v>3543.1994928148779</v>
      </c>
      <c r="D17" s="8">
        <f>C17-B17</f>
        <v>1062.9598478444636</v>
      </c>
      <c r="E17" s="241">
        <f>+General!$C$150</f>
        <v>0.3</v>
      </c>
    </row>
    <row r="18" spans="1:5" x14ac:dyDescent="0.25">
      <c r="A18" t="str">
        <f t="shared" si="1"/>
        <v>Fresa</v>
      </c>
      <c r="B18" s="126">
        <f>+'total costo dulces'!I21</f>
        <v>2372.9319526627219</v>
      </c>
      <c r="C18" s="8">
        <f t="shared" ref="C18:C22" si="2">B18/(1-E18)</f>
        <v>3389.9027895181744</v>
      </c>
      <c r="D18" s="8">
        <f t="shared" ref="D18:D20" si="3">C18-B18</f>
        <v>1016.9708368554525</v>
      </c>
      <c r="E18" s="241">
        <f>+General!$C$150</f>
        <v>0.3</v>
      </c>
    </row>
    <row r="19" spans="1:5" x14ac:dyDescent="0.25">
      <c r="A19" t="str">
        <f t="shared" si="1"/>
        <v>Café molido instantáneo</v>
      </c>
      <c r="B19" s="126">
        <f>+'total costo dulces'!I28</f>
        <v>2574.0857988165681</v>
      </c>
      <c r="C19" s="8">
        <f t="shared" si="2"/>
        <v>3677.2654268808119</v>
      </c>
      <c r="D19" s="8">
        <f t="shared" si="3"/>
        <v>1103.1796280642438</v>
      </c>
      <c r="E19" s="241">
        <f>+General!$C$150</f>
        <v>0.3</v>
      </c>
    </row>
    <row r="20" spans="1:5" x14ac:dyDescent="0.25">
      <c r="A20" t="str">
        <f t="shared" si="1"/>
        <v>Leche</v>
      </c>
      <c r="B20" s="126">
        <f>+'total costo dulces'!I35</f>
        <v>2652.5473372781066</v>
      </c>
      <c r="C20" s="8">
        <f t="shared" si="2"/>
        <v>3789.3533389687241</v>
      </c>
      <c r="D20" s="8">
        <f t="shared" si="3"/>
        <v>1136.8060016906174</v>
      </c>
      <c r="E20" s="241">
        <f>+General!$C$150</f>
        <v>0.3</v>
      </c>
    </row>
    <row r="21" spans="1:5" x14ac:dyDescent="0.25">
      <c r="A21" t="str">
        <f t="shared" si="1"/>
        <v>Apio</v>
      </c>
      <c r="B21" s="126">
        <f>'total costo dulces'!I42</f>
        <v>3064.8550295857981</v>
      </c>
      <c r="C21" s="8">
        <f t="shared" si="2"/>
        <v>4378.3643279797116</v>
      </c>
      <c r="D21" s="8">
        <f>C21-B21</f>
        <v>1313.5092983939135</v>
      </c>
      <c r="E21" s="241">
        <f>+General!$C$150</f>
        <v>0.3</v>
      </c>
    </row>
    <row r="22" spans="1:5" x14ac:dyDescent="0.25">
      <c r="A22" t="str">
        <f t="shared" si="1"/>
        <v>MORA</v>
      </c>
      <c r="B22" s="126">
        <f>'total costo dulces'!I49</f>
        <v>2380.2396449704142</v>
      </c>
      <c r="C22" s="8">
        <f t="shared" si="2"/>
        <v>3400.3423499577348</v>
      </c>
      <c r="D22" s="8">
        <f>C22-B22</f>
        <v>1020.1027049873205</v>
      </c>
      <c r="E22" s="241">
        <f>+General!$C$150</f>
        <v>0.3</v>
      </c>
    </row>
  </sheetData>
  <mergeCells count="2">
    <mergeCell ref="A4:E4"/>
    <mergeCell ref="A14:E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f5e5d1325ec98f2505f9da20314a5b2b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f0e72a89161ab615466c0ec8fc0029dc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10363-66E0-4369-B9B3-6C31882C689F}">
  <ds:schemaRefs>
    <ds:schemaRef ds:uri="http://schemas.openxmlformats.org/package/2006/metadata/core-properties"/>
    <ds:schemaRef ds:uri="http://www.w3.org/XML/1998/namespace"/>
    <ds:schemaRef ds:uri="1be38a3c-13c4-46e0-8a29-91f320e906cc"/>
    <ds:schemaRef ds:uri="http://purl.org/dc/elements/1.1/"/>
    <ds:schemaRef ds:uri="http://schemas.microsoft.com/office/2006/documentManagement/types"/>
    <ds:schemaRef ds:uri="475903d6-5b88-4d7a-ba78-d123e191ef42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3800707-374A-4EC8-931F-2263DE4EA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8E6992-E42E-496F-A6A0-EB1FEFBB26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General</vt:lpstr>
      <vt:lpstr>Mano de obra</vt:lpstr>
      <vt:lpstr>Materia prima</vt:lpstr>
      <vt:lpstr>GIF</vt:lpstr>
      <vt:lpstr>Depreciacion</vt:lpstr>
      <vt:lpstr>total costo dulces</vt:lpstr>
      <vt:lpstr>Rentabilidad bruta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ALBA SORAYA AGUILAR JIMENEZ</dc:creator>
  <cp:keywords/>
  <dc:description/>
  <cp:lastModifiedBy>ALBA SORAYA AGUILAR JIMENEZ</cp:lastModifiedBy>
  <cp:revision/>
  <dcterms:created xsi:type="dcterms:W3CDTF">2023-03-22T16:19:05Z</dcterms:created>
  <dcterms:modified xsi:type="dcterms:W3CDTF">2023-06-02T13:13:21Z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