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03170\Downloads\"/>
    </mc:Choice>
  </mc:AlternateContent>
  <xr:revisionPtr revIDLastSave="0" documentId="10_ncr:100000_{2316B686-1938-4EEF-8656-071B6B8BA36C}" xr6:coauthVersionLast="31" xr6:coauthVersionMax="31" xr10:uidLastSave="{00000000-0000-0000-0000-000000000000}"/>
  <bookViews>
    <workbookView xWindow="0" yWindow="0" windowWidth="20484" windowHeight="7680" activeTab="1" xr2:uid="{00000000-000D-0000-FFFF-FFFF00000000}"/>
  </bookViews>
  <sheets>
    <sheet name="Sheet1" sheetId="1" r:id="rId1"/>
    <sheet name="2018 Final Rosters" sheetId="2" r:id="rId2"/>
    <sheet name="TAM" sheetId="3" r:id="rId3"/>
  </sheets>
  <definedNames>
    <definedName name="_xlnm._FilterDatabase" localSheetId="1" hidden="1">'2018 Final Rosters'!$A$1:$G$821</definedName>
  </definedNames>
  <calcPr calcId="179017"/>
</workbook>
</file>

<file path=xl/calcChain.xml><?xml version="1.0" encoding="utf-8"?>
<calcChain xmlns="http://schemas.openxmlformats.org/spreadsheetml/2006/main">
  <c r="C129" i="3" l="1"/>
  <c r="B108" i="3"/>
  <c r="A87" i="3"/>
  <c r="C65" i="3"/>
  <c r="B44" i="3"/>
  <c r="A23" i="3"/>
  <c r="B129" i="3"/>
  <c r="A108" i="3"/>
  <c r="C86" i="3"/>
  <c r="B65" i="3"/>
  <c r="A44" i="3"/>
  <c r="C22" i="3"/>
  <c r="A129" i="3"/>
  <c r="C107" i="3"/>
  <c r="B86" i="3"/>
  <c r="A65" i="3"/>
  <c r="C43" i="3"/>
  <c r="B22" i="3"/>
  <c r="C128" i="3"/>
  <c r="B107" i="3"/>
  <c r="A86" i="3"/>
  <c r="C64" i="3"/>
  <c r="B43" i="3"/>
  <c r="A22" i="3"/>
  <c r="C127" i="3"/>
  <c r="B106" i="3"/>
  <c r="A85" i="3"/>
  <c r="C63" i="3"/>
  <c r="B42" i="3"/>
  <c r="A21" i="3"/>
  <c r="B127" i="3"/>
  <c r="C69" i="3"/>
  <c r="B13" i="3"/>
  <c r="A80" i="3"/>
  <c r="B15" i="3"/>
  <c r="C77" i="3"/>
  <c r="C12" i="3"/>
  <c r="C61" i="3"/>
  <c r="B103" i="3"/>
  <c r="B16" i="3"/>
  <c r="A40" i="3"/>
  <c r="C52" i="3"/>
  <c r="C45" i="3"/>
  <c r="C21" i="3"/>
  <c r="A2" i="3"/>
  <c r="E871" i="1"/>
  <c r="G860" i="1"/>
  <c r="C850" i="1"/>
  <c r="E821" i="1"/>
  <c r="G810" i="1"/>
  <c r="C800" i="1"/>
  <c r="E784" i="1"/>
  <c r="G773" i="1"/>
  <c r="C763" i="1"/>
  <c r="E752" i="1"/>
  <c r="G736" i="1"/>
  <c r="C726" i="1"/>
  <c r="E715" i="1"/>
  <c r="G701" i="1"/>
  <c r="C691" i="1"/>
  <c r="E680" i="1"/>
  <c r="G663" i="1"/>
  <c r="C653" i="1"/>
  <c r="E642" i="1"/>
  <c r="G630" i="1"/>
  <c r="C620" i="1"/>
  <c r="E609" i="1"/>
  <c r="G592" i="1"/>
  <c r="C582" i="1"/>
  <c r="C50" i="3"/>
  <c r="C867" i="1"/>
  <c r="E856" i="1"/>
  <c r="G845" i="1"/>
  <c r="C817" i="1"/>
  <c r="E806" i="1"/>
  <c r="G795" i="1"/>
  <c r="C780" i="1"/>
  <c r="E769" i="1"/>
  <c r="G758" i="1"/>
  <c r="C743" i="1"/>
  <c r="E732" i="1"/>
  <c r="G721" i="1"/>
  <c r="C708" i="1"/>
  <c r="E697" i="1"/>
  <c r="G686" i="1"/>
  <c r="C670" i="1"/>
  <c r="E659" i="1"/>
  <c r="G648" i="1"/>
  <c r="C637" i="1"/>
  <c r="E626" i="1"/>
  <c r="G615" i="1"/>
  <c r="C605" i="1"/>
  <c r="F875" i="1"/>
  <c r="D861" i="1"/>
  <c r="B847" i="1"/>
  <c r="G863" i="1"/>
  <c r="F847" i="1"/>
  <c r="C815" i="1"/>
  <c r="G800" i="1"/>
  <c r="F781" i="1"/>
  <c r="E767" i="1"/>
  <c r="C753" i="1"/>
  <c r="B734" i="1"/>
  <c r="G719" i="1"/>
  <c r="E702" i="1"/>
  <c r="D688" i="1"/>
  <c r="C668" i="1"/>
  <c r="G653" i="1"/>
  <c r="F638" i="1"/>
  <c r="E624" i="1"/>
  <c r="C610" i="1"/>
  <c r="B591" i="1"/>
  <c r="G578" i="1"/>
  <c r="F567" i="1"/>
  <c r="C512" i="1"/>
  <c r="E501" i="1"/>
  <c r="G490" i="1"/>
  <c r="C474" i="1"/>
  <c r="E463" i="1"/>
  <c r="G452" i="1"/>
  <c r="D400" i="1"/>
  <c r="F389" i="1"/>
  <c r="B379" i="1"/>
  <c r="D367" i="1"/>
  <c r="F356" i="1"/>
  <c r="B346" i="1"/>
  <c r="D332" i="1"/>
  <c r="A127" i="3"/>
  <c r="C105" i="3"/>
  <c r="B84" i="3"/>
  <c r="A63" i="3"/>
  <c r="C41" i="3"/>
  <c r="B20" i="3"/>
  <c r="C126" i="3"/>
  <c r="B105" i="3"/>
  <c r="A84" i="3"/>
  <c r="C62" i="3"/>
  <c r="B41" i="3"/>
  <c r="A20" i="3"/>
  <c r="B126" i="3"/>
  <c r="A105" i="3"/>
  <c r="C83" i="3"/>
  <c r="B62" i="3"/>
  <c r="A41" i="3"/>
  <c r="C19" i="3"/>
  <c r="A126" i="3"/>
  <c r="C104" i="3"/>
  <c r="B83" i="3"/>
  <c r="A62" i="3"/>
  <c r="C40" i="3"/>
  <c r="B19" i="3"/>
  <c r="A125" i="3"/>
  <c r="C103" i="3"/>
  <c r="B82" i="3"/>
  <c r="A61" i="3"/>
  <c r="C39" i="3"/>
  <c r="B18" i="3"/>
  <c r="A120" i="3"/>
  <c r="B63" i="3"/>
  <c r="C5" i="3"/>
  <c r="A72" i="3"/>
  <c r="B7" i="3"/>
  <c r="B69" i="3"/>
  <c r="C4" i="3"/>
  <c r="A51" i="3"/>
  <c r="C92" i="3"/>
  <c r="B5" i="3"/>
  <c r="B24" i="3"/>
  <c r="C36" i="3"/>
  <c r="C28" i="3"/>
  <c r="C2" i="3"/>
  <c r="A122" i="3"/>
  <c r="C870" i="1"/>
  <c r="E859" i="1"/>
  <c r="G848" i="1"/>
  <c r="C820" i="1"/>
  <c r="E809" i="1"/>
  <c r="G798" i="1"/>
  <c r="C783" i="1"/>
  <c r="E772" i="1"/>
  <c r="G761" i="1"/>
  <c r="C746" i="1"/>
  <c r="E735" i="1"/>
  <c r="G724" i="1"/>
  <c r="C711" i="1"/>
  <c r="E700" i="1"/>
  <c r="G689" i="1"/>
  <c r="C679" i="1"/>
  <c r="E662" i="1"/>
  <c r="G651" i="1"/>
  <c r="C641" i="1"/>
  <c r="E629" i="1"/>
  <c r="G618" i="1"/>
  <c r="C608" i="1"/>
  <c r="E591" i="1"/>
  <c r="G580" i="1"/>
  <c r="A18" i="3"/>
  <c r="G865" i="1"/>
  <c r="C855" i="1"/>
  <c r="E844" i="1"/>
  <c r="G815" i="1"/>
  <c r="C805" i="1"/>
  <c r="E794" i="1"/>
  <c r="G778" i="1"/>
  <c r="C768" i="1"/>
  <c r="E757" i="1"/>
  <c r="G741" i="1"/>
  <c r="C731" i="1"/>
  <c r="E720" i="1"/>
  <c r="G706" i="1"/>
  <c r="C696" i="1"/>
  <c r="E685" i="1"/>
  <c r="G668" i="1"/>
  <c r="C658" i="1"/>
  <c r="E647" i="1"/>
  <c r="G635" i="1"/>
  <c r="C625" i="1"/>
  <c r="E614" i="1"/>
  <c r="G603" i="1"/>
  <c r="F873" i="1"/>
  <c r="F859" i="1"/>
  <c r="B93" i="3"/>
  <c r="F861" i="1"/>
  <c r="E845" i="1"/>
  <c r="D813" i="1"/>
  <c r="C799" i="1"/>
  <c r="G779" i="1"/>
  <c r="F765" i="1"/>
  <c r="E746" i="1"/>
  <c r="C732" i="1"/>
  <c r="B718" i="1"/>
  <c r="G700" i="1"/>
  <c r="E686" i="1"/>
  <c r="D666" i="1"/>
  <c r="C652" i="1"/>
  <c r="G636" i="1"/>
  <c r="F622" i="1"/>
  <c r="E608" i="1"/>
  <c r="E589" i="1"/>
  <c r="D577" i="1"/>
  <c r="D566" i="1"/>
  <c r="G510" i="1"/>
  <c r="C500" i="1"/>
  <c r="E489" i="1"/>
  <c r="G472" i="1"/>
  <c r="C462" i="1"/>
  <c r="E451" i="1"/>
  <c r="B399" i="1"/>
  <c r="D388" i="1"/>
  <c r="F377" i="1"/>
  <c r="B366" i="1"/>
  <c r="D355" i="1"/>
  <c r="F344" i="1"/>
  <c r="B331" i="1"/>
  <c r="B124" i="3"/>
  <c r="A103" i="3"/>
  <c r="C81" i="3"/>
  <c r="B60" i="3"/>
  <c r="A39" i="3"/>
  <c r="C17" i="3"/>
  <c r="A124" i="3"/>
  <c r="C102" i="3"/>
  <c r="B81" i="3"/>
  <c r="A60" i="3"/>
  <c r="C38" i="3"/>
  <c r="B17" i="3"/>
  <c r="C123" i="3"/>
  <c r="B102" i="3"/>
  <c r="A81" i="3"/>
  <c r="C59" i="3"/>
  <c r="B38" i="3"/>
  <c r="A17" i="3"/>
  <c r="B123" i="3"/>
  <c r="A102" i="3"/>
  <c r="C80" i="3"/>
  <c r="B59" i="3"/>
  <c r="A38" i="3"/>
  <c r="C16" i="3"/>
  <c r="B122" i="3"/>
  <c r="A101" i="3"/>
  <c r="C79" i="3"/>
  <c r="B58" i="3"/>
  <c r="A37" i="3"/>
  <c r="C15" i="3"/>
  <c r="B112" i="3"/>
  <c r="A56" i="3"/>
  <c r="B128" i="3"/>
  <c r="A64" i="3"/>
  <c r="C125" i="3"/>
  <c r="B61" i="3"/>
  <c r="A128" i="3"/>
  <c r="B40" i="3"/>
  <c r="A82" i="3"/>
  <c r="B125" i="3"/>
  <c r="C10" i="3"/>
  <c r="A24" i="3"/>
  <c r="A8" i="3"/>
  <c r="B117" i="3"/>
  <c r="A90" i="3"/>
  <c r="G868" i="1"/>
  <c r="C858" i="1"/>
  <c r="E847" i="1"/>
  <c r="G818" i="1"/>
  <c r="C808" i="1"/>
  <c r="E797" i="1"/>
  <c r="G781" i="1"/>
  <c r="C771" i="1"/>
  <c r="E760" i="1"/>
  <c r="G744" i="1"/>
  <c r="C734" i="1"/>
  <c r="E723" i="1"/>
  <c r="G709" i="1"/>
  <c r="C699" i="1"/>
  <c r="E688" i="1"/>
  <c r="G671" i="1"/>
  <c r="C661" i="1"/>
  <c r="E650" i="1"/>
  <c r="G638" i="1"/>
  <c r="C628" i="1"/>
  <c r="E617" i="1"/>
  <c r="G606" i="1"/>
  <c r="C590" i="1"/>
  <c r="E579" i="1"/>
  <c r="C875" i="1"/>
  <c r="E864" i="1"/>
  <c r="G853" i="1"/>
  <c r="C843" i="1"/>
  <c r="E814" i="1"/>
  <c r="G803" i="1"/>
  <c r="C793" i="1"/>
  <c r="E777" i="1"/>
  <c r="G766" i="1"/>
  <c r="C756" i="1"/>
  <c r="E740" i="1"/>
  <c r="G729" i="1"/>
  <c r="C719" i="1"/>
  <c r="E705" i="1"/>
  <c r="G694" i="1"/>
  <c r="C684" i="1"/>
  <c r="E667" i="1"/>
  <c r="G656" i="1"/>
  <c r="C646" i="1"/>
  <c r="E634" i="1"/>
  <c r="G623" i="1"/>
  <c r="C613" i="1"/>
  <c r="A107" i="3"/>
  <c r="B872" i="1"/>
  <c r="F857" i="1"/>
  <c r="C44" i="3"/>
  <c r="G859" i="1"/>
  <c r="G843" i="1"/>
  <c r="E811" i="1"/>
  <c r="D797" i="1"/>
  <c r="C778" i="1"/>
  <c r="G763" i="1"/>
  <c r="F744" i="1"/>
  <c r="E730" i="1"/>
  <c r="C716" i="1"/>
  <c r="B699" i="1"/>
  <c r="G684" i="1"/>
  <c r="E664" i="1"/>
  <c r="D650" i="1"/>
  <c r="C635" i="1"/>
  <c r="G620" i="1"/>
  <c r="F606" i="1"/>
  <c r="B588" i="1"/>
  <c r="G575" i="1"/>
  <c r="B565" i="1"/>
  <c r="E509" i="1"/>
  <c r="G498" i="1"/>
  <c r="C488" i="1"/>
  <c r="E471" i="1"/>
  <c r="G460" i="1"/>
  <c r="C450" i="1"/>
  <c r="F397" i="1"/>
  <c r="B387" i="1"/>
  <c r="D376" i="1"/>
  <c r="F364" i="1"/>
  <c r="B354" i="1"/>
  <c r="D343" i="1"/>
  <c r="F329" i="1"/>
  <c r="C121" i="3"/>
  <c r="B100" i="3"/>
  <c r="A79" i="3"/>
  <c r="C57" i="3"/>
  <c r="B36" i="3"/>
  <c r="A15" i="3"/>
  <c r="B121" i="3"/>
  <c r="A100" i="3"/>
  <c r="C78" i="3"/>
  <c r="B57" i="3"/>
  <c r="A36" i="3"/>
  <c r="C14" i="3"/>
  <c r="A121" i="3"/>
  <c r="C99" i="3"/>
  <c r="B78" i="3"/>
  <c r="A57" i="3"/>
  <c r="C35" i="3"/>
  <c r="B14" i="3"/>
  <c r="C120" i="3"/>
  <c r="B99" i="3"/>
  <c r="A78" i="3"/>
  <c r="C56" i="3"/>
  <c r="B35" i="3"/>
  <c r="A14" i="3"/>
  <c r="C119" i="3"/>
  <c r="B98" i="3"/>
  <c r="A77" i="3"/>
  <c r="C55" i="3"/>
  <c r="B34" i="3"/>
  <c r="A13" i="3"/>
  <c r="A106" i="3"/>
  <c r="B48" i="3"/>
  <c r="B120" i="3"/>
  <c r="B55" i="3"/>
  <c r="C117" i="3"/>
  <c r="B53" i="3"/>
  <c r="C116" i="3"/>
  <c r="C29" i="3"/>
  <c r="B71" i="3"/>
  <c r="B111" i="3"/>
  <c r="A123" i="3"/>
  <c r="A10" i="3"/>
  <c r="B119" i="3"/>
  <c r="A99" i="3"/>
  <c r="A58" i="3"/>
  <c r="E867" i="1"/>
  <c r="G856" i="1"/>
  <c r="C846" i="1"/>
  <c r="E817" i="1"/>
  <c r="G806" i="1"/>
  <c r="C796" i="1"/>
  <c r="E780" i="1"/>
  <c r="G769" i="1"/>
  <c r="C759" i="1"/>
  <c r="E743" i="1"/>
  <c r="G732" i="1"/>
  <c r="C722" i="1"/>
  <c r="E708" i="1"/>
  <c r="G697" i="1"/>
  <c r="C687" i="1"/>
  <c r="E670" i="1"/>
  <c r="G659" i="1"/>
  <c r="C649" i="1"/>
  <c r="E637" i="1"/>
  <c r="G626" i="1"/>
  <c r="C616" i="1"/>
  <c r="E605" i="1"/>
  <c r="G588" i="1"/>
  <c r="C578" i="1"/>
  <c r="G873" i="1"/>
  <c r="C863" i="1"/>
  <c r="E852" i="1"/>
  <c r="G841" i="1"/>
  <c r="C813" i="1"/>
  <c r="E802" i="1"/>
  <c r="G791" i="1"/>
  <c r="C776" i="1"/>
  <c r="E765" i="1"/>
  <c r="G754" i="1"/>
  <c r="C739" i="1"/>
  <c r="E728" i="1"/>
  <c r="G717" i="1"/>
  <c r="C704" i="1"/>
  <c r="E693" i="1"/>
  <c r="G682" i="1"/>
  <c r="C666" i="1"/>
  <c r="E655" i="1"/>
  <c r="G644" i="1"/>
  <c r="C633" i="1"/>
  <c r="E622" i="1"/>
  <c r="G611" i="1"/>
  <c r="C68" i="3"/>
  <c r="D870" i="1"/>
  <c r="B856" i="1"/>
  <c r="B874" i="1"/>
  <c r="E857" i="1"/>
  <c r="B842" i="1"/>
  <c r="G809" i="1"/>
  <c r="E795" i="1"/>
  <c r="D776" i="1"/>
  <c r="C762" i="1"/>
  <c r="G742" i="1"/>
  <c r="F728" i="1"/>
  <c r="E711" i="1"/>
  <c r="C697" i="1"/>
  <c r="B683" i="1"/>
  <c r="G662" i="1"/>
  <c r="E648" i="1"/>
  <c r="D633" i="1"/>
  <c r="C619" i="1"/>
  <c r="G604" i="1"/>
  <c r="E586" i="1"/>
  <c r="D574" i="1"/>
  <c r="F563" i="1"/>
  <c r="C508" i="1"/>
  <c r="E497" i="1"/>
  <c r="G486" i="1"/>
  <c r="C470" i="1"/>
  <c r="E459" i="1"/>
  <c r="G448" i="1"/>
  <c r="D396" i="1"/>
  <c r="F385" i="1"/>
  <c r="B375" i="1"/>
  <c r="D363" i="1"/>
  <c r="F352" i="1"/>
  <c r="B342" i="1"/>
  <c r="D328" i="1"/>
  <c r="A119" i="3"/>
  <c r="C97" i="3"/>
  <c r="B76" i="3"/>
  <c r="A55" i="3"/>
  <c r="C33" i="3"/>
  <c r="B12" i="3"/>
  <c r="C118" i="3"/>
  <c r="B97" i="3"/>
  <c r="A76" i="3"/>
  <c r="C54" i="3"/>
  <c r="B33" i="3"/>
  <c r="A12" i="3"/>
  <c r="B118" i="3"/>
  <c r="A97" i="3"/>
  <c r="C75" i="3"/>
  <c r="B54" i="3"/>
  <c r="A33" i="3"/>
  <c r="C11" i="3"/>
  <c r="A118" i="3"/>
  <c r="C96" i="3"/>
  <c r="B75" i="3"/>
  <c r="A54" i="3"/>
  <c r="C32" i="3"/>
  <c r="B11" i="3"/>
  <c r="A117" i="3"/>
  <c r="C95" i="3"/>
  <c r="B74" i="3"/>
  <c r="A53" i="3"/>
  <c r="C31" i="3"/>
  <c r="B10" i="3"/>
  <c r="C98" i="3"/>
  <c r="A42" i="3"/>
  <c r="A112" i="3"/>
  <c r="B47" i="3"/>
  <c r="C109" i="3"/>
  <c r="B45" i="3"/>
  <c r="C106" i="3"/>
  <c r="C18" i="3"/>
  <c r="A59" i="3"/>
  <c r="A98" i="3"/>
  <c r="B109" i="3"/>
  <c r="C122" i="3"/>
  <c r="C100" i="3"/>
  <c r="C76" i="3"/>
  <c r="A32" i="3"/>
  <c r="C866" i="1"/>
  <c r="E855" i="1"/>
  <c r="G844" i="1"/>
  <c r="C816" i="1"/>
  <c r="E805" i="1"/>
  <c r="G794" i="1"/>
  <c r="C779" i="1"/>
  <c r="E768" i="1"/>
  <c r="G757" i="1"/>
  <c r="C742" i="1"/>
  <c r="E731" i="1"/>
  <c r="G720" i="1"/>
  <c r="C707" i="1"/>
  <c r="E696" i="1"/>
  <c r="G685" i="1"/>
  <c r="C669" i="1"/>
  <c r="E658" i="1"/>
  <c r="G647" i="1"/>
  <c r="C636" i="1"/>
  <c r="E625" i="1"/>
  <c r="G614" i="1"/>
  <c r="C604" i="1"/>
  <c r="E587" i="1"/>
  <c r="G576" i="1"/>
  <c r="E872" i="1"/>
  <c r="G861" i="1"/>
  <c r="C851" i="1"/>
  <c r="E822" i="1"/>
  <c r="G811" i="1"/>
  <c r="C801" i="1"/>
  <c r="E785" i="1"/>
  <c r="G774" i="1"/>
  <c r="C764" i="1"/>
  <c r="E753" i="1"/>
  <c r="G737" i="1"/>
  <c r="C727" i="1"/>
  <c r="E716" i="1"/>
  <c r="G702" i="1"/>
  <c r="C692" i="1"/>
  <c r="E681" i="1"/>
  <c r="G664" i="1"/>
  <c r="C654" i="1"/>
  <c r="E643" i="1"/>
  <c r="G631" i="1"/>
  <c r="C621" i="1"/>
  <c r="E610" i="1"/>
  <c r="A26" i="3"/>
  <c r="D868" i="1"/>
  <c r="D854" i="1"/>
  <c r="G871" i="1"/>
  <c r="F855" i="1"/>
  <c r="C822" i="1"/>
  <c r="B808" i="1"/>
  <c r="G793" i="1"/>
  <c r="E774" i="1"/>
  <c r="D760" i="1"/>
  <c r="C741" i="1"/>
  <c r="G726" i="1"/>
  <c r="F709" i="1"/>
  <c r="E695" i="1"/>
  <c r="C681" i="1"/>
  <c r="B661" i="1"/>
  <c r="G646" i="1"/>
  <c r="E631" i="1"/>
  <c r="D617" i="1"/>
  <c r="C603" i="1"/>
  <c r="B585" i="1"/>
  <c r="B573" i="1"/>
  <c r="E517" i="1"/>
  <c r="G506" i="1"/>
  <c r="C496" i="1"/>
  <c r="E479" i="1"/>
  <c r="G468" i="1"/>
  <c r="C458" i="1"/>
  <c r="F405" i="1"/>
  <c r="B395" i="1"/>
  <c r="D384" i="1"/>
  <c r="F372" i="1"/>
  <c r="C113" i="3"/>
  <c r="B92" i="3"/>
  <c r="A71" i="3"/>
  <c r="C49" i="3"/>
  <c r="B28" i="3"/>
  <c r="A7" i="3"/>
  <c r="B113" i="3"/>
  <c r="A92" i="3"/>
  <c r="C70" i="3"/>
  <c r="B49" i="3"/>
  <c r="A28" i="3"/>
  <c r="C6" i="3"/>
  <c r="A113" i="3"/>
  <c r="C91" i="3"/>
  <c r="B70" i="3"/>
  <c r="A49" i="3"/>
  <c r="C27" i="3"/>
  <c r="B6" i="3"/>
  <c r="C112" i="3"/>
  <c r="B91" i="3"/>
  <c r="A70" i="3"/>
  <c r="C48" i="3"/>
  <c r="B27" i="3"/>
  <c r="A6" i="3"/>
  <c r="C111" i="3"/>
  <c r="B90" i="3"/>
  <c r="A69" i="3"/>
  <c r="C47" i="3"/>
  <c r="B26" i="3"/>
  <c r="A5" i="3"/>
  <c r="C84" i="3"/>
  <c r="A27" i="3"/>
  <c r="A96" i="3"/>
  <c r="B31" i="3"/>
  <c r="C93" i="3"/>
  <c r="B29" i="3"/>
  <c r="A83" i="3"/>
  <c r="C124" i="3"/>
  <c r="C37" i="3"/>
  <c r="A67" i="3"/>
  <c r="B80" i="3"/>
  <c r="B87" i="3"/>
  <c r="C60" i="3"/>
  <c r="C42" i="3"/>
  <c r="C874" i="1"/>
  <c r="E863" i="1"/>
  <c r="G852" i="1"/>
  <c r="C842" i="1"/>
  <c r="E813" i="1"/>
  <c r="G802" i="1"/>
  <c r="C792" i="1"/>
  <c r="E776" i="1"/>
  <c r="G765" i="1"/>
  <c r="C755" i="1"/>
  <c r="E739" i="1"/>
  <c r="G728" i="1"/>
  <c r="C718" i="1"/>
  <c r="E704" i="1"/>
  <c r="G693" i="1"/>
  <c r="C683" i="1"/>
  <c r="E666" i="1"/>
  <c r="G655" i="1"/>
  <c r="C645" i="1"/>
  <c r="E633" i="1"/>
  <c r="G622" i="1"/>
  <c r="C612" i="1"/>
  <c r="E595" i="1"/>
  <c r="G584" i="1"/>
  <c r="A114" i="3"/>
  <c r="G869" i="1"/>
  <c r="C859" i="1"/>
  <c r="E848" i="1"/>
  <c r="G819" i="1"/>
  <c r="C809" i="1"/>
  <c r="E798" i="1"/>
  <c r="G782" i="1"/>
  <c r="C772" i="1"/>
  <c r="E761" i="1"/>
  <c r="G745" i="1"/>
  <c r="C735" i="1"/>
  <c r="E724" i="1"/>
  <c r="G710" i="1"/>
  <c r="C700" i="1"/>
  <c r="E689" i="1"/>
  <c r="G678" i="1"/>
  <c r="C662" i="1"/>
  <c r="E651" i="1"/>
  <c r="G640" i="1"/>
  <c r="C629" i="1"/>
  <c r="E618" i="1"/>
  <c r="G607" i="1"/>
  <c r="B64" i="3"/>
  <c r="B865" i="1"/>
  <c r="F850" i="1"/>
  <c r="G867" i="1"/>
  <c r="F851" i="1"/>
  <c r="F818" i="1"/>
  <c r="E804" i="1"/>
  <c r="C785" i="1"/>
  <c r="B771" i="1"/>
  <c r="G756" i="1"/>
  <c r="E737" i="1"/>
  <c r="D723" i="1"/>
  <c r="C706" i="1"/>
  <c r="G691" i="1"/>
  <c r="F671" i="1"/>
  <c r="E657" i="1"/>
  <c r="C643" i="1"/>
  <c r="B628" i="1"/>
  <c r="G613" i="1"/>
  <c r="B594" i="1"/>
  <c r="G581" i="1"/>
  <c r="D570" i="1"/>
  <c r="G514" i="1"/>
  <c r="C504" i="1"/>
  <c r="E493" i="1"/>
  <c r="G476" i="1"/>
  <c r="C466" i="1"/>
  <c r="E455" i="1"/>
  <c r="B403" i="1"/>
  <c r="D392" i="1"/>
  <c r="F381" i="1"/>
  <c r="B370" i="1"/>
  <c r="D359" i="1"/>
  <c r="F348" i="1"/>
  <c r="B338" i="1"/>
  <c r="D324" i="1"/>
  <c r="B116" i="3"/>
  <c r="A31" i="3"/>
  <c r="B73" i="3"/>
  <c r="C115" i="3"/>
  <c r="B30" i="3"/>
  <c r="C72" i="3"/>
  <c r="B114" i="3"/>
  <c r="A29" i="3"/>
  <c r="A104" i="3"/>
  <c r="B95" i="3"/>
  <c r="B96" i="3"/>
  <c r="E875" i="1"/>
  <c r="G814" i="1"/>
  <c r="C767" i="1"/>
  <c r="E719" i="1"/>
  <c r="G667" i="1"/>
  <c r="C624" i="1"/>
  <c r="E575" i="1"/>
  <c r="C821" i="1"/>
  <c r="E773" i="1"/>
  <c r="G725" i="1"/>
  <c r="C680" i="1"/>
  <c r="E630" i="1"/>
  <c r="F866" i="1"/>
  <c r="E820" i="1"/>
  <c r="E758" i="1"/>
  <c r="F693" i="1"/>
  <c r="G629" i="1"/>
  <c r="F571" i="1"/>
  <c r="C478" i="1"/>
  <c r="F393" i="1"/>
  <c r="B358" i="1"/>
  <c r="F325" i="1"/>
  <c r="F313" i="1"/>
  <c r="B303" i="1"/>
  <c r="D288" i="1"/>
  <c r="F277" i="1"/>
  <c r="B267" i="1"/>
  <c r="D250" i="1"/>
  <c r="D872" i="1"/>
  <c r="F853" i="1"/>
  <c r="D818" i="1"/>
  <c r="C802" i="1"/>
  <c r="B781" i="1"/>
  <c r="G764" i="1"/>
  <c r="F743" i="1"/>
  <c r="D727" i="1"/>
  <c r="B708" i="1"/>
  <c r="F691" i="1"/>
  <c r="E669" i="1"/>
  <c r="D653" i="1"/>
  <c r="B636" i="1"/>
  <c r="F619" i="1"/>
  <c r="E603" i="1"/>
  <c r="F583" i="1"/>
  <c r="C570" i="1"/>
  <c r="C513" i="1"/>
  <c r="B501" i="1"/>
  <c r="G488" i="1"/>
  <c r="F470" i="1"/>
  <c r="E458" i="1"/>
  <c r="E404" i="1"/>
  <c r="C392" i="1"/>
  <c r="B380" i="1"/>
  <c r="G366" i="1"/>
  <c r="F354" i="1"/>
  <c r="E342" i="1"/>
  <c r="D327" i="1"/>
  <c r="C315" i="1"/>
  <c r="G302" i="1"/>
  <c r="F286" i="1"/>
  <c r="E274" i="1"/>
  <c r="D262" i="1"/>
  <c r="E244" i="1"/>
  <c r="G233" i="1"/>
  <c r="C222" i="1"/>
  <c r="E211" i="1"/>
  <c r="G200" i="1"/>
  <c r="C190" i="1"/>
  <c r="E175" i="1"/>
  <c r="G164" i="1"/>
  <c r="C154" i="1"/>
  <c r="E139" i="1"/>
  <c r="G128" i="1"/>
  <c r="C118" i="1"/>
  <c r="E103" i="1"/>
  <c r="G92" i="1"/>
  <c r="C82" i="1"/>
  <c r="E69" i="1"/>
  <c r="G58" i="1"/>
  <c r="C48" i="1"/>
  <c r="E32" i="1"/>
  <c r="G21" i="1"/>
  <c r="C11" i="1"/>
  <c r="D867" i="1"/>
  <c r="C818" i="1"/>
  <c r="G780" i="1"/>
  <c r="E874" i="1"/>
  <c r="D816" i="1"/>
  <c r="F778" i="1"/>
  <c r="F871" i="1"/>
  <c r="C853" i="1"/>
  <c r="B818" i="1"/>
  <c r="G801" i="1"/>
  <c r="F780" i="1"/>
  <c r="D764" i="1"/>
  <c r="B743" i="1"/>
  <c r="F726" i="1"/>
  <c r="E707" i="1"/>
  <c r="D691" i="1"/>
  <c r="B669" i="1"/>
  <c r="F652" i="1"/>
  <c r="E635" i="1"/>
  <c r="D619" i="1"/>
  <c r="B603" i="1"/>
  <c r="B583" i="1"/>
  <c r="G569" i="1"/>
  <c r="G512" i="1"/>
  <c r="F500" i="1"/>
  <c r="E488" i="1"/>
  <c r="D470" i="1"/>
  <c r="B458" i="1"/>
  <c r="B404" i="1"/>
  <c r="G391" i="1"/>
  <c r="F379" i="1"/>
  <c r="A111" i="3"/>
  <c r="C25" i="3"/>
  <c r="A68" i="3"/>
  <c r="B110" i="3"/>
  <c r="A25" i="3"/>
  <c r="B67" i="3"/>
  <c r="A109" i="3"/>
  <c r="C23" i="3"/>
  <c r="A88" i="3"/>
  <c r="A74" i="3"/>
  <c r="C66" i="3"/>
  <c r="G872" i="1"/>
  <c r="C812" i="1"/>
  <c r="E764" i="1"/>
  <c r="G716" i="1"/>
  <c r="C665" i="1"/>
  <c r="E621" i="1"/>
  <c r="B85" i="3"/>
  <c r="E818" i="1"/>
  <c r="G770" i="1"/>
  <c r="C723" i="1"/>
  <c r="E671" i="1"/>
  <c r="G627" i="1"/>
  <c r="B863" i="1"/>
  <c r="G816" i="1"/>
  <c r="B755" i="1"/>
  <c r="C690" i="1"/>
  <c r="C626" i="1"/>
  <c r="B569" i="1"/>
  <c r="E475" i="1"/>
  <c r="B391" i="1"/>
  <c r="D351" i="1"/>
  <c r="B323" i="1"/>
  <c r="D312" i="1"/>
  <c r="F301" i="1"/>
  <c r="B287" i="1"/>
  <c r="D276" i="1"/>
  <c r="F265" i="1"/>
  <c r="B249" i="1"/>
  <c r="B870" i="1"/>
  <c r="D851" i="1"/>
  <c r="E816" i="1"/>
  <c r="D800" i="1"/>
  <c r="B779" i="1"/>
  <c r="F762" i="1"/>
  <c r="E741" i="1"/>
  <c r="D725" i="1"/>
  <c r="B706" i="1"/>
  <c r="F689" i="1"/>
  <c r="D667" i="1"/>
  <c r="C651" i="1"/>
  <c r="B634" i="1"/>
  <c r="G617" i="1"/>
  <c r="G595" i="1"/>
  <c r="F581" i="1"/>
  <c r="F568" i="1"/>
  <c r="F511" i="1"/>
  <c r="E499" i="1"/>
  <c r="D487" i="1"/>
  <c r="C469" i="1"/>
  <c r="B457" i="1"/>
  <c r="G402" i="1"/>
  <c r="F390" i="1"/>
  <c r="E378" i="1"/>
  <c r="D365" i="1"/>
  <c r="C353" i="1"/>
  <c r="B341" i="1"/>
  <c r="G325" i="1"/>
  <c r="E313" i="1"/>
  <c r="D301" i="1"/>
  <c r="C285" i="1"/>
  <c r="B273" i="1"/>
  <c r="G254" i="1"/>
  <c r="C243" i="1"/>
  <c r="E232" i="1"/>
  <c r="G220" i="1"/>
  <c r="C210" i="1"/>
  <c r="E199" i="1"/>
  <c r="G188" i="1"/>
  <c r="C174" i="1"/>
  <c r="E163" i="1"/>
  <c r="G152" i="1"/>
  <c r="C138" i="1"/>
  <c r="E127" i="1"/>
  <c r="G116" i="1"/>
  <c r="C102" i="1"/>
  <c r="E91" i="1"/>
  <c r="G80" i="1"/>
  <c r="C68" i="1"/>
  <c r="E57" i="1"/>
  <c r="G46" i="1"/>
  <c r="C31" i="1"/>
  <c r="E20" i="1"/>
  <c r="G9" i="1"/>
  <c r="F862" i="1"/>
  <c r="C814" i="1"/>
  <c r="G776" i="1"/>
  <c r="E869" i="1"/>
  <c r="D812" i="1"/>
  <c r="F774" i="1"/>
  <c r="D869" i="1"/>
  <c r="G850" i="1"/>
  <c r="B816" i="1"/>
  <c r="F799" i="1"/>
  <c r="E778" i="1"/>
  <c r="D762" i="1"/>
  <c r="B741" i="1"/>
  <c r="F724" i="1"/>
  <c r="D705" i="1"/>
  <c r="C689" i="1"/>
  <c r="B667" i="1"/>
  <c r="G650" i="1"/>
  <c r="F633" i="1"/>
  <c r="B617" i="1"/>
  <c r="C595" i="1"/>
  <c r="D581" i="1"/>
  <c r="D568" i="1"/>
  <c r="D511" i="1"/>
  <c r="C499" i="1"/>
  <c r="B487" i="1"/>
  <c r="F468" i="1"/>
  <c r="E456" i="1"/>
  <c r="E402" i="1"/>
  <c r="D390" i="1"/>
  <c r="C378" i="1"/>
  <c r="B365" i="1"/>
  <c r="G352" i="1"/>
  <c r="A95" i="3"/>
  <c r="C9" i="3"/>
  <c r="A52" i="3"/>
  <c r="B94" i="3"/>
  <c r="A9" i="3"/>
  <c r="B51" i="3"/>
  <c r="A93" i="3"/>
  <c r="C7" i="3"/>
  <c r="B39" i="3"/>
  <c r="B8" i="3"/>
  <c r="B104" i="3"/>
  <c r="G864" i="1"/>
  <c r="C804" i="1"/>
  <c r="E756" i="1"/>
  <c r="G705" i="1"/>
  <c r="C657" i="1"/>
  <c r="E613" i="1"/>
  <c r="C871" i="1"/>
  <c r="E810" i="1"/>
  <c r="G762" i="1"/>
  <c r="C715" i="1"/>
  <c r="E663" i="1"/>
  <c r="G619" i="1"/>
  <c r="D852" i="1"/>
  <c r="C806" i="1"/>
  <c r="D739" i="1"/>
  <c r="E679" i="1"/>
  <c r="E615" i="1"/>
  <c r="C516" i="1"/>
  <c r="E467" i="1"/>
  <c r="B383" i="1"/>
  <c r="B350" i="1"/>
  <c r="F321" i="1"/>
  <c r="B311" i="1"/>
  <c r="D300" i="1"/>
  <c r="F285" i="1"/>
  <c r="B275" i="1"/>
  <c r="D264" i="1"/>
  <c r="F247" i="1"/>
  <c r="F867" i="1"/>
  <c r="C849" i="1"/>
  <c r="D814" i="1"/>
  <c r="C798" i="1"/>
  <c r="B777" i="1"/>
  <c r="G760" i="1"/>
  <c r="F739" i="1"/>
  <c r="B723" i="1"/>
  <c r="G703" i="1"/>
  <c r="F687" i="1"/>
  <c r="E665" i="1"/>
  <c r="D649" i="1"/>
  <c r="B632" i="1"/>
  <c r="F615" i="1"/>
  <c r="G593" i="1"/>
  <c r="B580" i="1"/>
  <c r="C567" i="1"/>
  <c r="C510" i="1"/>
  <c r="B498" i="1"/>
  <c r="G479" i="1"/>
  <c r="F467" i="1"/>
  <c r="D455" i="1"/>
  <c r="D401" i="1"/>
  <c r="C389" i="1"/>
  <c r="B377" i="1"/>
  <c r="G363" i="1"/>
  <c r="F351" i="1"/>
  <c r="E339" i="1"/>
  <c r="C324" i="1"/>
  <c r="B312" i="1"/>
  <c r="G295" i="1"/>
  <c r="F283" i="1"/>
  <c r="E271" i="1"/>
  <c r="D253" i="1"/>
  <c r="G241" i="1"/>
  <c r="C231" i="1"/>
  <c r="E219" i="1"/>
  <c r="G208" i="1"/>
  <c r="C198" i="1"/>
  <c r="E183" i="1"/>
  <c r="G172" i="1"/>
  <c r="C162" i="1"/>
  <c r="E147" i="1"/>
  <c r="G136" i="1"/>
  <c r="C126" i="1"/>
  <c r="E115" i="1"/>
  <c r="G100" i="1"/>
  <c r="C90" i="1"/>
  <c r="E79" i="1"/>
  <c r="G66" i="1"/>
  <c r="C56" i="1"/>
  <c r="E45" i="1"/>
  <c r="G29" i="1"/>
  <c r="C19" i="1"/>
  <c r="E8" i="1"/>
  <c r="D858" i="1"/>
  <c r="D808" i="1"/>
  <c r="F772" i="1"/>
  <c r="C865" i="1"/>
  <c r="C810" i="1"/>
  <c r="E770" i="1"/>
  <c r="B867" i="1"/>
  <c r="D848" i="1"/>
  <c r="B814" i="1"/>
  <c r="G797" i="1"/>
  <c r="F776" i="1"/>
  <c r="B760" i="1"/>
  <c r="G738" i="1"/>
  <c r="F722" i="1"/>
  <c r="E703" i="1"/>
  <c r="D687" i="1"/>
  <c r="B665" i="1"/>
  <c r="F648" i="1"/>
  <c r="D631" i="1"/>
  <c r="C615" i="1"/>
  <c r="E593" i="1"/>
  <c r="F579" i="1"/>
  <c r="G566" i="1"/>
  <c r="G509" i="1"/>
  <c r="F497" i="1"/>
  <c r="D479" i="1"/>
  <c r="C467" i="1"/>
  <c r="C89" i="3"/>
  <c r="B4" i="3"/>
  <c r="C46" i="3"/>
  <c r="A89" i="3"/>
  <c r="C3" i="3"/>
  <c r="A46" i="3"/>
  <c r="C87" i="3"/>
  <c r="B2" i="3"/>
  <c r="B23" i="3"/>
  <c r="C114" i="3"/>
  <c r="A66" i="3"/>
  <c r="C862" i="1"/>
  <c r="E801" i="1"/>
  <c r="G753" i="1"/>
  <c r="C703" i="1"/>
  <c r="E654" i="1"/>
  <c r="G610" i="1"/>
  <c r="E868" i="1"/>
  <c r="G807" i="1"/>
  <c r="C760" i="1"/>
  <c r="E709" i="1"/>
  <c r="G660" i="1"/>
  <c r="C617" i="1"/>
  <c r="B849" i="1"/>
  <c r="F802" i="1"/>
  <c r="G735" i="1"/>
  <c r="G669" i="1"/>
  <c r="B612" i="1"/>
  <c r="E513" i="1"/>
  <c r="G464" i="1"/>
  <c r="D380" i="1"/>
  <c r="D347" i="1"/>
  <c r="D320" i="1"/>
  <c r="F309" i="1"/>
  <c r="B295" i="1"/>
  <c r="D284" i="1"/>
  <c r="F273" i="1"/>
  <c r="B263" i="1"/>
  <c r="C90" i="3"/>
  <c r="D865" i="1"/>
  <c r="F846" i="1"/>
  <c r="E812" i="1"/>
  <c r="D796" i="1"/>
  <c r="B775" i="1"/>
  <c r="F758" i="1"/>
  <c r="D737" i="1"/>
  <c r="C721" i="1"/>
  <c r="B702" i="1"/>
  <c r="F685" i="1"/>
  <c r="D663" i="1"/>
  <c r="C647" i="1"/>
  <c r="B630" i="1"/>
  <c r="F613" i="1"/>
  <c r="C592" i="1"/>
  <c r="D578" i="1"/>
  <c r="F565" i="1"/>
  <c r="F508" i="1"/>
  <c r="E496" i="1"/>
  <c r="D478" i="1"/>
  <c r="B466" i="1"/>
  <c r="G453" i="1"/>
  <c r="G399" i="1"/>
  <c r="F387" i="1"/>
  <c r="E375" i="1"/>
  <c r="D362" i="1"/>
  <c r="C350" i="1"/>
  <c r="G334" i="1"/>
  <c r="F322" i="1"/>
  <c r="E310" i="1"/>
  <c r="D294" i="1"/>
  <c r="C282" i="1"/>
  <c r="B270" i="1"/>
  <c r="G251" i="1"/>
  <c r="E240" i="1"/>
  <c r="G229" i="1"/>
  <c r="C218" i="1"/>
  <c r="E207" i="1"/>
  <c r="G196" i="1"/>
  <c r="C182" i="1"/>
  <c r="E171" i="1"/>
  <c r="G160" i="1"/>
  <c r="C146" i="1"/>
  <c r="E135" i="1"/>
  <c r="G124" i="1"/>
  <c r="C114" i="1"/>
  <c r="E99" i="1"/>
  <c r="G88" i="1"/>
  <c r="C78" i="1"/>
  <c r="E65" i="1"/>
  <c r="G54" i="1"/>
  <c r="C44" i="1"/>
  <c r="E28" i="1"/>
  <c r="G17" i="1"/>
  <c r="C7" i="1"/>
  <c r="D853" i="1"/>
  <c r="B804" i="1"/>
  <c r="F768" i="1"/>
  <c r="D860" i="1"/>
  <c r="B806" i="1"/>
  <c r="E766" i="1"/>
  <c r="F864" i="1"/>
  <c r="D846" i="1"/>
  <c r="B812" i="1"/>
  <c r="F795" i="1"/>
  <c r="D774" i="1"/>
  <c r="C758" i="1"/>
  <c r="B737" i="1"/>
  <c r="F720" i="1"/>
  <c r="D701" i="1"/>
  <c r="C685" i="1"/>
  <c r="B663" i="1"/>
  <c r="F646" i="1"/>
  <c r="D629" i="1"/>
  <c r="B613" i="1"/>
  <c r="G591" i="1"/>
  <c r="G577" i="1"/>
  <c r="D565" i="1"/>
  <c r="D508" i="1"/>
  <c r="B496" i="1"/>
  <c r="G477" i="1"/>
  <c r="F465" i="1"/>
  <c r="C73" i="3"/>
  <c r="A116" i="3"/>
  <c r="C30" i="3"/>
  <c r="A73" i="3"/>
  <c r="B115" i="3"/>
  <c r="A30" i="3"/>
  <c r="C71" i="3"/>
  <c r="A91" i="3"/>
  <c r="C101" i="3"/>
  <c r="A50" i="3"/>
  <c r="B79" i="3"/>
  <c r="C854" i="1"/>
  <c r="E793" i="1"/>
  <c r="G740" i="1"/>
  <c r="C695" i="1"/>
  <c r="E646" i="1"/>
  <c r="G596" i="1"/>
  <c r="E860" i="1"/>
  <c r="G799" i="1"/>
  <c r="C752" i="1"/>
  <c r="E701" i="1"/>
  <c r="G652" i="1"/>
  <c r="C609" i="1"/>
  <c r="F869" i="1"/>
  <c r="B792" i="1"/>
  <c r="C725" i="1"/>
  <c r="C659" i="1"/>
  <c r="F595" i="1"/>
  <c r="E505" i="1"/>
  <c r="G456" i="1"/>
  <c r="D371" i="1"/>
  <c r="F340" i="1"/>
  <c r="B319" i="1"/>
  <c r="D308" i="1"/>
  <c r="F293" i="1"/>
  <c r="B283" i="1"/>
  <c r="D272" i="1"/>
  <c r="F255" i="1"/>
  <c r="A35" i="3"/>
  <c r="G862" i="1"/>
  <c r="F844" i="1"/>
  <c r="D810" i="1"/>
  <c r="C794" i="1"/>
  <c r="B773" i="1"/>
  <c r="F756" i="1"/>
  <c r="D735" i="1"/>
  <c r="B719" i="1"/>
  <c r="G699" i="1"/>
  <c r="F683" i="1"/>
  <c r="E661" i="1"/>
  <c r="D645" i="1"/>
  <c r="F627" i="1"/>
  <c r="E611" i="1"/>
  <c r="E590" i="1"/>
  <c r="E576" i="1"/>
  <c r="C564" i="1"/>
  <c r="C507" i="1"/>
  <c r="B495" i="1"/>
  <c r="F476" i="1"/>
  <c r="E464" i="1"/>
  <c r="D452" i="1"/>
  <c r="D398" i="1"/>
  <c r="C386" i="1"/>
  <c r="B374" i="1"/>
  <c r="G360" i="1"/>
  <c r="E348" i="1"/>
  <c r="D333" i="1"/>
  <c r="C321" i="1"/>
  <c r="B309" i="1"/>
  <c r="G292" i="1"/>
  <c r="F280" i="1"/>
  <c r="E268" i="1"/>
  <c r="C250" i="1"/>
  <c r="C239" i="1"/>
  <c r="E228" i="1"/>
  <c r="G216" i="1"/>
  <c r="C206" i="1"/>
  <c r="E195" i="1"/>
  <c r="G180" i="1"/>
  <c r="C170" i="1"/>
  <c r="E159" i="1"/>
  <c r="G144" i="1"/>
  <c r="C134" i="1"/>
  <c r="E123" i="1"/>
  <c r="G108" i="1"/>
  <c r="C98" i="1"/>
  <c r="E87" i="1"/>
  <c r="G74" i="1"/>
  <c r="C64" i="1"/>
  <c r="E53" i="1"/>
  <c r="G42" i="1"/>
  <c r="C27" i="1"/>
  <c r="E16" i="1"/>
  <c r="G5" i="1"/>
  <c r="F848" i="1"/>
  <c r="B800" i="1"/>
  <c r="F764" i="1"/>
  <c r="G855" i="1"/>
  <c r="B802" i="1"/>
  <c r="E762" i="1"/>
  <c r="E862" i="1"/>
  <c r="C844" i="1"/>
  <c r="B810" i="1"/>
  <c r="F793" i="1"/>
  <c r="D772" i="1"/>
  <c r="B756" i="1"/>
  <c r="G734" i="1"/>
  <c r="F718" i="1"/>
  <c r="E699" i="1"/>
  <c r="D683" i="1"/>
  <c r="F660" i="1"/>
  <c r="E644" i="1"/>
  <c r="D627" i="1"/>
  <c r="C611" i="1"/>
  <c r="B590" i="1"/>
  <c r="C576" i="1"/>
  <c r="G563" i="1"/>
  <c r="F506" i="1"/>
  <c r="E494" i="1"/>
  <c r="D476" i="1"/>
  <c r="C464" i="1"/>
  <c r="B452" i="1"/>
  <c r="B398" i="1"/>
  <c r="G385" i="1"/>
  <c r="E372" i="1"/>
  <c r="D360" i="1"/>
  <c r="C348" i="1"/>
  <c r="B52" i="3"/>
  <c r="C94" i="3"/>
  <c r="B9" i="3"/>
  <c r="C51" i="3"/>
  <c r="A94" i="3"/>
  <c r="C8" i="3"/>
  <c r="B50" i="3"/>
  <c r="C34" i="3"/>
  <c r="B37" i="3"/>
  <c r="C82" i="3"/>
  <c r="C58" i="3"/>
  <c r="E843" i="1"/>
  <c r="G777" i="1"/>
  <c r="C730" i="1"/>
  <c r="E684" i="1"/>
  <c r="G634" i="1"/>
  <c r="C586" i="1"/>
  <c r="G849" i="1"/>
  <c r="C784" i="1"/>
  <c r="E736" i="1"/>
  <c r="G690" i="1"/>
  <c r="C642" i="1"/>
  <c r="B101" i="3"/>
  <c r="E853" i="1"/>
  <c r="G772" i="1"/>
  <c r="G707" i="1"/>
  <c r="B645" i="1"/>
  <c r="D583" i="1"/>
  <c r="G494" i="1"/>
  <c r="D404" i="1"/>
  <c r="B362" i="1"/>
  <c r="F333" i="1"/>
  <c r="D316" i="1"/>
  <c r="F305" i="1"/>
  <c r="B291" i="1"/>
  <c r="D280" i="1"/>
  <c r="F269" i="1"/>
  <c r="B253" i="1"/>
  <c r="A34" i="3"/>
  <c r="E858" i="1"/>
  <c r="F822" i="1"/>
  <c r="D806" i="1"/>
  <c r="B785" i="1"/>
  <c r="G768" i="1"/>
  <c r="F752" i="1"/>
  <c r="D731" i="1"/>
  <c r="B715" i="1"/>
  <c r="G695" i="1"/>
  <c r="F679" i="1"/>
  <c r="D657" i="1"/>
  <c r="B641" i="1"/>
  <c r="F623" i="1"/>
  <c r="E607" i="1"/>
  <c r="B587" i="1"/>
  <c r="D573" i="1"/>
  <c r="D516" i="1"/>
  <c r="B504" i="1"/>
  <c r="G491" i="1"/>
  <c r="F473" i="1"/>
  <c r="E461" i="1"/>
  <c r="D449" i="1"/>
  <c r="D395" i="1"/>
  <c r="C383" i="1"/>
  <c r="G369" i="1"/>
  <c r="F357" i="1"/>
  <c r="E345" i="1"/>
  <c r="D330" i="1"/>
  <c r="C318" i="1"/>
  <c r="B306" i="1"/>
  <c r="G289" i="1"/>
  <c r="E277" i="1"/>
  <c r="D265" i="1"/>
  <c r="C247" i="1"/>
  <c r="E236" i="1"/>
  <c r="G225" i="1"/>
  <c r="C214" i="1"/>
  <c r="E203" i="1"/>
  <c r="G192" i="1"/>
  <c r="C178" i="1"/>
  <c r="E167" i="1"/>
  <c r="G156" i="1"/>
  <c r="C142" i="1"/>
  <c r="E131" i="1"/>
  <c r="G120" i="1"/>
  <c r="C106" i="1"/>
  <c r="E95" i="1"/>
  <c r="G84" i="1"/>
  <c r="C72" i="1"/>
  <c r="E61" i="1"/>
  <c r="G50" i="1"/>
  <c r="C35" i="1"/>
  <c r="E24" i="1"/>
  <c r="G13" i="1"/>
  <c r="C3" i="1"/>
  <c r="E842" i="1"/>
  <c r="F791" i="1"/>
  <c r="C108" i="3"/>
  <c r="E846" i="1"/>
  <c r="B794" i="1"/>
  <c r="C13" i="3"/>
  <c r="B858" i="1"/>
  <c r="B822" i="1"/>
  <c r="G805" i="1"/>
  <c r="F784" i="1"/>
  <c r="D768" i="1"/>
  <c r="B752" i="1"/>
  <c r="G730" i="1"/>
  <c r="F711" i="1"/>
  <c r="D695" i="1"/>
  <c r="B679" i="1"/>
  <c r="F656" i="1"/>
  <c r="E640" i="1"/>
  <c r="D623" i="1"/>
  <c r="C607" i="1"/>
  <c r="F586" i="1"/>
  <c r="G572" i="1"/>
  <c r="G515" i="1"/>
  <c r="F503" i="1"/>
  <c r="E491" i="1"/>
  <c r="D473" i="1"/>
  <c r="C461" i="1"/>
  <c r="B449" i="1"/>
  <c r="G394" i="1"/>
  <c r="F382" i="1"/>
  <c r="B68" i="3"/>
  <c r="A110" i="3"/>
  <c r="C85" i="3"/>
  <c r="G785" i="1"/>
  <c r="C594" i="1"/>
  <c r="G698" i="1"/>
  <c r="E783" i="1"/>
  <c r="G502" i="1"/>
  <c r="F317" i="1"/>
  <c r="B271" i="1"/>
  <c r="F842" i="1"/>
  <c r="E754" i="1"/>
  <c r="F681" i="1"/>
  <c r="F609" i="1"/>
  <c r="F505" i="1"/>
  <c r="G450" i="1"/>
  <c r="C359" i="1"/>
  <c r="E307" i="1"/>
  <c r="F248" i="1"/>
  <c r="G204" i="1"/>
  <c r="C158" i="1"/>
  <c r="E107" i="1"/>
  <c r="G62" i="1"/>
  <c r="C15" i="1"/>
  <c r="F760" i="1"/>
  <c r="C860" i="1"/>
  <c r="D770" i="1"/>
  <c r="D697" i="1"/>
  <c r="D625" i="1"/>
  <c r="D517" i="1"/>
  <c r="F462" i="1"/>
  <c r="E396" i="1"/>
  <c r="B371" i="1"/>
  <c r="G355" i="1"/>
  <c r="E340" i="1"/>
  <c r="D325" i="1"/>
  <c r="C313" i="1"/>
  <c r="B301" i="1"/>
  <c r="G284" i="1"/>
  <c r="F272" i="1"/>
  <c r="E254" i="1"/>
  <c r="G242" i="1"/>
  <c r="C232" i="1"/>
  <c r="E220" i="1"/>
  <c r="G209" i="1"/>
  <c r="C199" i="1"/>
  <c r="E188" i="1"/>
  <c r="G173" i="1"/>
  <c r="C163" i="1"/>
  <c r="E152" i="1"/>
  <c r="G137" i="1"/>
  <c r="C127" i="1"/>
  <c r="E116" i="1"/>
  <c r="G101" i="1"/>
  <c r="C91" i="1"/>
  <c r="E80" i="1"/>
  <c r="G67" i="1"/>
  <c r="C57" i="1"/>
  <c r="E46" i="1"/>
  <c r="G30" i="1"/>
  <c r="C20" i="1"/>
  <c r="E9" i="1"/>
  <c r="E873" i="1"/>
  <c r="B855" i="1"/>
  <c r="F819" i="1"/>
  <c r="E803" i="1"/>
  <c r="D782" i="1"/>
  <c r="C766" i="1"/>
  <c r="B745" i="1"/>
  <c r="D728" i="1"/>
  <c r="C709" i="1"/>
  <c r="B693" i="1"/>
  <c r="G670" i="1"/>
  <c r="F654" i="1"/>
  <c r="D637" i="1"/>
  <c r="B621" i="1"/>
  <c r="F604" i="1"/>
  <c r="E584" i="1"/>
  <c r="C571" i="1"/>
  <c r="C514" i="1"/>
  <c r="B502" i="1"/>
  <c r="G489" i="1"/>
  <c r="F471" i="1"/>
  <c r="D459" i="1"/>
  <c r="D405" i="1"/>
  <c r="C393" i="1"/>
  <c r="B381" i="1"/>
  <c r="G367" i="1"/>
  <c r="B871" i="1"/>
  <c r="F817" i="1"/>
  <c r="B780" i="1"/>
  <c r="D745" i="1"/>
  <c r="D719" i="1"/>
  <c r="D690" i="1"/>
  <c r="B658" i="1"/>
  <c r="B631" i="1"/>
  <c r="D605" i="1"/>
  <c r="F576" i="1"/>
  <c r="B512" i="1"/>
  <c r="E492" i="1"/>
  <c r="G466" i="1"/>
  <c r="G405" i="1"/>
  <c r="D386" i="1"/>
  <c r="F365" i="1"/>
  <c r="G847" i="1"/>
  <c r="G796" i="1"/>
  <c r="E759" i="1"/>
  <c r="C728" i="1"/>
  <c r="F699" i="1"/>
  <c r="F667" i="1"/>
  <c r="F641" i="1"/>
  <c r="D614" i="1"/>
  <c r="D584" i="1"/>
  <c r="B564" i="1"/>
  <c r="F499" i="1"/>
  <c r="B474" i="1"/>
  <c r="E454" i="1"/>
  <c r="F856" i="1"/>
  <c r="G804" i="1"/>
  <c r="D767" i="1"/>
  <c r="E734" i="1"/>
  <c r="F705" i="1"/>
  <c r="G679" i="1"/>
  <c r="F647" i="1"/>
  <c r="E620" i="1"/>
  <c r="F589" i="1"/>
  <c r="E568" i="1"/>
  <c r="A47" i="3"/>
  <c r="C88" i="3"/>
  <c r="B21" i="3"/>
  <c r="C775" i="1"/>
  <c r="E583" i="1"/>
  <c r="C688" i="1"/>
  <c r="C769" i="1"/>
  <c r="C492" i="1"/>
  <c r="B315" i="1"/>
  <c r="D268" i="1"/>
  <c r="F820" i="1"/>
  <c r="E745" i="1"/>
  <c r="D671" i="1"/>
  <c r="F605" i="1"/>
  <c r="E502" i="1"/>
  <c r="B410" i="1"/>
  <c r="C356" i="1"/>
  <c r="E304" i="1"/>
  <c r="G245" i="1"/>
  <c r="C202" i="1"/>
  <c r="E155" i="1"/>
  <c r="G104" i="1"/>
  <c r="C60" i="1"/>
  <c r="E12" i="1"/>
  <c r="B32" i="3"/>
  <c r="D855" i="1"/>
  <c r="D766" i="1"/>
  <c r="C693" i="1"/>
  <c r="D621" i="1"/>
  <c r="D514" i="1"/>
  <c r="F459" i="1"/>
  <c r="D393" i="1"/>
  <c r="E369" i="1"/>
  <c r="D354" i="1"/>
  <c r="B339" i="1"/>
  <c r="G323" i="1"/>
  <c r="F311" i="1"/>
  <c r="E295" i="1"/>
  <c r="D283" i="1"/>
  <c r="C271" i="1"/>
  <c r="G252" i="1"/>
  <c r="E241" i="1"/>
  <c r="G230" i="1"/>
  <c r="C219" i="1"/>
  <c r="E208" i="1"/>
  <c r="G197" i="1"/>
  <c r="C183" i="1"/>
  <c r="E172" i="1"/>
  <c r="G161" i="1"/>
  <c r="C147" i="1"/>
  <c r="E136" i="1"/>
  <c r="G125" i="1"/>
  <c r="C115" i="1"/>
  <c r="E100" i="1"/>
  <c r="G89" i="1"/>
  <c r="C79" i="1"/>
  <c r="E66" i="1"/>
  <c r="G55" i="1"/>
  <c r="C45" i="1"/>
  <c r="E29" i="1"/>
  <c r="G18" i="1"/>
  <c r="C8" i="1"/>
  <c r="D871" i="1"/>
  <c r="B853" i="1"/>
  <c r="G817" i="1"/>
  <c r="F801" i="1"/>
  <c r="D780" i="1"/>
  <c r="B764" i="1"/>
  <c r="F742" i="1"/>
  <c r="E726" i="1"/>
  <c r="D707" i="1"/>
  <c r="B691" i="1"/>
  <c r="F668" i="1"/>
  <c r="E652" i="1"/>
  <c r="D635" i="1"/>
  <c r="B619" i="1"/>
  <c r="F596" i="1"/>
  <c r="G582" i="1"/>
  <c r="F569" i="1"/>
  <c r="F512" i="1"/>
  <c r="E500" i="1"/>
  <c r="D488" i="1"/>
  <c r="B470" i="1"/>
  <c r="G457" i="1"/>
  <c r="G403" i="1"/>
  <c r="F391" i="1"/>
  <c r="E379" i="1"/>
  <c r="D366" i="1"/>
  <c r="E866" i="1"/>
  <c r="F813" i="1"/>
  <c r="G775" i="1"/>
  <c r="B742" i="1"/>
  <c r="G715" i="1"/>
  <c r="F686" i="1"/>
  <c r="B655" i="1"/>
  <c r="D628" i="1"/>
  <c r="C596" i="1"/>
  <c r="G573" i="1"/>
  <c r="D509" i="1"/>
  <c r="C490" i="1"/>
  <c r="F464" i="1"/>
  <c r="D403" i="1"/>
  <c r="F383" i="1"/>
  <c r="A48" i="3"/>
  <c r="D843" i="1"/>
  <c r="C110" i="3"/>
  <c r="C24" i="3"/>
  <c r="C26" i="3"/>
  <c r="C738" i="1"/>
  <c r="G857" i="1"/>
  <c r="C650" i="1"/>
  <c r="E721" i="1"/>
  <c r="C454" i="1"/>
  <c r="B307" i="1"/>
  <c r="D254" i="1"/>
  <c r="E808" i="1"/>
  <c r="D733" i="1"/>
  <c r="D659" i="1"/>
  <c r="F588" i="1"/>
  <c r="D493" i="1"/>
  <c r="G396" i="1"/>
  <c r="B347" i="1"/>
  <c r="D291" i="1"/>
  <c r="G237" i="1"/>
  <c r="C194" i="1"/>
  <c r="E143" i="1"/>
  <c r="G96" i="1"/>
  <c r="C52" i="1"/>
  <c r="E4" i="1"/>
  <c r="B851" i="1"/>
  <c r="D842" i="1"/>
  <c r="C754" i="1"/>
  <c r="B681" i="1"/>
  <c r="B609" i="1"/>
  <c r="C505" i="1"/>
  <c r="B455" i="1"/>
  <c r="G388" i="1"/>
  <c r="B368" i="1"/>
  <c r="C351" i="1"/>
  <c r="E334" i="1"/>
  <c r="D322" i="1"/>
  <c r="C310" i="1"/>
  <c r="B294" i="1"/>
  <c r="G281" i="1"/>
  <c r="E269" i="1"/>
  <c r="D251" i="1"/>
  <c r="C240" i="1"/>
  <c r="E229" i="1"/>
  <c r="G217" i="1"/>
  <c r="C207" i="1"/>
  <c r="E196" i="1"/>
  <c r="G181" i="1"/>
  <c r="C171" i="1"/>
  <c r="E160" i="1"/>
  <c r="G145" i="1"/>
  <c r="C135" i="1"/>
  <c r="E124" i="1"/>
  <c r="G109" i="1"/>
  <c r="C99" i="1"/>
  <c r="E88" i="1"/>
  <c r="G75" i="1"/>
  <c r="C65" i="1"/>
  <c r="E54" i="1"/>
  <c r="G43" i="1"/>
  <c r="C28" i="1"/>
  <c r="E17" i="1"/>
  <c r="G6" i="1"/>
  <c r="C869" i="1"/>
  <c r="E850" i="1"/>
  <c r="F815" i="1"/>
  <c r="E799" i="1"/>
  <c r="D778" i="1"/>
  <c r="B762" i="1"/>
  <c r="F740" i="1"/>
  <c r="D724" i="1"/>
  <c r="C705" i="1"/>
  <c r="B689" i="1"/>
  <c r="G666" i="1"/>
  <c r="F650" i="1"/>
  <c r="B633" i="1"/>
  <c r="G616" i="1"/>
  <c r="B595" i="1"/>
  <c r="C581" i="1"/>
  <c r="C568" i="1"/>
  <c r="C511" i="1"/>
  <c r="B499" i="1"/>
  <c r="F486" i="1"/>
  <c r="E468" i="1"/>
  <c r="D456" i="1"/>
  <c r="D402" i="1"/>
  <c r="C390" i="1"/>
  <c r="B378" i="1"/>
  <c r="G364" i="1"/>
  <c r="B862" i="1"/>
  <c r="D809" i="1"/>
  <c r="G771" i="1"/>
  <c r="E738" i="1"/>
  <c r="B710" i="1"/>
  <c r="G683" i="1"/>
  <c r="F651" i="1"/>
  <c r="B89" i="3"/>
  <c r="B3" i="3"/>
  <c r="C53" i="3"/>
  <c r="E727" i="1"/>
  <c r="C847" i="1"/>
  <c r="E638" i="1"/>
  <c r="D704" i="1"/>
  <c r="F401" i="1"/>
  <c r="D304" i="1"/>
  <c r="F251" i="1"/>
  <c r="D804" i="1"/>
  <c r="D729" i="1"/>
  <c r="C655" i="1"/>
  <c r="D585" i="1"/>
  <c r="D490" i="1"/>
  <c r="G393" i="1"/>
  <c r="B344" i="1"/>
  <c r="C288" i="1"/>
  <c r="C235" i="1"/>
  <c r="E191" i="1"/>
  <c r="G140" i="1"/>
  <c r="C94" i="1"/>
  <c r="E49" i="1"/>
  <c r="C872" i="1"/>
  <c r="D822" i="1"/>
  <c r="B820" i="1"/>
  <c r="C745" i="1"/>
  <c r="B671" i="1"/>
  <c r="B605" i="1"/>
  <c r="C502" i="1"/>
  <c r="E453" i="1"/>
  <c r="D387" i="1"/>
  <c r="E366" i="1"/>
  <c r="F349" i="1"/>
  <c r="B333" i="1"/>
  <c r="G320" i="1"/>
  <c r="F308" i="1"/>
  <c r="E292" i="1"/>
  <c r="C280" i="1"/>
  <c r="B268" i="1"/>
  <c r="G249" i="1"/>
  <c r="G238" i="1"/>
  <c r="C228" i="1"/>
  <c r="E216" i="1"/>
  <c r="G205" i="1"/>
  <c r="C195" i="1"/>
  <c r="E180" i="1"/>
  <c r="G169" i="1"/>
  <c r="C159" i="1"/>
  <c r="E144" i="1"/>
  <c r="G133" i="1"/>
  <c r="C123" i="1"/>
  <c r="E108" i="1"/>
  <c r="G97" i="1"/>
  <c r="C87" i="1"/>
  <c r="E74" i="1"/>
  <c r="G63" i="1"/>
  <c r="C53" i="1"/>
  <c r="E42" i="1"/>
  <c r="G26" i="1"/>
  <c r="C16" i="1"/>
  <c r="E5" i="1"/>
  <c r="G866" i="1"/>
  <c r="C848" i="1"/>
  <c r="G813" i="1"/>
  <c r="F797" i="1"/>
  <c r="B776" i="1"/>
  <c r="G759" i="1"/>
  <c r="F738" i="1"/>
  <c r="E722" i="1"/>
  <c r="D703" i="1"/>
  <c r="B687" i="1"/>
  <c r="F664" i="1"/>
  <c r="D648" i="1"/>
  <c r="C631" i="1"/>
  <c r="B615" i="1"/>
  <c r="D593" i="1"/>
  <c r="D579" i="1"/>
  <c r="F566" i="1"/>
  <c r="F509" i="1"/>
  <c r="D497" i="1"/>
  <c r="C479" i="1"/>
  <c r="B467" i="1"/>
  <c r="G454" i="1"/>
  <c r="G400" i="1"/>
  <c r="F388" i="1"/>
  <c r="E376" i="1"/>
  <c r="C74" i="3"/>
  <c r="C857" i="1"/>
  <c r="D805" i="1"/>
  <c r="G767" i="1"/>
  <c r="F735" i="1"/>
  <c r="E706" i="1"/>
  <c r="D680" i="1"/>
  <c r="C648" i="1"/>
  <c r="B25" i="3"/>
  <c r="B66" i="3"/>
  <c r="A43" i="3"/>
  <c r="E692" i="1"/>
  <c r="C797" i="1"/>
  <c r="E606" i="1"/>
  <c r="F655" i="1"/>
  <c r="F368" i="1"/>
  <c r="D292" i="1"/>
  <c r="A115" i="3"/>
  <c r="D792" i="1"/>
  <c r="C717" i="1"/>
  <c r="B643" i="1"/>
  <c r="G574" i="1"/>
  <c r="C475" i="1"/>
  <c r="F384" i="1"/>
  <c r="G331" i="1"/>
  <c r="C279" i="1"/>
  <c r="C227" i="1"/>
  <c r="E179" i="1"/>
  <c r="G132" i="1"/>
  <c r="C86" i="1"/>
  <c r="E36" i="1"/>
  <c r="D844" i="1"/>
  <c r="B798" i="1"/>
  <c r="F807" i="1"/>
  <c r="B733" i="1"/>
  <c r="G658" i="1"/>
  <c r="D588" i="1"/>
  <c r="B493" i="1"/>
  <c r="E450" i="1"/>
  <c r="C384" i="1"/>
  <c r="E363" i="1"/>
  <c r="F346" i="1"/>
  <c r="E331" i="1"/>
  <c r="D319" i="1"/>
  <c r="C307" i="1"/>
  <c r="G290" i="1"/>
  <c r="F278" i="1"/>
  <c r="E266" i="1"/>
  <c r="D248" i="1"/>
  <c r="E237" i="1"/>
  <c r="G226" i="1"/>
  <c r="C215" i="1"/>
  <c r="E204" i="1"/>
  <c r="G193" i="1"/>
  <c r="C179" i="1"/>
  <c r="E168" i="1"/>
  <c r="G157" i="1"/>
  <c r="C143" i="1"/>
  <c r="E132" i="1"/>
  <c r="G121" i="1"/>
  <c r="C107" i="1"/>
  <c r="E96" i="1"/>
  <c r="G85" i="1"/>
  <c r="C73" i="1"/>
  <c r="E62" i="1"/>
  <c r="G51" i="1"/>
  <c r="C36" i="1"/>
  <c r="E25" i="1"/>
  <c r="G14" i="1"/>
  <c r="C4" i="1"/>
  <c r="D864" i="1"/>
  <c r="B846" i="1"/>
  <c r="F811" i="1"/>
  <c r="D795" i="1"/>
  <c r="C774" i="1"/>
  <c r="B758" i="1"/>
  <c r="F736" i="1"/>
  <c r="D720" i="1"/>
  <c r="C701" i="1"/>
  <c r="B685" i="1"/>
  <c r="F662" i="1"/>
  <c r="D646" i="1"/>
  <c r="B629" i="1"/>
  <c r="G612" i="1"/>
  <c r="F591" i="1"/>
  <c r="F577" i="1"/>
  <c r="C565" i="1"/>
  <c r="B508" i="1"/>
  <c r="G495" i="1"/>
  <c r="F477" i="1"/>
  <c r="E465" i="1"/>
  <c r="D453" i="1"/>
  <c r="D399" i="1"/>
  <c r="C387" i="1"/>
  <c r="G374" i="1"/>
  <c r="A3" i="3"/>
  <c r="F852" i="1"/>
  <c r="D801" i="1"/>
  <c r="F763" i="1"/>
  <c r="B732" i="1"/>
  <c r="B703" i="1"/>
  <c r="C671" i="1"/>
  <c r="E645" i="1"/>
  <c r="C618" i="1"/>
  <c r="F587" i="1"/>
  <c r="E566" i="1"/>
  <c r="D502" i="1"/>
  <c r="B477" i="1"/>
  <c r="D457" i="1"/>
  <c r="G395" i="1"/>
  <c r="C376" i="1"/>
  <c r="D866" i="1"/>
  <c r="B813" i="1"/>
  <c r="C67" i="3"/>
  <c r="B77" i="3"/>
  <c r="E851" i="1"/>
  <c r="G643" i="1"/>
  <c r="E744" i="1"/>
  <c r="F865" i="1"/>
  <c r="E592" i="1"/>
  <c r="D339" i="1"/>
  <c r="F281" i="1"/>
  <c r="F860" i="1"/>
  <c r="F770" i="1"/>
  <c r="B698" i="1"/>
  <c r="G625" i="1"/>
  <c r="G517" i="1"/>
  <c r="B463" i="1"/>
  <c r="E371" i="1"/>
  <c r="F319" i="1"/>
  <c r="G266" i="1"/>
  <c r="E215" i="1"/>
  <c r="G168" i="1"/>
  <c r="C122" i="1"/>
  <c r="E73" i="1"/>
  <c r="G25" i="1"/>
  <c r="B796" i="1"/>
  <c r="B88" i="3"/>
  <c r="E791" i="1"/>
  <c r="F716" i="1"/>
  <c r="F642" i="1"/>
  <c r="E574" i="1"/>
  <c r="G474" i="1"/>
  <c r="B401" i="1"/>
  <c r="F376" i="1"/>
  <c r="G358" i="1"/>
  <c r="F343" i="1"/>
  <c r="E328" i="1"/>
  <c r="C316" i="1"/>
  <c r="B304" i="1"/>
  <c r="G287" i="1"/>
  <c r="F275" i="1"/>
  <c r="E263" i="1"/>
  <c r="E245" i="1"/>
  <c r="G234" i="1"/>
  <c r="C224" i="1"/>
  <c r="E212" i="1"/>
  <c r="G201" i="1"/>
  <c r="C191" i="1"/>
  <c r="E176" i="1"/>
  <c r="G165" i="1"/>
  <c r="C155" i="1"/>
  <c r="E140" i="1"/>
  <c r="G129" i="1"/>
  <c r="C119" i="1"/>
  <c r="E104" i="1"/>
  <c r="G93" i="1"/>
  <c r="C83" i="1"/>
  <c r="E70" i="1"/>
  <c r="G59" i="1"/>
  <c r="C49" i="1"/>
  <c r="E33" i="1"/>
  <c r="G22" i="1"/>
  <c r="C12" i="1"/>
  <c r="A75" i="3"/>
  <c r="B860" i="1"/>
  <c r="F841" i="1"/>
  <c r="E807" i="1"/>
  <c r="D791" i="1"/>
  <c r="C770" i="1"/>
  <c r="B754" i="1"/>
  <c r="F732" i="1"/>
  <c r="D716" i="1"/>
  <c r="B697" i="1"/>
  <c r="G680" i="1"/>
  <c r="F658" i="1"/>
  <c r="D642" i="1"/>
  <c r="B625" i="1"/>
  <c r="G608" i="1"/>
  <c r="C588" i="1"/>
  <c r="C574" i="1"/>
  <c r="C517" i="1"/>
  <c r="B505" i="1"/>
  <c r="G492" i="1"/>
  <c r="F474" i="1"/>
  <c r="E462" i="1"/>
  <c r="D450" i="1"/>
  <c r="C396" i="1"/>
  <c r="B384" i="1"/>
  <c r="G370" i="1"/>
  <c r="B56" i="3"/>
  <c r="F843" i="1"/>
  <c r="B793" i="1"/>
  <c r="B757" i="1"/>
  <c r="F725" i="1"/>
  <c r="F696" i="1"/>
  <c r="D664" i="1"/>
  <c r="A4" i="3"/>
  <c r="E781" i="1"/>
  <c r="F289" i="1"/>
  <c r="B638" i="1"/>
  <c r="G328" i="1"/>
  <c r="C130" i="1"/>
  <c r="F782" i="1"/>
  <c r="F584" i="1"/>
  <c r="G361" i="1"/>
  <c r="E305" i="1"/>
  <c r="G246" i="1"/>
  <c r="C203" i="1"/>
  <c r="E156" i="1"/>
  <c r="G105" i="1"/>
  <c r="C61" i="1"/>
  <c r="E13" i="1"/>
  <c r="F809" i="1"/>
  <c r="F734" i="1"/>
  <c r="E660" i="1"/>
  <c r="G589" i="1"/>
  <c r="D494" i="1"/>
  <c r="G397" i="1"/>
  <c r="B848" i="1"/>
  <c r="B700" i="1"/>
  <c r="F621" i="1"/>
  <c r="C579" i="1"/>
  <c r="G499" i="1"/>
  <c r="B462" i="1"/>
  <c r="C391" i="1"/>
  <c r="G870" i="1"/>
  <c r="B801" i="1"/>
  <c r="D756" i="1"/>
  <c r="B722" i="1"/>
  <c r="B690" i="1"/>
  <c r="D654" i="1"/>
  <c r="D624" i="1"/>
  <c r="D590" i="1"/>
  <c r="C566" i="1"/>
  <c r="B497" i="1"/>
  <c r="D469" i="1"/>
  <c r="C405" i="1"/>
  <c r="B821" i="1"/>
  <c r="E779" i="1"/>
  <c r="D741" i="1"/>
  <c r="G708" i="1"/>
  <c r="D670" i="1"/>
  <c r="D641" i="1"/>
  <c r="F610" i="1"/>
  <c r="F578" i="1"/>
  <c r="E511" i="1"/>
  <c r="B492" i="1"/>
  <c r="E466" i="1"/>
  <c r="B405" i="1"/>
  <c r="D859" i="1"/>
  <c r="D807" i="1"/>
  <c r="B770" i="1"/>
  <c r="C737" i="1"/>
  <c r="D708" i="1"/>
  <c r="C682" i="1"/>
  <c r="G649" i="1"/>
  <c r="B623" i="1"/>
  <c r="B592" i="1"/>
  <c r="E570" i="1"/>
  <c r="B506" i="1"/>
  <c r="D486" i="1"/>
  <c r="F460" i="1"/>
  <c r="F399" i="1"/>
  <c r="C380" i="1"/>
  <c r="F868" i="1"/>
  <c r="D815" i="1"/>
  <c r="F777" i="1"/>
  <c r="D743" i="1"/>
  <c r="D717" i="1"/>
  <c r="B688" i="1"/>
  <c r="C656" i="1"/>
  <c r="G628" i="1"/>
  <c r="D603" i="1"/>
  <c r="B575" i="1"/>
  <c r="F858" i="1"/>
  <c r="B744" i="1"/>
  <c r="F665" i="1"/>
  <c r="G590" i="1"/>
  <c r="G497" i="1"/>
  <c r="F452" i="1"/>
  <c r="F380" i="1"/>
  <c r="E357" i="1"/>
  <c r="D341" i="1"/>
  <c r="B322" i="1"/>
  <c r="G305" i="1"/>
  <c r="E285" i="1"/>
  <c r="C269" i="1"/>
  <c r="B247" i="1"/>
  <c r="G232" i="1"/>
  <c r="E217" i="1"/>
  <c r="D203" i="1"/>
  <c r="C189" i="1"/>
  <c r="G170" i="1"/>
  <c r="F156" i="1"/>
  <c r="E138" i="1"/>
  <c r="C124" i="1"/>
  <c r="B106" i="1"/>
  <c r="G91" i="1"/>
  <c r="E75" i="1"/>
  <c r="D61" i="1"/>
  <c r="C47" i="1"/>
  <c r="G27" i="1"/>
  <c r="F13" i="1"/>
  <c r="D856" i="1"/>
  <c r="E742" i="1"/>
  <c r="D665" i="1"/>
  <c r="D589" i="1"/>
  <c r="F496" i="1"/>
  <c r="D451" i="1"/>
  <c r="E380" i="1"/>
  <c r="C357" i="1"/>
  <c r="C341" i="1"/>
  <c r="G321" i="1"/>
  <c r="D305" i="1"/>
  <c r="D285" i="1"/>
  <c r="B269" i="1"/>
  <c r="F246" i="1"/>
  <c r="F232" i="1"/>
  <c r="D217" i="1"/>
  <c r="B203" i="1"/>
  <c r="B189" i="1"/>
  <c r="F170" i="1"/>
  <c r="D156" i="1"/>
  <c r="D138" i="1"/>
  <c r="B124" i="1"/>
  <c r="F105" i="1"/>
  <c r="F91" i="1"/>
  <c r="D75" i="1"/>
  <c r="B61" i="1"/>
  <c r="B47" i="1"/>
  <c r="B46" i="3"/>
  <c r="G733" i="1"/>
  <c r="B279" i="1"/>
  <c r="G621" i="1"/>
  <c r="F316" i="1"/>
  <c r="E119" i="1"/>
  <c r="D874" i="1"/>
  <c r="D571" i="1"/>
  <c r="D357" i="1"/>
  <c r="E302" i="1"/>
  <c r="C244" i="1"/>
  <c r="E200" i="1"/>
  <c r="G153" i="1"/>
  <c r="C103" i="1"/>
  <c r="E58" i="1"/>
  <c r="G10" i="1"/>
  <c r="F805" i="1"/>
  <c r="F730" i="1"/>
  <c r="E656" i="1"/>
  <c r="D586" i="1"/>
  <c r="D491" i="1"/>
  <c r="F394" i="1"/>
  <c r="F821" i="1"/>
  <c r="D693" i="1"/>
  <c r="F614" i="1"/>
  <c r="E571" i="1"/>
  <c r="C497" i="1"/>
  <c r="G459" i="1"/>
  <c r="E388" i="1"/>
  <c r="E861" i="1"/>
  <c r="G792" i="1"/>
  <c r="B753" i="1"/>
  <c r="G718" i="1"/>
  <c r="D686" i="1"/>
  <c r="D651" i="1"/>
  <c r="F620" i="1"/>
  <c r="D587" i="1"/>
  <c r="F516" i="1"/>
  <c r="F494" i="1"/>
  <c r="F466" i="1"/>
  <c r="B875" i="1"/>
  <c r="B817" i="1"/>
  <c r="E775" i="1"/>
  <c r="B738" i="1"/>
  <c r="D702" i="1"/>
  <c r="C667" i="1"/>
  <c r="F636" i="1"/>
  <c r="F607" i="1"/>
  <c r="F575" i="1"/>
  <c r="B509" i="1"/>
  <c r="D489" i="1"/>
  <c r="G463" i="1"/>
  <c r="F402" i="1"/>
  <c r="G854" i="1"/>
  <c r="D803" i="1"/>
  <c r="B766" i="1"/>
  <c r="F733" i="1"/>
  <c r="G704" i="1"/>
  <c r="E678" i="1"/>
  <c r="B647" i="1"/>
  <c r="B620" i="1"/>
  <c r="C589" i="1"/>
  <c r="G567" i="1"/>
  <c r="D503" i="1"/>
  <c r="B478" i="1"/>
  <c r="F458" i="1"/>
  <c r="C397" i="1"/>
  <c r="E377" i="1"/>
  <c r="B864" i="1"/>
  <c r="C811" i="1"/>
  <c r="F773" i="1"/>
  <c r="B740" i="1"/>
  <c r="F710" i="1"/>
  <c r="F684" i="1"/>
  <c r="B653" i="1"/>
  <c r="B626" i="1"/>
  <c r="E594" i="1"/>
  <c r="D572" i="1"/>
  <c r="C845" i="1"/>
  <c r="B736" i="1"/>
  <c r="B657" i="1"/>
  <c r="F582" i="1"/>
  <c r="F492" i="1"/>
  <c r="B448" i="1"/>
  <c r="D377" i="1"/>
  <c r="E355" i="1"/>
  <c r="C339" i="1"/>
  <c r="B320" i="1"/>
  <c r="F303" i="1"/>
  <c r="E283" i="1"/>
  <c r="D267" i="1"/>
  <c r="C245" i="1"/>
  <c r="B231" i="1"/>
  <c r="G215" i="1"/>
  <c r="E201" i="1"/>
  <c r="D183" i="1"/>
  <c r="C169" i="1"/>
  <c r="G154" i="1"/>
  <c r="F136" i="1"/>
  <c r="E122" i="1"/>
  <c r="C104" i="1"/>
  <c r="B90" i="1"/>
  <c r="G73" i="1"/>
  <c r="E59" i="1"/>
  <c r="D45" i="1"/>
  <c r="C26" i="1"/>
  <c r="G11" i="1"/>
  <c r="B845" i="1"/>
  <c r="D734" i="1"/>
  <c r="B656" i="1"/>
  <c r="E582" i="1"/>
  <c r="F491" i="1"/>
  <c r="G404" i="1"/>
  <c r="C377" i="1"/>
  <c r="C355" i="1"/>
  <c r="G338" i="1"/>
  <c r="G319" i="1"/>
  <c r="E303" i="1"/>
  <c r="C283" i="1"/>
  <c r="C267" i="1"/>
  <c r="B245" i="1"/>
  <c r="F230" i="1"/>
  <c r="F215" i="1"/>
  <c r="D201" i="1"/>
  <c r="B183" i="1"/>
  <c r="B169" i="1"/>
  <c r="F154" i="1"/>
  <c r="D136" i="1"/>
  <c r="A45" i="3"/>
  <c r="A16" i="3"/>
  <c r="F874" i="1"/>
  <c r="G571" i="1"/>
  <c r="B276" i="1"/>
  <c r="E83" i="1"/>
  <c r="F803" i="1"/>
  <c r="B490" i="1"/>
  <c r="C345" i="1"/>
  <c r="D289" i="1"/>
  <c r="C236" i="1"/>
  <c r="E192" i="1"/>
  <c r="G141" i="1"/>
  <c r="C95" i="1"/>
  <c r="E50" i="1"/>
  <c r="G2" i="1"/>
  <c r="D793" i="1"/>
  <c r="E718" i="1"/>
  <c r="D644" i="1"/>
  <c r="B576" i="1"/>
  <c r="C476" i="1"/>
  <c r="E385" i="1"/>
  <c r="B797" i="1"/>
  <c r="B668" i="1"/>
  <c r="F611" i="1"/>
  <c r="C569" i="1"/>
  <c r="C495" i="1"/>
  <c r="F454" i="1"/>
  <c r="D381" i="1"/>
  <c r="B857" i="1"/>
  <c r="G783" i="1"/>
  <c r="D744" i="1"/>
  <c r="F715" i="1"/>
  <c r="E683" i="1"/>
  <c r="B648" i="1"/>
  <c r="B618" i="1"/>
  <c r="B582" i="1"/>
  <c r="B514" i="1"/>
  <c r="D492" i="1"/>
  <c r="D464" i="1"/>
  <c r="F870" i="1"/>
  <c r="G812" i="1"/>
  <c r="E771" i="1"/>
  <c r="F731" i="1"/>
  <c r="F698" i="1"/>
  <c r="B664" i="1"/>
  <c r="G633" i="1"/>
  <c r="D604" i="1"/>
  <c r="E573" i="1"/>
  <c r="D506" i="1"/>
  <c r="C487" i="1"/>
  <c r="F461" i="1"/>
  <c r="C400" i="1"/>
  <c r="D850" i="1"/>
  <c r="D799" i="1"/>
  <c r="F761" i="1"/>
  <c r="D730" i="1"/>
  <c r="F701" i="1"/>
  <c r="F669" i="1"/>
  <c r="F643" i="1"/>
  <c r="E616" i="1"/>
  <c r="B586" i="1"/>
  <c r="E565" i="1"/>
  <c r="C501" i="1"/>
  <c r="F475" i="1"/>
  <c r="B456" i="1"/>
  <c r="E394" i="1"/>
  <c r="D375" i="1"/>
  <c r="B859" i="1"/>
  <c r="C807" i="1"/>
  <c r="F769" i="1"/>
  <c r="D736" i="1"/>
  <c r="F707" i="1"/>
  <c r="B682" i="1"/>
  <c r="F649" i="1"/>
  <c r="D622" i="1"/>
  <c r="D591" i="1"/>
  <c r="B570" i="1"/>
  <c r="F816" i="1"/>
  <c r="D726" i="1"/>
  <c r="B649" i="1"/>
  <c r="D575" i="1"/>
  <c r="G487" i="1"/>
  <c r="E401" i="1"/>
  <c r="D374" i="1"/>
  <c r="E353" i="1"/>
  <c r="C334" i="1"/>
  <c r="B318" i="1"/>
  <c r="G301" i="1"/>
  <c r="D281" i="1"/>
  <c r="C265" i="1"/>
  <c r="E243" i="1"/>
  <c r="C229" i="1"/>
  <c r="B214" i="1"/>
  <c r="G199" i="1"/>
  <c r="E181" i="1"/>
  <c r="D167" i="1"/>
  <c r="C153" i="1"/>
  <c r="G134" i="1"/>
  <c r="F120" i="1"/>
  <c r="E102" i="1"/>
  <c r="C88" i="1"/>
  <c r="B72" i="1"/>
  <c r="G57" i="1"/>
  <c r="E43" i="1"/>
  <c r="D24" i="1"/>
  <c r="C10" i="1"/>
  <c r="B815" i="1"/>
  <c r="C20" i="3"/>
  <c r="E849" i="1"/>
  <c r="C856" i="1"/>
  <c r="F514" i="1"/>
  <c r="G263" i="1"/>
  <c r="G70" i="1"/>
  <c r="E782" i="1"/>
  <c r="G471" i="1"/>
  <c r="C342" i="1"/>
  <c r="D286" i="1"/>
  <c r="E233" i="1"/>
  <c r="G189" i="1"/>
  <c r="C139" i="1"/>
  <c r="E92" i="1"/>
  <c r="G47" i="1"/>
  <c r="A11" i="3"/>
  <c r="D784" i="1"/>
  <c r="D711" i="1"/>
  <c r="D640" i="1"/>
  <c r="F572" i="1"/>
  <c r="C473" i="1"/>
  <c r="E382" i="1"/>
  <c r="B784" i="1"/>
  <c r="F661" i="1"/>
  <c r="D608" i="1"/>
  <c r="D564" i="1"/>
  <c r="F487" i="1"/>
  <c r="E452" i="1"/>
  <c r="G378" i="1"/>
  <c r="C852" i="1"/>
  <c r="F779" i="1"/>
  <c r="F741" i="1"/>
  <c r="B709" i="1"/>
  <c r="B680" i="1"/>
  <c r="F644" i="1"/>
  <c r="D611" i="1"/>
  <c r="B579" i="1"/>
  <c r="G511" i="1"/>
  <c r="F489" i="1"/>
  <c r="G461" i="1"/>
  <c r="B866" i="1"/>
  <c r="G808" i="1"/>
  <c r="D763" i="1"/>
  <c r="B728" i="1"/>
  <c r="B696" i="1"/>
  <c r="D660" i="1"/>
  <c r="D630" i="1"/>
  <c r="D595" i="1"/>
  <c r="G570" i="1"/>
  <c r="D504" i="1"/>
  <c r="F478" i="1"/>
  <c r="B459" i="1"/>
  <c r="E397" i="1"/>
  <c r="F845" i="1"/>
  <c r="C795" i="1"/>
  <c r="D758" i="1"/>
  <c r="F727" i="1"/>
  <c r="D698" i="1"/>
  <c r="B666" i="1"/>
  <c r="C640" i="1"/>
  <c r="D613" i="1"/>
  <c r="G583" i="1"/>
  <c r="B563" i="1"/>
  <c r="E498" i="1"/>
  <c r="B473" i="1"/>
  <c r="F453" i="1"/>
  <c r="E392" i="1"/>
  <c r="G371" i="1"/>
  <c r="F854" i="1"/>
  <c r="C803" i="1"/>
  <c r="D765" i="1"/>
  <c r="E733" i="1"/>
  <c r="F704" i="1"/>
  <c r="D678" i="1"/>
  <c r="B646" i="1"/>
  <c r="E619" i="1"/>
  <c r="B589" i="1"/>
  <c r="E567" i="1"/>
  <c r="F806" i="1"/>
  <c r="F717" i="1"/>
  <c r="D638" i="1"/>
  <c r="D569" i="1"/>
  <c r="C477" i="1"/>
  <c r="D397" i="1"/>
  <c r="C370" i="1"/>
  <c r="E351" i="1"/>
  <c r="C332" i="1"/>
  <c r="G315" i="1"/>
  <c r="F295" i="1"/>
  <c r="E279" i="1"/>
  <c r="C263" i="1"/>
  <c r="F241" i="1"/>
  <c r="E227" i="1"/>
  <c r="C212" i="1"/>
  <c r="B198" i="1"/>
  <c r="G179" i="1"/>
  <c r="E165" i="1"/>
  <c r="D147" i="1"/>
  <c r="C133" i="1"/>
  <c r="G118" i="1"/>
  <c r="F100" i="1"/>
  <c r="E86" i="1"/>
  <c r="C70" i="1"/>
  <c r="B56" i="1"/>
  <c r="G36" i="1"/>
  <c r="E22" i="1"/>
  <c r="D8" i="1"/>
  <c r="F804" i="1"/>
  <c r="B717" i="1"/>
  <c r="C638" i="1"/>
  <c r="B568" i="1"/>
  <c r="G475" i="1"/>
  <c r="B397" i="1"/>
  <c r="F369" i="1"/>
  <c r="B351" i="1"/>
  <c r="B332" i="1"/>
  <c r="F315" i="1"/>
  <c r="D295" i="1"/>
  <c r="D279" i="1"/>
  <c r="G262" i="1"/>
  <c r="D241" i="1"/>
  <c r="D227" i="1"/>
  <c r="B212" i="1"/>
  <c r="F197" i="1"/>
  <c r="F179" i="1"/>
  <c r="D165" i="1"/>
  <c r="B147" i="1"/>
  <c r="B133" i="1"/>
  <c r="F118" i="1"/>
  <c r="D100" i="1"/>
  <c r="D86" i="1"/>
  <c r="B70" i="1"/>
  <c r="F55" i="1"/>
  <c r="F36" i="1"/>
  <c r="A19" i="3"/>
  <c r="E641" i="1"/>
  <c r="B783" i="1"/>
  <c r="C472" i="1"/>
  <c r="E224" i="1"/>
  <c r="G33" i="1"/>
  <c r="B729" i="1"/>
  <c r="E405" i="1"/>
  <c r="B330" i="1"/>
  <c r="C277" i="1"/>
  <c r="E225" i="1"/>
  <c r="G177" i="1"/>
  <c r="C131" i="1"/>
  <c r="E84" i="1"/>
  <c r="G34" i="1"/>
  <c r="D862" i="1"/>
  <c r="B772" i="1"/>
  <c r="D699" i="1"/>
  <c r="C627" i="1"/>
  <c r="E563" i="1"/>
  <c r="B464" i="1"/>
  <c r="D372" i="1"/>
  <c r="F759" i="1"/>
  <c r="G641" i="1"/>
  <c r="C593" i="1"/>
  <c r="G516" i="1"/>
  <c r="B479" i="1"/>
  <c r="G449" i="1"/>
  <c r="C374" i="1"/>
  <c r="D821" i="1"/>
  <c r="F775" i="1"/>
  <c r="D738" i="1"/>
  <c r="D706" i="1"/>
  <c r="F670" i="1"/>
  <c r="B637" i="1"/>
  <c r="B608" i="1"/>
  <c r="D576" i="1"/>
  <c r="C509" i="1"/>
  <c r="E487" i="1"/>
  <c r="C459" i="1"/>
  <c r="C861" i="1"/>
  <c r="F800" i="1"/>
  <c r="D759" i="1"/>
  <c r="B725" i="1"/>
  <c r="F692" i="1"/>
  <c r="F657" i="1"/>
  <c r="B627" i="1"/>
  <c r="F592" i="1"/>
  <c r="B566" i="1"/>
  <c r="F501" i="1"/>
  <c r="B476" i="1"/>
  <c r="F456" i="1"/>
  <c r="E395" i="1"/>
  <c r="E841" i="1"/>
  <c r="C791" i="1"/>
  <c r="D755" i="1"/>
  <c r="B724" i="1"/>
  <c r="F694" i="1"/>
  <c r="C663" i="1"/>
  <c r="D636" i="1"/>
  <c r="B610" i="1"/>
  <c r="F580" i="1"/>
  <c r="E515" i="1"/>
  <c r="D496" i="1"/>
  <c r="G470" i="1"/>
  <c r="C451" i="1"/>
  <c r="G389" i="1"/>
  <c r="C369" i="1"/>
  <c r="B850" i="1"/>
  <c r="B799" i="1"/>
  <c r="D761" i="1"/>
  <c r="B730" i="1"/>
  <c r="B701" i="1"/>
  <c r="D669" i="1"/>
  <c r="D643" i="1"/>
  <c r="D616" i="1"/>
  <c r="G585" i="1"/>
  <c r="G564" i="1"/>
  <c r="F794" i="1"/>
  <c r="F706" i="1"/>
  <c r="C630" i="1"/>
  <c r="F517" i="1"/>
  <c r="D472" i="1"/>
  <c r="B394" i="1"/>
  <c r="F366" i="1"/>
  <c r="D349" i="1"/>
  <c r="C330" i="1"/>
  <c r="B314" i="1"/>
  <c r="E293" i="1"/>
  <c r="D277" i="1"/>
  <c r="C255" i="1"/>
  <c r="G239" i="1"/>
  <c r="F225" i="1"/>
  <c r="E210" i="1"/>
  <c r="C196" i="1"/>
  <c r="B178" i="1"/>
  <c r="G163" i="1"/>
  <c r="E145" i="1"/>
  <c r="D131" i="1"/>
  <c r="C117" i="1"/>
  <c r="G98" i="1"/>
  <c r="F84" i="1"/>
  <c r="E68" i="1"/>
  <c r="C54" i="1"/>
  <c r="B35" i="1"/>
  <c r="G20" i="1"/>
  <c r="E6" i="1"/>
  <c r="D794" i="1"/>
  <c r="B705" i="1"/>
  <c r="F628" i="1"/>
  <c r="B517" i="1"/>
  <c r="B471" i="1"/>
  <c r="B393" i="1"/>
  <c r="C366" i="1"/>
  <c r="C349" i="1"/>
  <c r="G329" i="1"/>
  <c r="G313" i="1"/>
  <c r="D293" i="1"/>
  <c r="B277" i="1"/>
  <c r="B255" i="1"/>
  <c r="F239" i="1"/>
  <c r="D225" i="1"/>
  <c r="D210" i="1"/>
  <c r="B196" i="1"/>
  <c r="F177" i="1"/>
  <c r="F163" i="1"/>
  <c r="D145" i="1"/>
  <c r="G822" i="1"/>
  <c r="D580" i="1"/>
  <c r="F766" i="1"/>
  <c r="B460" i="1"/>
  <c r="G212" i="1"/>
  <c r="C23" i="1"/>
  <c r="D709" i="1"/>
  <c r="E399" i="1"/>
  <c r="G326" i="1"/>
  <c r="C274" i="1"/>
  <c r="G221" i="1"/>
  <c r="C175" i="1"/>
  <c r="E128" i="1"/>
  <c r="G81" i="1"/>
  <c r="C32" i="1"/>
  <c r="D857" i="1"/>
  <c r="B768" i="1"/>
  <c r="B695" i="1"/>
  <c r="C623" i="1"/>
  <c r="F515" i="1"/>
  <c r="B461" i="1"/>
  <c r="D369" i="1"/>
  <c r="D753" i="1"/>
  <c r="G637" i="1"/>
  <c r="F590" i="1"/>
  <c r="E514" i="1"/>
  <c r="D474" i="1"/>
  <c r="F400" i="1"/>
  <c r="E370" i="1"/>
  <c r="D817" i="1"/>
  <c r="F771" i="1"/>
  <c r="B735" i="1"/>
  <c r="F702" i="1"/>
  <c r="C664" i="1"/>
  <c r="C634" i="1"/>
  <c r="E604" i="1"/>
  <c r="F573" i="1"/>
  <c r="B507" i="1"/>
  <c r="G478" i="1"/>
  <c r="C457" i="1"/>
  <c r="B852" i="1"/>
  <c r="F796" i="1"/>
  <c r="F755" i="1"/>
  <c r="F721" i="1"/>
  <c r="D689" i="1"/>
  <c r="B654" i="1"/>
  <c r="B624" i="1"/>
  <c r="C587" i="1"/>
  <c r="D563" i="1"/>
  <c r="D499" i="1"/>
  <c r="G473" i="1"/>
  <c r="D454" i="1"/>
  <c r="D873" i="1"/>
  <c r="E819" i="1"/>
  <c r="C782" i="1"/>
  <c r="F746" i="1"/>
  <c r="B721" i="1"/>
  <c r="B692" i="1"/>
  <c r="B660" i="1"/>
  <c r="F632" i="1"/>
  <c r="D606" i="1"/>
  <c r="B578" i="1"/>
  <c r="D513" i="1"/>
  <c r="G493" i="1"/>
  <c r="C468" i="1"/>
  <c r="E448" i="1"/>
  <c r="E387" i="1"/>
  <c r="B367" i="1"/>
  <c r="D845" i="1"/>
  <c r="B795" i="1"/>
  <c r="F757" i="1"/>
  <c r="B727" i="1"/>
  <c r="C698" i="1"/>
  <c r="G665" i="1"/>
  <c r="B640" i="1"/>
  <c r="F612" i="1"/>
  <c r="C583" i="1"/>
  <c r="B524" i="1"/>
  <c r="D779" i="1"/>
  <c r="F697" i="1"/>
  <c r="B622" i="1"/>
  <c r="D512" i="1"/>
  <c r="D467" i="1"/>
  <c r="E390" i="1"/>
  <c r="F363" i="1"/>
  <c r="E347" i="1"/>
  <c r="B328" i="1"/>
  <c r="G311" i="1"/>
  <c r="F291" i="1"/>
  <c r="D275" i="1"/>
  <c r="C253" i="1"/>
  <c r="C238" i="1"/>
  <c r="G222" i="1"/>
  <c r="F208" i="1"/>
  <c r="E194" i="1"/>
  <c r="C176" i="1"/>
  <c r="B162" i="1"/>
  <c r="G143" i="1"/>
  <c r="E129" i="1"/>
  <c r="D115" i="1"/>
  <c r="C97" i="1"/>
  <c r="G82" i="1"/>
  <c r="F66" i="1"/>
  <c r="E52" i="1"/>
  <c r="G681" i="1"/>
  <c r="G176" i="1"/>
  <c r="G317" i="1"/>
  <c r="E120" i="1"/>
  <c r="G755" i="1"/>
  <c r="G451" i="1"/>
  <c r="C585" i="1"/>
  <c r="C368" i="1"/>
  <c r="D696" i="1"/>
  <c r="B571" i="1"/>
  <c r="D847" i="1"/>
  <c r="C686" i="1"/>
  <c r="E516" i="1"/>
  <c r="B869" i="1"/>
  <c r="E717" i="1"/>
  <c r="F603" i="1"/>
  <c r="G465" i="1"/>
  <c r="D841" i="1"/>
  <c r="E694" i="1"/>
  <c r="E580" i="1"/>
  <c r="E612" i="1"/>
  <c r="E361" i="1"/>
  <c r="E289" i="1"/>
  <c r="C221" i="1"/>
  <c r="C160" i="1"/>
  <c r="D95" i="1"/>
  <c r="C33" i="1"/>
  <c r="C868" i="1"/>
  <c r="D647" i="1"/>
  <c r="E486" i="1"/>
  <c r="G372" i="1"/>
  <c r="B334" i="1"/>
  <c r="E301" i="1"/>
  <c r="G264" i="1"/>
  <c r="B229" i="1"/>
  <c r="F199" i="1"/>
  <c r="B167" i="1"/>
  <c r="F134" i="1"/>
  <c r="B115" i="1"/>
  <c r="D93" i="1"/>
  <c r="F71" i="1"/>
  <c r="D52" i="1"/>
  <c r="D29" i="1"/>
  <c r="D15" i="1"/>
  <c r="G7" i="1"/>
  <c r="C777" i="1"/>
  <c r="F695" i="1"/>
  <c r="F618" i="1"/>
  <c r="E510" i="1"/>
  <c r="D465" i="1"/>
  <c r="E389" i="1"/>
  <c r="B363" i="1"/>
  <c r="G346" i="1"/>
  <c r="F327" i="1"/>
  <c r="D311" i="1"/>
  <c r="C291" i="1"/>
  <c r="G274" i="1"/>
  <c r="E252" i="1"/>
  <c r="F237" i="1"/>
  <c r="E222" i="1"/>
  <c r="C208" i="1"/>
  <c r="B194" i="1"/>
  <c r="G175" i="1"/>
  <c r="E161" i="1"/>
  <c r="D143" i="1"/>
  <c r="C129" i="1"/>
  <c r="G114" i="1"/>
  <c r="F96" i="1"/>
  <c r="E82" i="1"/>
  <c r="C66" i="1"/>
  <c r="B52" i="1"/>
  <c r="G32" i="1"/>
  <c r="E18" i="1"/>
  <c r="F863" i="1"/>
  <c r="F753" i="1"/>
  <c r="B670" i="1"/>
  <c r="D594" i="1"/>
  <c r="B500" i="1"/>
  <c r="C455" i="1"/>
  <c r="C382" i="1"/>
  <c r="E358" i="1"/>
  <c r="D342" i="1"/>
  <c r="C323" i="1"/>
  <c r="F306" i="1"/>
  <c r="E286" i="1"/>
  <c r="D270" i="1"/>
  <c r="B248" i="1"/>
  <c r="F233" i="1"/>
  <c r="E218" i="1"/>
  <c r="C204" i="1"/>
  <c r="B190" i="1"/>
  <c r="G171" i="1"/>
  <c r="E157" i="1"/>
  <c r="D139" i="1"/>
  <c r="C125" i="1"/>
  <c r="G106" i="1"/>
  <c r="F92" i="1"/>
  <c r="E78" i="1"/>
  <c r="C62" i="1"/>
  <c r="B48" i="1"/>
  <c r="G28" i="1"/>
  <c r="E14" i="1"/>
  <c r="G874" i="1"/>
  <c r="C761" i="1"/>
  <c r="B684" i="1"/>
  <c r="D607" i="1"/>
  <c r="G503" i="1"/>
  <c r="G458" i="1"/>
  <c r="C385" i="1"/>
  <c r="C360" i="1"/>
  <c r="C344" i="1"/>
  <c r="G324" i="1"/>
  <c r="E308" i="1"/>
  <c r="E288" i="1"/>
  <c r="B272" i="1"/>
  <c r="F249" i="1"/>
  <c r="D235" i="1"/>
  <c r="B220" i="1"/>
  <c r="F205" i="1"/>
  <c r="F191" i="1"/>
  <c r="D173" i="1"/>
  <c r="B159" i="1"/>
  <c r="B141" i="1"/>
  <c r="F126" i="1"/>
  <c r="D108" i="1"/>
  <c r="D94" i="1"/>
  <c r="B80" i="1"/>
  <c r="F63" i="1"/>
  <c r="F49" i="1"/>
  <c r="D30" i="1"/>
  <c r="B16" i="1"/>
  <c r="B2" i="1"/>
  <c r="D632" i="1"/>
  <c r="C448" i="1"/>
  <c r="E344" i="1"/>
  <c r="C294" i="1"/>
  <c r="D245" i="1"/>
  <c r="D206" i="1"/>
  <c r="C164" i="1"/>
  <c r="F122" i="1"/>
  <c r="D80" i="1"/>
  <c r="E35" i="1"/>
  <c r="B182" i="1"/>
  <c r="F67" i="1"/>
  <c r="G273" i="1"/>
  <c r="G387" i="1"/>
  <c r="D118" i="1"/>
  <c r="D732" i="1"/>
  <c r="C503" i="1"/>
  <c r="C367" i="1"/>
  <c r="C632" i="1"/>
  <c r="C166" i="1"/>
  <c r="F314" i="1"/>
  <c r="G117" i="1"/>
  <c r="G746" i="1"/>
  <c r="F448" i="1"/>
  <c r="D582" i="1"/>
  <c r="D875" i="1"/>
  <c r="G692" i="1"/>
  <c r="G568" i="1"/>
  <c r="B843" i="1"/>
  <c r="E682" i="1"/>
  <c r="G513" i="1"/>
  <c r="C864" i="1"/>
  <c r="B711" i="1"/>
  <c r="F594" i="1"/>
  <c r="D463" i="1"/>
  <c r="D819" i="1"/>
  <c r="E691" i="1"/>
  <c r="E577" i="1"/>
  <c r="B604" i="1"/>
  <c r="F359" i="1"/>
  <c r="E287" i="1"/>
  <c r="D219" i="1"/>
  <c r="E158" i="1"/>
  <c r="E93" i="1"/>
  <c r="E31" i="1"/>
  <c r="D777" i="1"/>
  <c r="D620" i="1"/>
  <c r="D466" i="1"/>
  <c r="C363" i="1"/>
  <c r="G327" i="1"/>
  <c r="E291" i="1"/>
  <c r="F252" i="1"/>
  <c r="F222" i="1"/>
  <c r="D194" i="1"/>
  <c r="F161" i="1"/>
  <c r="B131" i="1"/>
  <c r="D109" i="1"/>
  <c r="F89" i="1"/>
  <c r="D68" i="1"/>
  <c r="D50" i="1"/>
  <c r="F27" i="1"/>
  <c r="D13" i="1"/>
  <c r="E2" i="1"/>
  <c r="C765" i="1"/>
  <c r="E687" i="1"/>
  <c r="D610" i="1"/>
  <c r="G505" i="1"/>
  <c r="E460" i="1"/>
  <c r="E386" i="1"/>
  <c r="C361" i="1"/>
  <c r="G344" i="1"/>
  <c r="E325" i="1"/>
  <c r="D309" i="1"/>
  <c r="B289" i="1"/>
  <c r="G272" i="1"/>
  <c r="F250" i="1"/>
  <c r="G235" i="1"/>
  <c r="F220" i="1"/>
  <c r="E206" i="1"/>
  <c r="C192" i="1"/>
  <c r="B174" i="1"/>
  <c r="G159" i="1"/>
  <c r="E141" i="1"/>
  <c r="D127" i="1"/>
  <c r="C109" i="1"/>
  <c r="G94" i="1"/>
  <c r="F80" i="1"/>
  <c r="E64" i="1"/>
  <c r="C50" i="1"/>
  <c r="B31" i="1"/>
  <c r="G16" i="1"/>
  <c r="G851" i="1"/>
  <c r="G739" i="1"/>
  <c r="G661" i="1"/>
  <c r="G586" i="1"/>
  <c r="D495" i="1"/>
  <c r="B450" i="1"/>
  <c r="C379" i="1"/>
  <c r="E356" i="1"/>
  <c r="C340" i="1"/>
  <c r="B321" i="1"/>
  <c r="G304" i="1"/>
  <c r="E284" i="1"/>
  <c r="C268" i="1"/>
  <c r="C246" i="1"/>
  <c r="G231" i="1"/>
  <c r="F216" i="1"/>
  <c r="E202" i="1"/>
  <c r="C188" i="1"/>
  <c r="B170" i="1"/>
  <c r="G155" i="1"/>
  <c r="E137" i="1"/>
  <c r="D123" i="1"/>
  <c r="C105" i="1"/>
  <c r="G90" i="1"/>
  <c r="F74" i="1"/>
  <c r="E60" i="1"/>
  <c r="C46" i="1"/>
  <c r="B27" i="1"/>
  <c r="G12" i="1"/>
  <c r="D863" i="1"/>
  <c r="D752" i="1"/>
  <c r="E668" i="1"/>
  <c r="F593" i="1"/>
  <c r="F498" i="1"/>
  <c r="B454" i="1"/>
  <c r="B382" i="1"/>
  <c r="D358" i="1"/>
  <c r="G341" i="1"/>
  <c r="G322" i="1"/>
  <c r="E306" i="1"/>
  <c r="C286" i="1"/>
  <c r="C270" i="1"/>
  <c r="G247" i="1"/>
  <c r="D233" i="1"/>
  <c r="D218" i="1"/>
  <c r="B204" i="1"/>
  <c r="F189" i="1"/>
  <c r="F171" i="1"/>
  <c r="D157" i="1"/>
  <c r="B139" i="1"/>
  <c r="B125" i="1"/>
  <c r="F106" i="1"/>
  <c r="D92" i="1"/>
  <c r="D78" i="1"/>
  <c r="B62" i="1"/>
  <c r="F47" i="1"/>
  <c r="F28" i="1"/>
  <c r="D14" i="1"/>
  <c r="G846" i="1"/>
  <c r="D609" i="1"/>
  <c r="D394" i="1"/>
  <c r="F339" i="1"/>
  <c r="G288" i="1"/>
  <c r="D240" i="1"/>
  <c r="F201" i="1"/>
  <c r="F159" i="1"/>
  <c r="E117" i="1"/>
  <c r="B74" i="1"/>
  <c r="F30" i="1"/>
  <c r="D135" i="1"/>
  <c r="C58" i="1"/>
  <c r="F202" i="1"/>
  <c r="B356" i="1"/>
  <c r="F85" i="1"/>
  <c r="B707" i="1"/>
  <c r="F490" i="1"/>
  <c r="B360" i="1"/>
  <c r="C314" i="1"/>
  <c r="D266" i="1"/>
  <c r="G219" i="1"/>
  <c r="D178" i="1"/>
  <c r="B136" i="1"/>
  <c r="B94" i="1"/>
  <c r="D54" i="1"/>
  <c r="F360" i="1"/>
  <c r="D820" i="1"/>
  <c r="B265" i="1"/>
  <c r="G71" i="1"/>
  <c r="F682" i="1"/>
  <c r="B72" i="3"/>
  <c r="D507" i="1"/>
  <c r="B809" i="1"/>
  <c r="D661" i="1"/>
  <c r="E504" i="1"/>
  <c r="F792" i="1"/>
  <c r="B651" i="1"/>
  <c r="G496" i="1"/>
  <c r="E815" i="1"/>
  <c r="F688" i="1"/>
  <c r="C575" i="1"/>
  <c r="F404" i="1"/>
  <c r="B791" i="1"/>
  <c r="D662" i="1"/>
  <c r="D515" i="1"/>
  <c r="E507" i="1"/>
  <c r="D345" i="1"/>
  <c r="D273" i="1"/>
  <c r="G206" i="1"/>
  <c r="B142" i="1"/>
  <c r="C81" i="1"/>
  <c r="F29" i="1"/>
  <c r="B767" i="1"/>
  <c r="D612" i="1"/>
  <c r="D461" i="1"/>
  <c r="D361" i="1"/>
  <c r="B326" i="1"/>
  <c r="C289" i="1"/>
  <c r="G250" i="1"/>
  <c r="B221" i="1"/>
  <c r="D192" i="1"/>
  <c r="B160" i="1"/>
  <c r="D129" i="1"/>
  <c r="F107" i="1"/>
  <c r="B88" i="1"/>
  <c r="D66" i="1"/>
  <c r="F48" i="1"/>
  <c r="B26" i="1"/>
  <c r="F11" i="1"/>
  <c r="B868" i="1"/>
  <c r="E755" i="1"/>
  <c r="C678" i="1"/>
  <c r="D596" i="1"/>
  <c r="G500" i="1"/>
  <c r="G455" i="1"/>
  <c r="D383" i="1"/>
  <c r="B359" i="1"/>
  <c r="G342" i="1"/>
  <c r="E323" i="1"/>
  <c r="D307" i="1"/>
  <c r="C287" i="1"/>
  <c r="F270" i="1"/>
  <c r="E248" i="1"/>
  <c r="C234" i="1"/>
  <c r="G218" i="1"/>
  <c r="F204" i="1"/>
  <c r="E190" i="1"/>
  <c r="C172" i="1"/>
  <c r="B158" i="1"/>
  <c r="G139" i="1"/>
  <c r="E125" i="1"/>
  <c r="D107" i="1"/>
  <c r="C93" i="1"/>
  <c r="G78" i="1"/>
  <c r="F62" i="1"/>
  <c r="E48" i="1"/>
  <c r="C29" i="1"/>
  <c r="B15" i="1"/>
  <c r="B841" i="1"/>
  <c r="B731" i="1"/>
  <c r="D652" i="1"/>
  <c r="G579" i="1"/>
  <c r="E490" i="1"/>
  <c r="E403" i="1"/>
  <c r="G375" i="1"/>
  <c r="E354" i="1"/>
  <c r="D338" i="1"/>
  <c r="G318" i="1"/>
  <c r="F302" i="1"/>
  <c r="E282" i="1"/>
  <c r="C266" i="1"/>
  <c r="D244" i="1"/>
  <c r="C230" i="1"/>
  <c r="G214" i="1"/>
  <c r="F200" i="1"/>
  <c r="E182" i="1"/>
  <c r="C168" i="1"/>
  <c r="B154" i="1"/>
  <c r="G135" i="1"/>
  <c r="E121" i="1"/>
  <c r="D103" i="1"/>
  <c r="C89" i="1"/>
  <c r="G72" i="1"/>
  <c r="F58" i="1"/>
  <c r="E44" i="1"/>
  <c r="C25" i="1"/>
  <c r="B11" i="1"/>
  <c r="F849" i="1"/>
  <c r="B739" i="1"/>
  <c r="C660" i="1"/>
  <c r="F585" i="1"/>
  <c r="B494" i="1"/>
  <c r="C449" i="1"/>
  <c r="F378" i="1"/>
  <c r="D356" i="1"/>
  <c r="B340" i="1"/>
  <c r="F320" i="1"/>
  <c r="F304" i="1"/>
  <c r="C284" i="1"/>
  <c r="G267" i="1"/>
  <c r="B246" i="1"/>
  <c r="F231" i="1"/>
  <c r="D216" i="1"/>
  <c r="D202" i="1"/>
  <c r="B188" i="1"/>
  <c r="F169" i="1"/>
  <c r="B327" i="1"/>
  <c r="G784" i="1"/>
  <c r="B262" i="1"/>
  <c r="C69" i="1"/>
  <c r="F678" i="1"/>
  <c r="G875" i="1"/>
  <c r="F504" i="1"/>
  <c r="B805" i="1"/>
  <c r="G657" i="1"/>
  <c r="G501" i="1"/>
  <c r="F783" i="1"/>
  <c r="C644" i="1"/>
  <c r="C494" i="1"/>
  <c r="D811" i="1"/>
  <c r="D685" i="1"/>
  <c r="E572" i="1"/>
  <c r="B402" i="1"/>
  <c r="B782" i="1"/>
  <c r="F659" i="1"/>
  <c r="E870" i="1"/>
  <c r="F502" i="1"/>
  <c r="C343" i="1"/>
  <c r="D271" i="1"/>
  <c r="C205" i="1"/>
  <c r="C140" i="1"/>
  <c r="D79" i="1"/>
  <c r="B19" i="1"/>
  <c r="C757" i="1"/>
  <c r="E596" i="1"/>
  <c r="C456" i="1"/>
  <c r="E359" i="1"/>
  <c r="F323" i="1"/>
  <c r="D287" i="1"/>
  <c r="G248" i="1"/>
  <c r="B219" i="1"/>
  <c r="F190" i="1"/>
  <c r="D158" i="1"/>
  <c r="F127" i="1"/>
  <c r="B104" i="1"/>
  <c r="D84" i="1"/>
  <c r="F64" i="1"/>
  <c r="B45" i="1"/>
  <c r="B24" i="1"/>
  <c r="B10" i="1"/>
  <c r="E854" i="1"/>
  <c r="D742" i="1"/>
  <c r="F663" i="1"/>
  <c r="E588" i="1"/>
  <c r="F495" i="1"/>
  <c r="B451" i="1"/>
  <c r="G379" i="1"/>
  <c r="B357" i="1"/>
  <c r="G340" i="1"/>
  <c r="E321" i="1"/>
  <c r="C305" i="1"/>
  <c r="B285" i="1"/>
  <c r="G268" i="1"/>
  <c r="E246" i="1"/>
  <c r="D232" i="1"/>
  <c r="C217" i="1"/>
  <c r="G202" i="1"/>
  <c r="F188" i="1"/>
  <c r="E170" i="1"/>
  <c r="C156" i="1"/>
  <c r="B138" i="1"/>
  <c r="G123" i="1"/>
  <c r="E105" i="1"/>
  <c r="D91" i="1"/>
  <c r="C75" i="1"/>
  <c r="G60" i="1"/>
  <c r="F46" i="1"/>
  <c r="E27" i="1"/>
  <c r="C13" i="1"/>
  <c r="B811" i="1"/>
  <c r="G722" i="1"/>
  <c r="B644" i="1"/>
  <c r="C572" i="1"/>
  <c r="F479" i="1"/>
  <c r="C399" i="1"/>
  <c r="F371" i="1"/>
  <c r="D352" i="1"/>
  <c r="C333" i="1"/>
  <c r="B317" i="1"/>
  <c r="F300" i="1"/>
  <c r="E280" i="1"/>
  <c r="C264" i="1"/>
  <c r="E242" i="1"/>
  <c r="D228" i="1"/>
  <c r="C213" i="1"/>
  <c r="G198" i="1"/>
  <c r="F180" i="1"/>
  <c r="E166" i="1"/>
  <c r="C152" i="1"/>
  <c r="B134" i="1"/>
  <c r="G119" i="1"/>
  <c r="E101" i="1"/>
  <c r="D87" i="1"/>
  <c r="C71" i="1"/>
  <c r="G56" i="1"/>
  <c r="F42" i="1"/>
  <c r="E23" i="1"/>
  <c r="C9" i="1"/>
  <c r="G820" i="1"/>
  <c r="F729" i="1"/>
  <c r="B652" i="1"/>
  <c r="E578" i="1"/>
  <c r="C489" i="1"/>
  <c r="C403" i="1"/>
  <c r="F375" i="1"/>
  <c r="C354" i="1"/>
  <c r="C338" i="1"/>
  <c r="F318" i="1"/>
  <c r="D302" i="1"/>
  <c r="D282" i="1"/>
  <c r="B266" i="1"/>
  <c r="B244" i="1"/>
  <c r="B230" i="1"/>
  <c r="F214" i="1"/>
  <c r="D200" i="1"/>
  <c r="D182" i="1"/>
  <c r="B168" i="1"/>
  <c r="F153" i="1"/>
  <c r="F135" i="1"/>
  <c r="D121" i="1"/>
  <c r="B103" i="1"/>
  <c r="B89" i="1"/>
  <c r="F72" i="1"/>
  <c r="D58" i="1"/>
  <c r="D44" i="1"/>
  <c r="B25" i="1"/>
  <c r="F10" i="1"/>
  <c r="B765" i="1"/>
  <c r="E564" i="1"/>
  <c r="G377" i="1"/>
  <c r="C325" i="1"/>
  <c r="B278" i="1"/>
  <c r="D231" i="1"/>
  <c r="B192" i="1"/>
  <c r="B146" i="1"/>
  <c r="D104" i="1"/>
  <c r="D64" i="1"/>
  <c r="C21" i="1"/>
  <c r="D116" i="1"/>
  <c r="D34" i="1"/>
  <c r="B101" i="1"/>
  <c r="B284" i="1"/>
  <c r="B22" i="1"/>
  <c r="F653" i="1"/>
  <c r="D458" i="1"/>
  <c r="C710" i="1"/>
  <c r="G654" i="1"/>
  <c r="G213" i="1"/>
  <c r="C24" i="1"/>
  <c r="B611" i="1"/>
  <c r="C729" i="1"/>
  <c r="B472" i="1"/>
  <c r="F767" i="1"/>
  <c r="F630" i="1"/>
  <c r="E476" i="1"/>
  <c r="G752" i="1"/>
  <c r="F617" i="1"/>
  <c r="C471" i="1"/>
  <c r="B778" i="1"/>
  <c r="D656" i="1"/>
  <c r="F510" i="1"/>
  <c r="B385" i="1"/>
  <c r="F754" i="1"/>
  <c r="F635" i="1"/>
  <c r="B769" i="1"/>
  <c r="D462" i="1"/>
  <c r="C326" i="1"/>
  <c r="B251" i="1"/>
  <c r="F192" i="1"/>
  <c r="G127" i="1"/>
  <c r="G64" i="1"/>
  <c r="C17" i="1"/>
  <c r="B726" i="1"/>
  <c r="F574" i="1"/>
  <c r="C401" i="1"/>
  <c r="D353" i="1"/>
  <c r="E317" i="1"/>
  <c r="C281" i="1"/>
  <c r="D243" i="1"/>
  <c r="F213" i="1"/>
  <c r="D181" i="1"/>
  <c r="B153" i="1"/>
  <c r="F125" i="1"/>
  <c r="D102" i="1"/>
  <c r="F82" i="1"/>
  <c r="B63" i="1"/>
  <c r="D43" i="1"/>
  <c r="D22" i="1"/>
  <c r="B8" i="1"/>
  <c r="G842" i="1"/>
  <c r="C733" i="1"/>
  <c r="D655" i="1"/>
  <c r="B581" i="1"/>
  <c r="B491" i="1"/>
  <c r="C404" i="1"/>
  <c r="G376" i="1"/>
  <c r="B355" i="1"/>
  <c r="F338" i="1"/>
  <c r="E319" i="1"/>
  <c r="D303" i="1"/>
  <c r="G282" i="1"/>
  <c r="F266" i="1"/>
  <c r="G244" i="1"/>
  <c r="E230" i="1"/>
  <c r="D215" i="1"/>
  <c r="C201" i="1"/>
  <c r="G182" i="1"/>
  <c r="F168" i="1"/>
  <c r="E154" i="1"/>
  <c r="C136" i="1"/>
  <c r="B122" i="1"/>
  <c r="G103" i="1"/>
  <c r="E89" i="1"/>
  <c r="D73" i="1"/>
  <c r="C59" i="1"/>
  <c r="G44" i="1"/>
  <c r="F25" i="1"/>
  <c r="E11" i="1"/>
  <c r="E800" i="1"/>
  <c r="E710" i="1"/>
  <c r="F634" i="1"/>
  <c r="G565" i="1"/>
  <c r="E474" i="1"/>
  <c r="F395" i="1"/>
  <c r="E368" i="1"/>
  <c r="E350" i="1"/>
  <c r="C331" i="1"/>
  <c r="G314" i="1"/>
  <c r="F294" i="1"/>
  <c r="D278" i="1"/>
  <c r="C262" i="1"/>
  <c r="G240" i="1"/>
  <c r="E226" i="1"/>
  <c r="D211" i="1"/>
  <c r="C197" i="1"/>
  <c r="G178" i="1"/>
  <c r="F164" i="1"/>
  <c r="E146" i="1"/>
  <c r="C132" i="1"/>
  <c r="B118" i="1"/>
  <c r="G99" i="1"/>
  <c r="E85" i="1"/>
  <c r="D69" i="1"/>
  <c r="C55" i="1"/>
  <c r="G35" i="1"/>
  <c r="F21" i="1"/>
  <c r="E7" i="1"/>
  <c r="F810" i="1"/>
  <c r="D721" i="1"/>
  <c r="G642" i="1"/>
  <c r="B572" i="1"/>
  <c r="B694" i="1"/>
  <c r="F637" i="1"/>
  <c r="C211" i="1"/>
  <c r="E21" i="1"/>
  <c r="B607" i="1"/>
  <c r="D722" i="1"/>
  <c r="E469" i="1"/>
  <c r="E763" i="1"/>
  <c r="E627" i="1"/>
  <c r="D471" i="1"/>
  <c r="C744" i="1"/>
  <c r="C614" i="1"/>
  <c r="B469" i="1"/>
  <c r="B774" i="1"/>
  <c r="E653" i="1"/>
  <c r="E508" i="1"/>
  <c r="D382" i="1"/>
  <c r="D746" i="1"/>
  <c r="E632" i="1"/>
  <c r="D757" i="1"/>
  <c r="E457" i="1"/>
  <c r="B324" i="1"/>
  <c r="C249" i="1"/>
  <c r="G190" i="1"/>
  <c r="B126" i="1"/>
  <c r="C63" i="1"/>
  <c r="E15" i="1"/>
  <c r="G696" i="1"/>
  <c r="B511" i="1"/>
  <c r="B390" i="1"/>
  <c r="C347" i="1"/>
  <c r="E311" i="1"/>
  <c r="C275" i="1"/>
  <c r="B238" i="1"/>
  <c r="D208" i="1"/>
  <c r="B176" i="1"/>
  <c r="F143" i="1"/>
  <c r="D122" i="1"/>
  <c r="F98" i="1"/>
  <c r="B81" i="1"/>
  <c r="D59" i="1"/>
  <c r="F34" i="1"/>
  <c r="F20" i="1"/>
  <c r="D6" i="1"/>
  <c r="F814" i="1"/>
  <c r="C724" i="1"/>
  <c r="G645" i="1"/>
  <c r="B574" i="1"/>
  <c r="C486" i="1"/>
  <c r="E400" i="1"/>
  <c r="C372" i="1"/>
  <c r="B353" i="1"/>
  <c r="G333" i="1"/>
  <c r="D317" i="1"/>
  <c r="C301" i="1"/>
  <c r="B281" i="1"/>
  <c r="F264" i="1"/>
  <c r="B243" i="1"/>
  <c r="G228" i="1"/>
  <c r="E213" i="1"/>
  <c r="D199" i="1"/>
  <c r="C181" i="1"/>
  <c r="G166" i="1"/>
  <c r="F152" i="1"/>
  <c r="E134" i="1"/>
  <c r="C120" i="1"/>
  <c r="B102" i="1"/>
  <c r="G87" i="1"/>
  <c r="E71" i="1"/>
  <c r="D57" i="1"/>
  <c r="C43" i="1"/>
  <c r="G23" i="1"/>
  <c r="F9" i="1"/>
  <c r="D785" i="1"/>
  <c r="C702" i="1"/>
  <c r="F625" i="1"/>
  <c r="B515" i="1"/>
  <c r="F469" i="1"/>
  <c r="B392" i="1"/>
  <c r="C365" i="1"/>
  <c r="D348" i="1"/>
  <c r="C329" i="1"/>
  <c r="G312" i="1"/>
  <c r="F292" i="1"/>
  <c r="E276" i="1"/>
  <c r="B254" i="1"/>
  <c r="B239" i="1"/>
  <c r="G224" i="1"/>
  <c r="E209" i="1"/>
  <c r="D195" i="1"/>
  <c r="C177" i="1"/>
  <c r="G162" i="1"/>
  <c r="F144" i="1"/>
  <c r="E130" i="1"/>
  <c r="C116" i="1"/>
  <c r="B98" i="1"/>
  <c r="G83" i="1"/>
  <c r="E67" i="1"/>
  <c r="D53" i="1"/>
  <c r="C34" i="1"/>
  <c r="G19" i="1"/>
  <c r="F5" i="1"/>
  <c r="F798" i="1"/>
  <c r="D710" i="1"/>
  <c r="G632" i="1"/>
  <c r="F564" i="1"/>
  <c r="E473" i="1"/>
  <c r="C395" i="1"/>
  <c r="F367" i="1"/>
  <c r="D350" i="1"/>
  <c r="G330" i="1"/>
  <c r="E314" i="1"/>
  <c r="E294" i="1"/>
  <c r="C278" i="1"/>
  <c r="G255" i="1"/>
  <c r="F240" i="1"/>
  <c r="D226" i="1"/>
  <c r="B211" i="1"/>
  <c r="B197" i="1"/>
  <c r="F178" i="1"/>
  <c r="D164" i="1"/>
  <c r="D146" i="1"/>
  <c r="B132" i="1"/>
  <c r="F117" i="1"/>
  <c r="F99" i="1"/>
  <c r="D85" i="1"/>
  <c r="B69" i="1"/>
  <c r="E381" i="1"/>
  <c r="E506" i="1"/>
  <c r="B596" i="1"/>
  <c r="F451" i="1"/>
  <c r="D364" i="1"/>
  <c r="G386" i="1"/>
  <c r="E109" i="1"/>
  <c r="C506" i="1"/>
  <c r="C273" i="1"/>
  <c r="F141" i="1"/>
  <c r="F57" i="1"/>
  <c r="B803" i="1"/>
  <c r="D475" i="1"/>
  <c r="F331" i="1"/>
  <c r="F262" i="1"/>
  <c r="E197" i="1"/>
  <c r="F132" i="1"/>
  <c r="G69" i="1"/>
  <c r="C6" i="1"/>
  <c r="B510" i="1"/>
  <c r="D346" i="1"/>
  <c r="D274" i="1"/>
  <c r="G207" i="1"/>
  <c r="G142" i="1"/>
  <c r="B82" i="1"/>
  <c r="C18" i="1"/>
  <c r="G624" i="1"/>
  <c r="E391" i="1"/>
  <c r="G332" i="1"/>
  <c r="D290" i="1"/>
  <c r="F238" i="1"/>
  <c r="F198" i="1"/>
  <c r="B161" i="1"/>
  <c r="D128" i="1"/>
  <c r="B96" i="1"/>
  <c r="F65" i="1"/>
  <c r="F35" i="1"/>
  <c r="F12" i="1"/>
  <c r="B686" i="1"/>
  <c r="E367" i="1"/>
  <c r="G303" i="1"/>
  <c r="D220" i="1"/>
  <c r="B155" i="1"/>
  <c r="D90" i="1"/>
  <c r="F16" i="1"/>
  <c r="F79" i="1"/>
  <c r="D27" i="1"/>
  <c r="D55" i="1"/>
  <c r="C580" i="1"/>
  <c r="E349" i="1"/>
  <c r="G293" i="1"/>
  <c r="B240" i="1"/>
  <c r="D196" i="1"/>
  <c r="F145" i="1"/>
  <c r="B99" i="1"/>
  <c r="D49" i="1"/>
  <c r="F6" i="1"/>
  <c r="B650" i="1"/>
  <c r="F457" i="1"/>
  <c r="G348" i="1"/>
  <c r="C302" i="1"/>
  <c r="D249" i="1"/>
  <c r="F209" i="1"/>
  <c r="B163" i="1"/>
  <c r="D98" i="1"/>
  <c r="E10" i="1"/>
  <c r="B242" i="1"/>
  <c r="D133" i="1"/>
  <c r="B13" i="1"/>
  <c r="D448" i="1"/>
  <c r="B241" i="1"/>
  <c r="C137" i="1"/>
  <c r="D17" i="1"/>
  <c r="B678" i="1"/>
  <c r="B468" i="1"/>
  <c r="F353" i="1"/>
  <c r="G306" i="1"/>
  <c r="F253" i="1"/>
  <c r="D214" i="1"/>
  <c r="B172" i="1"/>
  <c r="B130" i="1"/>
  <c r="D88" i="1"/>
  <c r="D48" i="1"/>
  <c r="C5" i="1"/>
  <c r="C311" i="1"/>
  <c r="F212" i="1"/>
  <c r="D82" i="1"/>
  <c r="G351" i="1"/>
  <c r="E142" i="1"/>
  <c r="F345" i="1"/>
  <c r="B60" i="1"/>
  <c r="D668" i="1"/>
  <c r="G467" i="1"/>
  <c r="E352" i="1"/>
  <c r="D306" i="1"/>
  <c r="E253" i="1"/>
  <c r="D213" i="1"/>
  <c r="D171" i="1"/>
  <c r="F129" i="1"/>
  <c r="F87" i="1"/>
  <c r="E47" i="1"/>
  <c r="B5" i="1"/>
  <c r="D618" i="1"/>
  <c r="E341" i="1"/>
  <c r="C180" i="1"/>
  <c r="F51" i="1"/>
  <c r="B662" i="1"/>
  <c r="C398" i="1"/>
  <c r="D263" i="1"/>
  <c r="F137" i="1"/>
  <c r="F17" i="1"/>
  <c r="F361" i="1"/>
  <c r="C216" i="1"/>
  <c r="C74" i="1"/>
  <c r="D389" i="1"/>
  <c r="F203" i="1"/>
  <c r="F75" i="1"/>
  <c r="F166" i="1"/>
  <c r="G858" i="1"/>
  <c r="E316" i="1"/>
  <c r="B28" i="1"/>
  <c r="F640" i="1"/>
  <c r="D246" i="1"/>
  <c r="C128" i="1"/>
  <c r="G339" i="1"/>
  <c r="B202" i="1"/>
  <c r="B65" i="1"/>
  <c r="D189" i="1"/>
  <c r="B66" i="1"/>
  <c r="F570" i="1"/>
  <c r="G356" i="1"/>
  <c r="D802" i="1"/>
  <c r="B179" i="1"/>
  <c r="B171" i="1"/>
  <c r="C306" i="1"/>
  <c r="D47" i="1"/>
  <c r="D715" i="1"/>
  <c r="B343" i="1"/>
  <c r="E628" i="1"/>
  <c r="D163" i="1"/>
  <c r="D385" i="1"/>
  <c r="F108" i="1"/>
  <c r="D468" i="1"/>
  <c r="B213" i="1"/>
  <c r="D74" i="1"/>
  <c r="D798" i="1"/>
  <c r="E250" i="1"/>
  <c r="G102" i="1"/>
  <c r="G384" i="1"/>
  <c r="B164" i="1"/>
  <c r="E729" i="1"/>
  <c r="E318" i="1"/>
  <c r="F130" i="1"/>
  <c r="B180" i="1"/>
  <c r="F174" i="1"/>
  <c r="E374" i="1"/>
  <c r="D190" i="1"/>
  <c r="E19" i="1"/>
  <c r="F450" i="1"/>
  <c r="B746" i="1"/>
  <c r="E275" i="1"/>
  <c r="F101" i="1"/>
  <c r="D694" i="1"/>
  <c r="D222" i="1"/>
  <c r="B305" i="1"/>
  <c r="B635" i="1"/>
  <c r="D3" i="1"/>
  <c r="F398" i="1"/>
  <c r="C251" i="1"/>
  <c r="D67" i="1"/>
  <c r="D11" i="1"/>
  <c r="F268" i="1"/>
  <c r="D700" i="1"/>
  <c r="B93" i="1"/>
  <c r="C362" i="1"/>
  <c r="C358" i="1"/>
  <c r="C92" i="1"/>
  <c r="F70" i="1"/>
  <c r="B396" i="1"/>
  <c r="D368" i="1"/>
  <c r="E503" i="1"/>
  <c r="B593" i="1"/>
  <c r="E449" i="1"/>
  <c r="C873" i="1"/>
  <c r="G383" i="1"/>
  <c r="G107" i="1"/>
  <c r="D501" i="1"/>
  <c r="G270" i="1"/>
  <c r="B140" i="1"/>
  <c r="B54" i="1"/>
  <c r="E792" i="1"/>
  <c r="E470" i="1"/>
  <c r="E329" i="1"/>
  <c r="F254" i="1"/>
  <c r="G195" i="1"/>
  <c r="G130" i="1"/>
  <c r="B68" i="1"/>
  <c r="D4" i="1"/>
  <c r="G504" i="1"/>
  <c r="D344" i="1"/>
  <c r="C272" i="1"/>
  <c r="B206" i="1"/>
  <c r="C141" i="1"/>
  <c r="C80" i="1"/>
  <c r="D16" i="1"/>
  <c r="B616" i="1"/>
  <c r="C388" i="1"/>
  <c r="B329" i="1"/>
  <c r="B280" i="1"/>
  <c r="B237" i="1"/>
  <c r="B195" i="1"/>
  <c r="F155" i="1"/>
  <c r="B123" i="1"/>
  <c r="F90" i="1"/>
  <c r="D60" i="1"/>
  <c r="B34" i="1"/>
  <c r="B9" i="1"/>
  <c r="D658" i="1"/>
  <c r="B361" i="1"/>
  <c r="G283" i="1"/>
  <c r="B216" i="1"/>
  <c r="D141" i="1"/>
  <c r="C85" i="1"/>
  <c r="B12" i="1"/>
  <c r="B49" i="1"/>
  <c r="B614" i="1"/>
  <c r="B873" i="1"/>
  <c r="C563" i="1"/>
  <c r="G343" i="1"/>
  <c r="B288" i="1"/>
  <c r="B235" i="1"/>
  <c r="D191" i="1"/>
  <c r="F140" i="1"/>
  <c r="D89" i="1"/>
  <c r="F44" i="1"/>
  <c r="F872" i="1"/>
  <c r="F626" i="1"/>
  <c r="C402" i="1"/>
  <c r="E343" i="1"/>
  <c r="B293" i="1"/>
  <c r="G243" i="1"/>
  <c r="D205" i="1"/>
  <c r="F158" i="1"/>
  <c r="B84" i="1"/>
  <c r="F719" i="1"/>
  <c r="B232" i="1"/>
  <c r="F123" i="1"/>
  <c r="E3" i="1"/>
  <c r="G368" i="1"/>
  <c r="F226" i="1"/>
  <c r="G122" i="1"/>
  <c r="F7" i="1"/>
  <c r="E649" i="1"/>
  <c r="F455" i="1"/>
  <c r="G347" i="1"/>
  <c r="B302" i="1"/>
  <c r="C248" i="1"/>
  <c r="C209" i="1"/>
  <c r="F167" i="1"/>
  <c r="D125" i="1"/>
  <c r="D83" i="1"/>
  <c r="F43" i="1"/>
  <c r="E477" i="1"/>
  <c r="C300" i="1"/>
  <c r="E198" i="1"/>
  <c r="F61" i="1"/>
  <c r="E332" i="1"/>
  <c r="B119" i="1"/>
  <c r="B310" i="1"/>
  <c r="E26" i="1"/>
  <c r="F645" i="1"/>
  <c r="C453" i="1"/>
  <c r="F347" i="1"/>
  <c r="G300" i="1"/>
  <c r="E247" i="1"/>
  <c r="B209" i="1"/>
  <c r="F124" i="1"/>
  <c r="B83" i="1"/>
  <c r="B43" i="1"/>
  <c r="C591" i="1"/>
  <c r="B166" i="1"/>
  <c r="D379" i="1"/>
  <c r="F8" i="1"/>
  <c r="G357" i="1"/>
  <c r="G147" i="1"/>
  <c r="G236" i="1"/>
  <c r="D326" i="1"/>
  <c r="G45" i="1"/>
  <c r="E56" i="1"/>
  <c r="F31" i="1"/>
  <c r="E393" i="1"/>
  <c r="E234" i="1"/>
  <c r="B95" i="1"/>
  <c r="C293" i="1"/>
  <c r="D684" i="1"/>
  <c r="E173" i="1"/>
  <c r="C352" i="1"/>
  <c r="B175" i="1"/>
  <c r="D51" i="1"/>
  <c r="E178" i="1"/>
  <c r="F690" i="1"/>
  <c r="C319" i="1"/>
  <c r="D117" i="1"/>
  <c r="E365" i="1"/>
  <c r="D177" i="1"/>
  <c r="F60" i="1"/>
  <c r="F69" i="1"/>
  <c r="D323" i="1"/>
  <c r="C144" i="1"/>
  <c r="E346" i="1"/>
  <c r="F227" i="1"/>
  <c r="E512" i="1"/>
  <c r="F228" i="1"/>
  <c r="G61" i="1"/>
  <c r="D106" i="1"/>
  <c r="D70" i="1"/>
  <c r="D247" i="1"/>
  <c r="D771" i="1"/>
  <c r="F507" i="1"/>
  <c r="C101" i="1"/>
  <c r="B18" i="1"/>
  <c r="D154" i="1"/>
  <c r="E214" i="1"/>
  <c r="E262" i="1"/>
  <c r="E265" i="1"/>
  <c r="C322" i="1"/>
  <c r="D378" i="1"/>
  <c r="E264" i="1"/>
  <c r="D9" i="1"/>
  <c r="F279" i="1"/>
  <c r="F217" i="1"/>
  <c r="C381" i="1"/>
  <c r="D634" i="1"/>
  <c r="C452" i="1"/>
  <c r="G743" i="1"/>
  <c r="G723" i="1"/>
  <c r="G309" i="1"/>
  <c r="F50" i="1"/>
  <c r="F386" i="1"/>
  <c r="B236" i="1"/>
  <c r="D120" i="1"/>
  <c r="B33" i="1"/>
  <c r="B716" i="1"/>
  <c r="F396" i="1"/>
  <c r="E315" i="1"/>
  <c r="C241" i="1"/>
  <c r="D179" i="1"/>
  <c r="E118" i="1"/>
  <c r="E55" i="1"/>
  <c r="D773" i="1"/>
  <c r="B465" i="1"/>
  <c r="C327" i="1"/>
  <c r="C252" i="1"/>
  <c r="E193" i="1"/>
  <c r="F128" i="1"/>
  <c r="G65" i="1"/>
  <c r="G3" i="1"/>
  <c r="F513" i="1"/>
  <c r="C371" i="1"/>
  <c r="F326" i="1"/>
  <c r="C276" i="1"/>
  <c r="B228" i="1"/>
  <c r="D193" i="1"/>
  <c r="B152" i="1"/>
  <c r="F119" i="1"/>
  <c r="B87" i="1"/>
  <c r="F56" i="1"/>
  <c r="B32" i="1"/>
  <c r="D7" i="1"/>
  <c r="B584" i="1"/>
  <c r="F355" i="1"/>
  <c r="E272" i="1"/>
  <c r="G210" i="1"/>
  <c r="B137" i="1"/>
  <c r="G68" i="1"/>
  <c r="B7" i="1"/>
  <c r="G24" i="1"/>
  <c r="G462" i="1"/>
  <c r="C841" i="1"/>
  <c r="E472" i="1"/>
  <c r="E338" i="1"/>
  <c r="F282" i="1"/>
  <c r="D230" i="1"/>
  <c r="F182" i="1"/>
  <c r="F131" i="1"/>
  <c r="B85" i="1"/>
  <c r="D35" i="1"/>
  <c r="C819" i="1"/>
  <c r="G605" i="1"/>
  <c r="F392" i="1"/>
  <c r="F334" i="1"/>
  <c r="F287" i="1"/>
  <c r="D239" i="1"/>
  <c r="C200" i="1"/>
  <c r="E153" i="1"/>
  <c r="E72" i="1"/>
  <c r="D370" i="1"/>
  <c r="E221" i="1"/>
  <c r="D105" i="1"/>
  <c r="D849" i="1"/>
  <c r="F350" i="1"/>
  <c r="F211" i="1"/>
  <c r="F104" i="1"/>
  <c r="E865" i="1"/>
  <c r="E623" i="1"/>
  <c r="G401" i="1"/>
  <c r="F342" i="1"/>
  <c r="B292" i="1"/>
  <c r="F243" i="1"/>
  <c r="D204" i="1"/>
  <c r="E162" i="1"/>
  <c r="B121" i="1"/>
  <c r="F78" i="1"/>
  <c r="F33" i="1"/>
  <c r="F370" i="1"/>
  <c r="F290" i="1"/>
  <c r="F175" i="1"/>
  <c r="C42" i="1"/>
  <c r="D310" i="1"/>
  <c r="F86" i="1"/>
  <c r="E273" i="1"/>
  <c r="B861" i="1"/>
  <c r="C622" i="1"/>
  <c r="B400" i="1"/>
  <c r="F341" i="1"/>
  <c r="G291" i="1"/>
  <c r="F242" i="1"/>
  <c r="G203" i="1"/>
  <c r="D162" i="1"/>
  <c r="B120" i="1"/>
  <c r="B78" i="1"/>
  <c r="D33" i="1"/>
  <c r="F808" i="1"/>
  <c r="G285" i="1"/>
  <c r="B14" i="1"/>
  <c r="D615" i="1"/>
  <c r="B114" i="1"/>
  <c r="E327" i="1"/>
  <c r="C375" i="1"/>
  <c r="F624" i="1"/>
  <c r="F449" i="1"/>
  <c r="C740" i="1"/>
  <c r="C720" i="1"/>
  <c r="G307" i="1"/>
  <c r="G48" i="1"/>
  <c r="E383" i="1"/>
  <c r="D234" i="1"/>
  <c r="B117" i="1"/>
  <c r="D31" i="1"/>
  <c r="B704" i="1"/>
  <c r="G392" i="1"/>
  <c r="D313" i="1"/>
  <c r="E239" i="1"/>
  <c r="E177" i="1"/>
  <c r="F116" i="1"/>
  <c r="G53" i="1"/>
  <c r="B763" i="1"/>
  <c r="C460" i="1"/>
  <c r="B325" i="1"/>
  <c r="B250" i="1"/>
  <c r="G191" i="1"/>
  <c r="G126" i="1"/>
  <c r="B64" i="1"/>
  <c r="C2" i="1"/>
  <c r="G508" i="1"/>
  <c r="E364" i="1"/>
  <c r="G316" i="1"/>
  <c r="B274" i="1"/>
  <c r="F224" i="1"/>
  <c r="D180" i="1"/>
  <c r="D144" i="1"/>
  <c r="B116" i="1"/>
  <c r="F83" i="1"/>
  <c r="B55" i="1"/>
  <c r="F26" i="1"/>
  <c r="D5" i="1"/>
  <c r="D505" i="1"/>
  <c r="G349" i="1"/>
  <c r="E267" i="1"/>
  <c r="F196" i="1"/>
  <c r="G131" i="1"/>
  <c r="F59" i="1"/>
  <c r="D2" i="1"/>
  <c r="F15" i="1"/>
  <c r="E320" i="1"/>
  <c r="E796" i="1"/>
  <c r="F403" i="1"/>
  <c r="E330" i="1"/>
  <c r="G277" i="1"/>
  <c r="B226" i="1"/>
  <c r="C173" i="1"/>
  <c r="E126" i="1"/>
  <c r="G79" i="1"/>
  <c r="C30" i="1"/>
  <c r="F785" i="1"/>
  <c r="C577" i="1"/>
  <c r="E384" i="1"/>
  <c r="D329" i="1"/>
  <c r="B282" i="1"/>
  <c r="F234" i="1"/>
  <c r="F195" i="1"/>
  <c r="B145" i="1"/>
  <c r="D63" i="1"/>
  <c r="G345" i="1"/>
  <c r="D212" i="1"/>
  <c r="G95" i="1"/>
  <c r="D769" i="1"/>
  <c r="D331" i="1"/>
  <c r="D197" i="1"/>
  <c r="F95" i="1"/>
  <c r="B819" i="1"/>
  <c r="G594" i="1"/>
  <c r="D391" i="1"/>
  <c r="D334" i="1"/>
  <c r="G286" i="1"/>
  <c r="E238" i="1"/>
  <c r="B200" i="1"/>
  <c r="F157" i="1"/>
  <c r="G115" i="1"/>
  <c r="D72" i="1"/>
  <c r="B29" i="1"/>
  <c r="G362" i="1"/>
  <c r="G279" i="1"/>
  <c r="D161" i="1"/>
  <c r="D18" i="1"/>
  <c r="F284" i="1"/>
  <c r="D56" i="1"/>
  <c r="F236" i="1"/>
  <c r="F812" i="1"/>
  <c r="D592" i="1"/>
  <c r="G390" i="1"/>
  <c r="E333" i="1"/>
  <c r="B286" i="1"/>
  <c r="D238" i="1"/>
  <c r="B199" i="1"/>
  <c r="C157" i="1"/>
  <c r="F115" i="1"/>
  <c r="D71" i="1"/>
  <c r="D28" i="1"/>
  <c r="D775" i="1"/>
  <c r="D510" i="1"/>
  <c r="F263" i="1"/>
  <c r="F138" i="1"/>
  <c r="B4" i="1"/>
  <c r="G587" i="1"/>
  <c r="D340" i="1"/>
  <c r="B217" i="1"/>
  <c r="B91" i="1"/>
  <c r="F737" i="1"/>
  <c r="C304" i="1"/>
  <c r="B165" i="1"/>
  <c r="B157" i="1"/>
  <c r="D626" i="1"/>
  <c r="B3" i="1"/>
  <c r="B17" i="1"/>
  <c r="E98" i="1"/>
  <c r="G308" i="1"/>
  <c r="C773" i="1"/>
  <c r="G253" i="1"/>
  <c r="B105" i="1"/>
  <c r="D21" i="1"/>
  <c r="C320" i="1"/>
  <c r="B50" i="1"/>
  <c r="D682" i="1"/>
  <c r="F210" i="1"/>
  <c r="F68" i="1"/>
  <c r="B503" i="1"/>
  <c r="B225" i="1"/>
  <c r="B316" i="1"/>
  <c r="G294" i="1"/>
  <c r="B513" i="1"/>
  <c r="D229" i="1"/>
  <c r="D62" i="1"/>
  <c r="B129" i="1"/>
  <c r="E169" i="1"/>
  <c r="E322" i="1"/>
  <c r="B144" i="1"/>
  <c r="B453" i="1"/>
  <c r="E495" i="1"/>
  <c r="D188" i="1"/>
  <c r="D132" i="1"/>
  <c r="D119" i="1"/>
  <c r="B208" i="1"/>
  <c r="D170" i="1"/>
  <c r="B720" i="1"/>
  <c r="D42" i="1"/>
  <c r="B59" i="1"/>
  <c r="B20" i="1"/>
  <c r="B488" i="1"/>
  <c r="F176" i="1"/>
  <c r="G227" i="1"/>
  <c r="E698" i="1"/>
  <c r="D176" i="1"/>
  <c r="B642" i="1"/>
  <c r="C463" i="1"/>
  <c r="B100" i="1"/>
  <c r="C167" i="1"/>
  <c r="E398" i="1"/>
  <c r="D718" i="1"/>
  <c r="F629" i="1"/>
  <c r="G609" i="1"/>
  <c r="D236" i="1"/>
  <c r="G4" i="1"/>
  <c r="B345" i="1"/>
  <c r="F206" i="1"/>
  <c r="B97" i="1"/>
  <c r="F18" i="1"/>
  <c r="E636" i="1"/>
  <c r="B369" i="1"/>
  <c r="C295" i="1"/>
  <c r="B227" i="1"/>
  <c r="C165" i="1"/>
  <c r="C100" i="1"/>
  <c r="D36" i="1"/>
  <c r="C694" i="1"/>
  <c r="B389" i="1"/>
  <c r="G310" i="1"/>
  <c r="C237" i="1"/>
  <c r="D175" i="1"/>
  <c r="E114" i="1"/>
  <c r="E51" i="1"/>
  <c r="D783" i="1"/>
  <c r="E478" i="1"/>
  <c r="E362" i="1"/>
  <c r="F312" i="1"/>
  <c r="B264" i="1"/>
  <c r="F221" i="1"/>
  <c r="B177" i="1"/>
  <c r="F142" i="1"/>
  <c r="D114" i="1"/>
  <c r="F81" i="1"/>
  <c r="B53" i="1"/>
  <c r="D23" i="1"/>
  <c r="F3" i="1"/>
  <c r="C493" i="1"/>
  <c r="F330" i="1"/>
  <c r="E255" i="1"/>
  <c r="F183" i="1"/>
  <c r="B127" i="1"/>
  <c r="F54" i="1"/>
  <c r="D126" i="1"/>
  <c r="B6" i="1"/>
  <c r="F245" i="1"/>
  <c r="B761" i="1"/>
  <c r="C394" i="1"/>
  <c r="F324" i="1"/>
  <c r="G271" i="1"/>
  <c r="B215" i="1"/>
  <c r="D168" i="1"/>
  <c r="F121" i="1"/>
  <c r="B73" i="1"/>
  <c r="D25" i="1"/>
  <c r="B759" i="1"/>
  <c r="C515" i="1"/>
  <c r="F374" i="1"/>
  <c r="E324" i="1"/>
  <c r="F276" i="1"/>
  <c r="F229" i="1"/>
  <c r="B191" i="1"/>
  <c r="D140" i="1"/>
  <c r="F53" i="1"/>
  <c r="E326" i="1"/>
  <c r="C193" i="1"/>
  <c r="E81" i="1"/>
  <c r="G711" i="1"/>
  <c r="D315" i="1"/>
  <c r="B193" i="1"/>
  <c r="D81" i="1"/>
  <c r="D781" i="1"/>
  <c r="B577" i="1"/>
  <c r="G382" i="1"/>
  <c r="F328" i="1"/>
  <c r="E281" i="1"/>
  <c r="B234" i="1"/>
  <c r="G194" i="1"/>
  <c r="D153" i="1"/>
  <c r="B107" i="1"/>
  <c r="C67" i="1"/>
  <c r="F24" i="1"/>
  <c r="B352" i="1"/>
  <c r="D269" i="1"/>
  <c r="B143" i="1"/>
  <c r="G507" i="1"/>
  <c r="E251" i="1"/>
  <c r="F22" i="1"/>
  <c r="B207" i="1"/>
  <c r="C781" i="1"/>
  <c r="C573" i="1"/>
  <c r="G381" i="1"/>
  <c r="C328" i="1"/>
  <c r="G280" i="1"/>
  <c r="C233" i="1"/>
  <c r="F194" i="1"/>
  <c r="D152" i="1"/>
  <c r="E106" i="1"/>
  <c r="B67" i="1"/>
  <c r="F23" i="1"/>
  <c r="F745" i="1"/>
  <c r="C465" i="1"/>
  <c r="D237" i="1"/>
  <c r="D124" i="1"/>
  <c r="B854" i="1"/>
  <c r="E569" i="1"/>
  <c r="D321" i="1"/>
  <c r="D198" i="1"/>
  <c r="B75" i="1"/>
  <c r="E690" i="1"/>
  <c r="B290" i="1"/>
  <c r="F146" i="1"/>
  <c r="D12" i="1"/>
  <c r="F274" i="1"/>
  <c r="E133" i="1"/>
  <c r="F32" i="1"/>
  <c r="E164" i="1"/>
  <c r="C606" i="1"/>
  <c r="B205" i="1"/>
  <c r="G365" i="1"/>
  <c r="C225" i="1"/>
  <c r="E34" i="1"/>
  <c r="E235" i="1"/>
  <c r="G49" i="1"/>
  <c r="F310" i="1"/>
  <c r="D137" i="1"/>
  <c r="F472" i="1"/>
  <c r="B109" i="1"/>
  <c r="D221" i="1"/>
  <c r="D255" i="1"/>
  <c r="B21" i="1"/>
  <c r="F271" i="1"/>
  <c r="B44" i="1"/>
  <c r="B659" i="1"/>
  <c r="D754" i="1"/>
  <c r="G275" i="1"/>
  <c r="F102" i="1"/>
  <c r="D252" i="1"/>
  <c r="E585" i="1"/>
  <c r="B372" i="1"/>
  <c r="E189" i="1"/>
  <c r="D19" i="1"/>
  <c r="B807" i="1"/>
  <c r="F267" i="1"/>
  <c r="B23" i="1"/>
  <c r="D477" i="1"/>
  <c r="C51" i="1"/>
  <c r="F109" i="1"/>
  <c r="G8" i="1"/>
  <c r="F708" i="1"/>
  <c r="B201" i="1"/>
  <c r="C254" i="1"/>
  <c r="F493" i="1"/>
  <c r="E312" i="1"/>
  <c r="D10" i="1"/>
  <c r="E90" i="1"/>
  <c r="B218" i="1"/>
  <c r="G380" i="1"/>
  <c r="F160" i="1"/>
  <c r="C498" i="1"/>
  <c r="B844" i="1"/>
  <c r="G731" i="1"/>
  <c r="C584" i="1"/>
  <c r="C491" i="1"/>
  <c r="G688" i="1"/>
  <c r="E174" i="1"/>
  <c r="G687" i="1"/>
  <c r="E309" i="1"/>
  <c r="D174" i="1"/>
  <c r="B79" i="1"/>
  <c r="F4" i="1"/>
  <c r="D567" i="1"/>
  <c r="G350" i="1"/>
  <c r="G278" i="1"/>
  <c r="G211" i="1"/>
  <c r="G146" i="1"/>
  <c r="B86" i="1"/>
  <c r="C22" i="1"/>
  <c r="F616" i="1"/>
  <c r="F362" i="1"/>
  <c r="E290" i="1"/>
  <c r="B222" i="1"/>
  <c r="C161" i="1"/>
  <c r="C96" i="1"/>
  <c r="D32" i="1"/>
  <c r="F700" i="1"/>
  <c r="F463" i="1"/>
  <c r="B348" i="1"/>
  <c r="E300" i="1"/>
  <c r="B252" i="1"/>
  <c r="D209" i="1"/>
  <c r="D166" i="1"/>
  <c r="F133" i="1"/>
  <c r="D101" i="1"/>
  <c r="B71" i="1"/>
  <c r="B46" i="1"/>
  <c r="F19" i="1"/>
  <c r="C736" i="1"/>
  <c r="D460" i="1"/>
  <c r="D314" i="1"/>
  <c r="F235" i="1"/>
  <c r="F173" i="1"/>
  <c r="D99" i="1"/>
  <c r="F45" i="1"/>
  <c r="F93" i="1"/>
  <c r="B156" i="1"/>
  <c r="G183" i="1"/>
  <c r="F631" i="1"/>
  <c r="B376" i="1"/>
  <c r="C308" i="1"/>
  <c r="E249" i="1"/>
  <c r="E205" i="1"/>
  <c r="G158" i="1"/>
  <c r="C108" i="1"/>
  <c r="E63" i="1"/>
  <c r="G15" i="1"/>
  <c r="F703" i="1"/>
  <c r="F488" i="1"/>
  <c r="G359" i="1"/>
  <c r="B313" i="1"/>
  <c r="G265" i="1"/>
  <c r="F219" i="1"/>
  <c r="B173" i="1"/>
  <c r="C121" i="1"/>
  <c r="B30" i="1"/>
  <c r="B300" i="1"/>
  <c r="F165" i="1"/>
  <c r="D46" i="1"/>
  <c r="B567" i="1"/>
  <c r="E278" i="1"/>
  <c r="D160" i="1"/>
  <c r="B51" i="1"/>
  <c r="G727" i="1"/>
  <c r="D500" i="1"/>
  <c r="C364" i="1"/>
  <c r="D318" i="1"/>
  <c r="E270" i="1"/>
  <c r="D224" i="1"/>
  <c r="F181" i="1"/>
  <c r="F139" i="1"/>
  <c r="E97" i="1"/>
  <c r="B58" i="1"/>
  <c r="F14" i="1"/>
  <c r="F332" i="1"/>
  <c r="C242" i="1"/>
  <c r="F114" i="1"/>
  <c r="B388" i="1"/>
  <c r="D207" i="1"/>
  <c r="B475" i="1"/>
  <c r="B128" i="1"/>
  <c r="F723" i="1"/>
  <c r="D498" i="1"/>
  <c r="B364" i="1"/>
  <c r="C317" i="1"/>
  <c r="G269" i="1"/>
  <c r="B224" i="1"/>
  <c r="B181" i="1"/>
  <c r="G138" i="1"/>
  <c r="D97" i="1"/>
  <c r="B57" i="1"/>
  <c r="C14" i="1"/>
  <c r="F666" i="1"/>
  <c r="B92" i="1"/>
  <c r="C290" i="1"/>
  <c r="B233" i="1"/>
  <c r="C309" i="1"/>
  <c r="C303" i="1"/>
  <c r="D681" i="1"/>
  <c r="G353" i="1"/>
  <c r="G167" i="1"/>
  <c r="F147" i="1"/>
  <c r="D142" i="1"/>
  <c r="F358" i="1"/>
  <c r="B135" i="1"/>
  <c r="D96" i="1"/>
  <c r="B486" i="1"/>
  <c r="D134" i="1"/>
  <c r="F193" i="1"/>
  <c r="B42" i="1"/>
  <c r="G86" i="1"/>
  <c r="G821" i="1"/>
  <c r="E725" i="1"/>
  <c r="E581" i="1"/>
  <c r="B489" i="1"/>
  <c r="F680" i="1"/>
  <c r="F172" i="1"/>
  <c r="D679" i="1"/>
  <c r="F307" i="1"/>
  <c r="D172" i="1"/>
  <c r="F73" i="1"/>
  <c r="F2" i="1"/>
  <c r="B516" i="1"/>
  <c r="B349" i="1"/>
  <c r="G276" i="1"/>
  <c r="B210" i="1"/>
  <c r="C145" i="1"/>
  <c r="C84" i="1"/>
  <c r="D20" i="1"/>
  <c r="F608" i="1"/>
  <c r="E360" i="1"/>
  <c r="F288" i="1"/>
  <c r="C220" i="1"/>
  <c r="D159" i="1"/>
  <c r="E94" i="1"/>
  <c r="E30" i="1"/>
  <c r="D692" i="1"/>
  <c r="G398" i="1"/>
  <c r="C346" i="1"/>
  <c r="C292" i="1"/>
  <c r="D242" i="1"/>
  <c r="F207" i="1"/>
  <c r="F162" i="1"/>
  <c r="D130" i="1"/>
  <c r="F97" i="1"/>
  <c r="B386" i="1"/>
  <c r="C226" i="1"/>
  <c r="D169" i="1"/>
  <c r="F94" i="1"/>
  <c r="D26" i="1"/>
  <c r="F88" i="1"/>
  <c r="D65" i="1"/>
  <c r="D155" i="1"/>
  <c r="B606" i="1"/>
  <c r="G354" i="1"/>
  <c r="F244" i="1"/>
  <c r="F103" i="1"/>
  <c r="G469" i="1"/>
  <c r="B308" i="1"/>
  <c r="B108" i="1"/>
  <c r="G31" i="1"/>
  <c r="B36" i="1"/>
  <c r="F218" i="1"/>
  <c r="G52" i="1"/>
  <c r="G174" i="1"/>
  <c r="C312" i="1"/>
  <c r="F52" i="1"/>
  <c r="D740" i="1"/>
  <c r="E231" i="1"/>
</calcChain>
</file>

<file path=xl/sharedStrings.xml><?xml version="1.0" encoding="utf-8"?>
<sst xmlns="http://schemas.openxmlformats.org/spreadsheetml/2006/main" count="5291" uniqueCount="695">
  <si>
    <t>Name</t>
  </si>
  <si>
    <t>Club</t>
  </si>
  <si>
    <t>*METHOD OF TAM USE*</t>
  </si>
  <si>
    <t>TAM</t>
  </si>
  <si>
    <t>1/0</t>
  </si>
  <si>
    <t>30-man Active Roster (Spots 1-30)</t>
  </si>
  <si>
    <t>#</t>
  </si>
  <si>
    <t>POS</t>
  </si>
  <si>
    <t>ROSTER STATUSR.S.</t>
  </si>
  <si>
    <t>PLAYER CATEGORYCAT.</t>
  </si>
  <si>
    <t>*NOTE*</t>
  </si>
  <si>
    <t>Atlanta United</t>
  </si>
  <si>
    <t>t</t>
  </si>
  <si>
    <t>Chicago Fire</t>
  </si>
  <si>
    <t>Colorado Rapids</t>
  </si>
  <si>
    <t>Columbus Crew SC</t>
  </si>
  <si>
    <t>D.C. United</t>
  </si>
  <si>
    <t>FC Dallas</t>
  </si>
  <si>
    <t>Houston Dynamo</t>
  </si>
  <si>
    <t>LA Galaxy</t>
  </si>
  <si>
    <t>Minnesota United FC</t>
  </si>
  <si>
    <t>Montreal Impact</t>
  </si>
  <si>
    <t>New England Revolution</t>
  </si>
  <si>
    <t>New York Red Bulls</t>
  </si>
  <si>
    <t>New York City FC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</si>
  <si>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</si>
  <si>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</si>
  <si>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</si>
  <si>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</si>
  <si>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</si>
  <si>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</si>
  <si>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Sporting Kansas City</t>
  </si>
  <si>
    <t>Toronto FC</t>
  </si>
  <si>
    <t>Vancouver Whitecaps FC</t>
  </si>
  <si>
    <t>Los Angeles FC</t>
  </si>
  <si>
    <t>Almiron, Miguel</t>
  </si>
  <si>
    <t>M</t>
  </si>
  <si>
    <t>SeniorSR</t>
  </si>
  <si>
    <t>DP, INTL</t>
  </si>
  <si>
    <t/>
  </si>
  <si>
    <t>Ambrose, Mikey</t>
  </si>
  <si>
    <t>D</t>
  </si>
  <si>
    <t>SupplementalSUP</t>
  </si>
  <si>
    <t>Barco, Ezequiel</t>
  </si>
  <si>
    <t>Young DPYDP, INTL</t>
  </si>
  <si>
    <t>Bello, George</t>
  </si>
  <si>
    <t>ReserveRES</t>
  </si>
  <si>
    <t>HG</t>
  </si>
  <si>
    <t>Carleton, Andrew</t>
  </si>
  <si>
    <t>Escobar, Franco</t>
  </si>
  <si>
    <t>INTL</t>
  </si>
  <si>
    <t>Garza, Greg</t>
  </si>
  <si>
    <t>Gonzalez Pirez, Leandro</t>
  </si>
  <si>
    <t>Goslin, Chris</t>
  </si>
  <si>
    <t>Gressel, Julian</t>
  </si>
  <si>
    <t>Guzan, Brad</t>
  </si>
  <si>
    <t>GK</t>
  </si>
  <si>
    <t>Hernandez, Jose</t>
  </si>
  <si>
    <t>Hildebrandt, Mitch</t>
  </si>
  <si>
    <t>Kann, Alec</t>
  </si>
  <si>
    <t>Kratz, Kevin</t>
  </si>
  <si>
    <t>Kunga, Lagos</t>
  </si>
  <si>
    <t>F</t>
  </si>
  <si>
    <t>Larentowicz, Jeff</t>
  </si>
  <si>
    <t>Martinez, Josef</t>
  </si>
  <si>
    <t>DP</t>
  </si>
  <si>
    <t>McCann, Chris</t>
  </si>
  <si>
    <t>Nagbe, Darlington</t>
  </si>
  <si>
    <t>Parkhurst, Michael</t>
  </si>
  <si>
    <t>Remedi, Eric</t>
  </si>
  <si>
    <t>Robinson, Miles</t>
  </si>
  <si>
    <t>GA</t>
  </si>
  <si>
    <t>Shannon, Oliver</t>
  </si>
  <si>
    <t>ReserveRES, On loanOL</t>
  </si>
  <si>
    <t>*On loanOL*</t>
  </si>
  <si>
    <t>Vazquez, Brandon</t>
  </si>
  <si>
    <t>Villalba, Hector</t>
  </si>
  <si>
    <t>Wheeler-Omiunu, Andrew</t>
  </si>
  <si>
    <t>Wild, Gordon</t>
  </si>
  <si>
    <t>SeniorSR, On loanOL</t>
  </si>
  <si>
    <t>INTL, GA</t>
  </si>
  <si>
    <t>Williams, Romario</t>
  </si>
  <si>
    <t>Zizzo, Sal</t>
  </si>
  <si>
    <t>30 of 30 spots filled</t>
  </si>
  <si>
    <t>*Players that do not count against the 30-man active roster*</t>
  </si>
  <si>
    <t>Gallagher, Jon</t>
  </si>
  <si>
    <t>SupplementalSUP, On loanOL</t>
  </si>
  <si>
    <t>Okonkwo, Patrick</t>
  </si>
  <si>
    <t>On loanOL</t>
  </si>
  <si>
    <t>*Loaned to: USLOL: USL*</t>
  </si>
  <si>
    <t>Adams, Mo</t>
  </si>
  <si>
    <t>Bronico, Brandt</t>
  </si>
  <si>
    <t>Campbell, Jonathan</t>
  </si>
  <si>
    <t>Campos, Diego</t>
  </si>
  <si>
    <t>Collier, Elliot</t>
  </si>
  <si>
    <t>Conner, Drew</t>
  </si>
  <si>
    <t>Corrales, Jorge</t>
  </si>
  <si>
    <t>de Leeuw, Michael</t>
  </si>
  <si>
    <t>Dean, Christian</t>
  </si>
  <si>
    <t>Del Grecco, Nicolas</t>
  </si>
  <si>
    <t>Edwards, Raheem</t>
  </si>
  <si>
    <t>M/D</t>
  </si>
  <si>
    <t>Gordon, Alan</t>
  </si>
  <si>
    <t>Hasler, Nico</t>
  </si>
  <si>
    <t>Johnson, Daniel</t>
  </si>
  <si>
    <t>Kappelhof, Johan</t>
  </si>
  <si>
    <t>Katai, Aleksandar</t>
  </si>
  <si>
    <t>Lillard, Grant</t>
  </si>
  <si>
    <t>McCarty, Dax</t>
  </si>
  <si>
    <t>McLain, Patrick</t>
  </si>
  <si>
    <t>Mihailovic, Djordje</t>
  </si>
  <si>
    <t>Movsisyan, Yura</t>
  </si>
  <si>
    <t>Nikolic, Nemanja</t>
  </si>
  <si>
    <t>Polster, Matt</t>
  </si>
  <si>
    <t>Sanchez, Richard</t>
  </si>
  <si>
    <t>Schweinsteiger, Bastian</t>
  </si>
  <si>
    <t>Solignac, Luis</t>
  </si>
  <si>
    <t>SeniorSR, Disabled ListDL</t>
  </si>
  <si>
    <t>*Disabled ListDL*</t>
  </si>
  <si>
    <t>Vincent, Brandon</t>
  </si>
  <si>
    <t>27 of 30 spots filled</t>
  </si>
  <si>
    <t>Cleveland, Stefan</t>
  </si>
  <si>
    <t>Acosta, Kellyn</t>
  </si>
  <si>
    <t>Barnes, Giles</t>
  </si>
  <si>
    <t>Bassett, Cole</t>
  </si>
  <si>
    <t>Blomberg, Johan</t>
  </si>
  <si>
    <t>Boateng, Bismark</t>
  </si>
  <si>
    <t>Boli, Yannick</t>
  </si>
  <si>
    <t>Calvert, Caleb</t>
  </si>
  <si>
    <t>Castillo, Edgar</t>
  </si>
  <si>
    <t>Colvey, Kip</t>
  </si>
  <si>
    <t>Da Fonte, Mike</t>
  </si>
  <si>
    <t>Dykstra, Andrew</t>
  </si>
  <si>
    <t>Ford, Kortne</t>
  </si>
  <si>
    <t>Gashi, Shkelzen</t>
  </si>
  <si>
    <t>M/F</t>
  </si>
  <si>
    <t>Hairston, Marlon</t>
  </si>
  <si>
    <t>Hamilton, Sam</t>
  </si>
  <si>
    <t>Howard, Tim</t>
  </si>
  <si>
    <t>Jackson, Niki</t>
  </si>
  <si>
    <t>MacMath, Zac</t>
  </si>
  <si>
    <t>Martinez, Enzo</t>
  </si>
  <si>
    <t>McBean, Jack</t>
  </si>
  <si>
    <t>Nicholson, Sam</t>
  </si>
  <si>
    <t>Perez, Ricardo</t>
  </si>
  <si>
    <t>Price, Jack</t>
  </si>
  <si>
    <t>Serna, Dillon</t>
  </si>
  <si>
    <t>Sjoberg, Axel</t>
  </si>
  <si>
    <t>Smith, Tommy</t>
  </si>
  <si>
    <t>Vines, Sam</t>
  </si>
  <si>
    <t>Wilson, Danny</t>
  </si>
  <si>
    <t>Wynne, Deklan</t>
  </si>
  <si>
    <t>29 of 30 spots filled</t>
  </si>
  <si>
    <t>Abu, Mohammed</t>
  </si>
  <si>
    <t>Abubakar, Lalas</t>
  </si>
  <si>
    <t>Afful, Harrison</t>
  </si>
  <si>
    <t>Argudo, Luis</t>
  </si>
  <si>
    <t>Artur</t>
  </si>
  <si>
    <t>Clark, Ricardo</t>
  </si>
  <si>
    <t>Crognale, Alex</t>
  </si>
  <si>
    <t>Grella, Mike</t>
  </si>
  <si>
    <t>Hansen, Niko</t>
  </si>
  <si>
    <t>Higuain, Federico</t>
  </si>
  <si>
    <t>Jahn, Adam</t>
  </si>
  <si>
    <t>Jimenez, Hector</t>
  </si>
  <si>
    <t>Kempin, Jon</t>
  </si>
  <si>
    <t>Ketterer, Logan</t>
  </si>
  <si>
    <t>Maloney, Connor</t>
  </si>
  <si>
    <t>Martinez, Cristian</t>
  </si>
  <si>
    <t>Mensah, Jonathan</t>
  </si>
  <si>
    <t>Meram, Justin</t>
  </si>
  <si>
    <t>Mullins, Patrick</t>
  </si>
  <si>
    <t>Opoku, Edward</t>
  </si>
  <si>
    <t>Santos, Pedro</t>
  </si>
  <si>
    <t>Sauro, Gaston</t>
  </si>
  <si>
    <t>Sosa, Eduardo</t>
  </si>
  <si>
    <t>Steffen, Zack</t>
  </si>
  <si>
    <t>Trapp, Wil</t>
  </si>
  <si>
    <t>Valenzuela, Milton</t>
  </si>
  <si>
    <t>Williams, Josh</t>
  </si>
  <si>
    <t>Zardes, Gyasi</t>
  </si>
  <si>
    <t>28 of 30 spots filled</t>
  </si>
  <si>
    <t>Lundgaard, Ben</t>
  </si>
  <si>
    <t>Acosta, Luciano</t>
  </si>
  <si>
    <t>Andriuskevicius, Vytautas</t>
  </si>
  <si>
    <t>Arriola, Paul</t>
  </si>
  <si>
    <t>Asad, Yamil</t>
  </si>
  <si>
    <t>Birnbaum, Steve</t>
  </si>
  <si>
    <t>Brillant, Frederic</t>
  </si>
  <si>
    <t>Canouse, Russell</t>
  </si>
  <si>
    <t>DeLeon, Nick</t>
  </si>
  <si>
    <t>Durkin, Chris</t>
  </si>
  <si>
    <t>D/M</t>
  </si>
  <si>
    <t>Ellis, Kevin</t>
  </si>
  <si>
    <t>Fisher, Oniel</t>
  </si>
  <si>
    <t>Hamid, Bill</t>
  </si>
  <si>
    <t>Harkes, Ian</t>
  </si>
  <si>
    <t>Jeffrey, Jared</t>
  </si>
  <si>
    <t>Kelly, Dane</t>
  </si>
  <si>
    <t>Kemp, Taylor</t>
  </si>
  <si>
    <t>SeniorSR, Season-Ending InjurySEI</t>
  </si>
  <si>
    <t>*Season-Ending InjurySEI*</t>
  </si>
  <si>
    <t>Mattocks, Darren</t>
  </si>
  <si>
    <t>Miranda, Bruno</t>
  </si>
  <si>
    <t>Mora, Joseph</t>
  </si>
  <si>
    <t>Moreno, Junior</t>
  </si>
  <si>
    <t>Odoi-Atsem, Chris</t>
  </si>
  <si>
    <t>Opare, Kofi</t>
  </si>
  <si>
    <t>Ousted, David</t>
  </si>
  <si>
    <t>Robinson, Jalen</t>
  </si>
  <si>
    <t>Rooney, Wayne</t>
  </si>
  <si>
    <t>F/M</t>
  </si>
  <si>
    <t>Segura, Ulises</t>
  </si>
  <si>
    <t>Stieber, Zoltan</t>
  </si>
  <si>
    <t>Worra, Travis</t>
  </si>
  <si>
    <t>Aguilar, Abel</t>
  </si>
  <si>
    <t>Akindele, Tesho</t>
  </si>
  <si>
    <t>Aránguiz, Pablo</t>
  </si>
  <si>
    <t>Atuahene, Francis</t>
  </si>
  <si>
    <t>Badji, Dominique</t>
  </si>
  <si>
    <t>Barrios, Michael</t>
  </si>
  <si>
    <t>Cannon, Reginald</t>
  </si>
  <si>
    <t>Cano, Jordan</t>
  </si>
  <si>
    <t>Colman, Cristian</t>
  </si>
  <si>
    <t>Ferreira, Jesus</t>
  </si>
  <si>
    <t>Figueroa, Maynor</t>
  </si>
  <si>
    <t>Gonzalez, Jesse</t>
  </si>
  <si>
    <t>Gruezo, Carlos</t>
  </si>
  <si>
    <t>Hayes, Jacori</t>
  </si>
  <si>
    <t>Hedges, Matt</t>
  </si>
  <si>
    <t>Hernandez, Moises</t>
  </si>
  <si>
    <t>Hollingshead, Ryan</t>
  </si>
  <si>
    <t>Lamah, Roland</t>
  </si>
  <si>
    <t>Maurer, Jimmy</t>
  </si>
  <si>
    <t>Mosquera, Santiago</t>
  </si>
  <si>
    <t>Pedroso, Marquinhos</t>
  </si>
  <si>
    <t>Pomykal, Paxton</t>
  </si>
  <si>
    <t>Reaves, Kris</t>
  </si>
  <si>
    <t>Reynolds, Bryan</t>
  </si>
  <si>
    <t>Servania, Brandon</t>
  </si>
  <si>
    <t>Twumasi, Ema</t>
  </si>
  <si>
    <t>Ulloa, Victor</t>
  </si>
  <si>
    <t>Urruti, Maximiliano</t>
  </si>
  <si>
    <t>Ziegler, Reto</t>
  </si>
  <si>
    <t>Zobeck, Kyle</t>
  </si>
  <si>
    <t>Reid, Adonijah</t>
  </si>
  <si>
    <t>Chala, Anibal</t>
  </si>
  <si>
    <t>Alexander, Eric</t>
  </si>
  <si>
    <t>Alvarez, Arturo</t>
  </si>
  <si>
    <t>Beasley, DeMarcus</t>
  </si>
  <si>
    <t>Bird, Eric</t>
  </si>
  <si>
    <t>Cabezas, Juan David</t>
  </si>
  <si>
    <t>Ceren, Darwin</t>
  </si>
  <si>
    <t>DeLaGarza, AJ</t>
  </si>
  <si>
    <t>Deric, Tyler</t>
  </si>
  <si>
    <t>Donovan, Conor</t>
  </si>
  <si>
    <t>Elis, Alberth</t>
  </si>
  <si>
    <t>Fuenmayor, Alejandro</t>
  </si>
  <si>
    <t>Garcia, Boniek</t>
  </si>
  <si>
    <t>Garcia, Kevin</t>
  </si>
  <si>
    <t>Gil, Luis</t>
  </si>
  <si>
    <t>Leonardo</t>
  </si>
  <si>
    <t>Lundkvist, Adam</t>
  </si>
  <si>
    <t>Machado, Adolfo</t>
  </si>
  <si>
    <t>Manotas, Mauro</t>
  </si>
  <si>
    <t>Martinez, Tomas</t>
  </si>
  <si>
    <t>Nelson, Michael</t>
  </si>
  <si>
    <t>Pena, Ronaldo</t>
  </si>
  <si>
    <t>Quioto, Romell</t>
  </si>
  <si>
    <t>Remick, Dylan</t>
  </si>
  <si>
    <t>Rodriguez, Memo</t>
  </si>
  <si>
    <t>Seitz, Chris</t>
  </si>
  <si>
    <t>Senderos, Philippe</t>
  </si>
  <si>
    <t>Steeves, Mac</t>
  </si>
  <si>
    <t>ReserveRES, Season-Ending InjurySEI</t>
  </si>
  <si>
    <t>Watts, Jared</t>
  </si>
  <si>
    <t>Wenger, Andrew</t>
  </si>
  <si>
    <t>Willis, Joe</t>
  </si>
  <si>
    <t>Alessandrini, Romain</t>
  </si>
  <si>
    <t>Arellano, Hugo</t>
  </si>
  <si>
    <t>Bingham, David</t>
  </si>
  <si>
    <t>Boateng, Emmanuel</t>
  </si>
  <si>
    <t>Carrasco, Servando</t>
  </si>
  <si>
    <t>Ciani, Michael</t>
  </si>
  <si>
    <t>Cole, Ashley</t>
  </si>
  <si>
    <t>dos Santos, Giovani</t>
  </si>
  <si>
    <t>dos Santos, Jonathan</t>
  </si>
  <si>
    <t>Feltscher, Rolf</t>
  </si>
  <si>
    <t>Hilliard-Arce, Tomas</t>
  </si>
  <si>
    <t>Husidic, Baggio</t>
  </si>
  <si>
    <t>Ibrahimović, Zlatan</t>
  </si>
  <si>
    <t>Jamieson, Bradford</t>
  </si>
  <si>
    <t>Kamara, Ola</t>
  </si>
  <si>
    <t>Kitchen, Perry</t>
  </si>
  <si>
    <t>Lassiter, Ariel</t>
  </si>
  <si>
    <t>Lletget, Sebastian</t>
  </si>
  <si>
    <t>Pedro, Joao</t>
  </si>
  <si>
    <t>Pontius, Chris</t>
  </si>
  <si>
    <t>Romney, Dave</t>
  </si>
  <si>
    <t>Skjelvik, Jorgen</t>
  </si>
  <si>
    <t>Steres, Daniel</t>
  </si>
  <si>
    <t>Sylvestre, Brian</t>
  </si>
  <si>
    <t>Vom Steeg, Justin</t>
  </si>
  <si>
    <t>Williams, Sheanon</t>
  </si>
  <si>
    <t>26 of 30 spots filled</t>
  </si>
  <si>
    <t>Alvarez, Efrain</t>
  </si>
  <si>
    <t>Boxall, Michael</t>
  </si>
  <si>
    <t>Burch, Marc</t>
  </si>
  <si>
    <t>Calvo, Francisco</t>
  </si>
  <si>
    <t>Cronin, Sam</t>
  </si>
  <si>
    <t>Danladi, Abu</t>
  </si>
  <si>
    <t>Gomez, Alexi</t>
  </si>
  <si>
    <t>Heath, Harrison</t>
  </si>
  <si>
    <t>Ibarra, Miguel</t>
  </si>
  <si>
    <t>Ibarra, Romario</t>
  </si>
  <si>
    <t>Ibson</t>
  </si>
  <si>
    <t>Kallman, Brent</t>
  </si>
  <si>
    <t>Kapp, Alex</t>
  </si>
  <si>
    <t>Lampson, Matt</t>
  </si>
  <si>
    <t>Manley, Carter</t>
  </si>
  <si>
    <t>Martin, Collin</t>
  </si>
  <si>
    <t>Maximiano</t>
  </si>
  <si>
    <t>Mears, Tyrone</t>
  </si>
  <si>
    <t>Miller, Eric</t>
  </si>
  <si>
    <t>Omsberg, Wyatt</t>
  </si>
  <si>
    <t>Owundi Eko, Bertrand</t>
  </si>
  <si>
    <t>Pangop, Frantz</t>
  </si>
  <si>
    <t>Quintero, Darwin</t>
  </si>
  <si>
    <t>Rodriguez, Angelo</t>
  </si>
  <si>
    <t>Schuller, Rasmus</t>
  </si>
  <si>
    <t>Shuttleworth, Robert</t>
  </si>
  <si>
    <t>Thiesson, Jerome</t>
  </si>
  <si>
    <t>Toye, Mason</t>
  </si>
  <si>
    <t>Venegas, Johan</t>
  </si>
  <si>
    <t>Warner, Collen</t>
  </si>
  <si>
    <t>Molino, Kevin</t>
  </si>
  <si>
    <t>Finlay, Ethan</t>
  </si>
  <si>
    <t>Amarikwa, Quincy</t>
  </si>
  <si>
    <t>Azira, Micheal</t>
  </si>
  <si>
    <t>Beaulieu, Jason</t>
  </si>
  <si>
    <t>Beland-Goyette, Louis</t>
  </si>
  <si>
    <t>Bush, Evan</t>
  </si>
  <si>
    <t>Cabrera, Victor</t>
  </si>
  <si>
    <t>Camacho, Rudy</t>
  </si>
  <si>
    <t>Choiniere, David</t>
  </si>
  <si>
    <t>Choiniere, Mathieu</t>
  </si>
  <si>
    <t>Diallo, Zakaria</t>
  </si>
  <si>
    <t>Diop, Clement</t>
  </si>
  <si>
    <t>Duvall, Chris</t>
  </si>
  <si>
    <t>Fanni, Rod</t>
  </si>
  <si>
    <t>Fisher, Kyle</t>
  </si>
  <si>
    <t>ReserveRES, Disabled ListDL</t>
  </si>
  <si>
    <t>Jackson-Hamel, Anthony</t>
  </si>
  <si>
    <t>Krolicki, Ken</t>
  </si>
  <si>
    <t>Lovitz, Daniel</t>
  </si>
  <si>
    <t>Mancosu, Matteo</t>
  </si>
  <si>
    <t>Pantemis, James</t>
  </si>
  <si>
    <t>Petrasso, Michael</t>
  </si>
  <si>
    <t>Piatti, Ignacio</t>
  </si>
  <si>
    <t>Piette, Samuel</t>
  </si>
  <si>
    <t>Raitala, Jukka</t>
  </si>
  <si>
    <t>Sagna, Bacary</t>
  </si>
  <si>
    <t>Salazar, Michael</t>
  </si>
  <si>
    <t>Shome, Shamit</t>
  </si>
  <si>
    <t>GA-C</t>
  </si>
  <si>
    <t>Silva, Alejandro</t>
  </si>
  <si>
    <t>Taider, Saphir</t>
  </si>
  <si>
    <t>Vargas, Jeisson</t>
  </si>
  <si>
    <t>Crepeau, Maxime</t>
  </si>
  <si>
    <t>Meilleur-Giguere, Thomas</t>
  </si>
  <si>
    <t>Agudelo, Juan</t>
  </si>
  <si>
    <t>Angking, Isaac</t>
  </si>
  <si>
    <t>Anibaba, Jalil</t>
  </si>
  <si>
    <t>Bunbury, Teal</t>
  </si>
  <si>
    <t>Bye, Brandon</t>
  </si>
  <si>
    <t>Caicedo, Luis</t>
  </si>
  <si>
    <t>Caldwell, Scott</t>
  </si>
  <si>
    <t>Cropper, Cody</t>
  </si>
  <si>
    <t>Delamea Mlinar, Antonio</t>
  </si>
  <si>
    <t>Dielna, Claude</t>
  </si>
  <si>
    <t>Fagundez, Diego</t>
  </si>
  <si>
    <t>Farrell, Andrew</t>
  </si>
  <si>
    <t>Hauche, Guillermo</t>
  </si>
  <si>
    <t>Herivaux, Zachary</t>
  </si>
  <si>
    <t>Hollinger-Janzen, Femi</t>
  </si>
  <si>
    <t>Knighton, Brad</t>
  </si>
  <si>
    <t>Machado, Cristhian</t>
  </si>
  <si>
    <t>Mancienne, Michael</t>
  </si>
  <si>
    <t>Penilla, Cristian</t>
  </si>
  <si>
    <t>Rowe, Kelyn</t>
  </si>
  <si>
    <t>Samayoa, Nicolas</t>
  </si>
  <si>
    <t>Segbers, Mark</t>
  </si>
  <si>
    <t>Somi, Gabriel</t>
  </si>
  <si>
    <t>Tierney, Chris</t>
  </si>
  <si>
    <t>Turner, Matt</t>
  </si>
  <si>
    <t>Wright, Brian</t>
  </si>
  <si>
    <t>Zahibo, Wilfried</t>
  </si>
  <si>
    <t>Abdul-Salaam, Saad</t>
  </si>
  <si>
    <t>Amagat, Eloi</t>
  </si>
  <si>
    <t>Awuah, Kwame</t>
  </si>
  <si>
    <t>Bedoya, Daniel</t>
  </si>
  <si>
    <t>Berget, Jo Inge</t>
  </si>
  <si>
    <t>Caldwell, Jeff</t>
  </si>
  <si>
    <t>Callens, Alexander</t>
  </si>
  <si>
    <t>Castellanos, Valentin</t>
  </si>
  <si>
    <t>Chanot, Maxime</t>
  </si>
  <si>
    <t>Herrera, Yangel</t>
  </si>
  <si>
    <t>Hountondji, Cedric</t>
  </si>
  <si>
    <t>Ibeagha, Sebastien</t>
  </si>
  <si>
    <t>Johnson, Sean</t>
  </si>
  <si>
    <t>Lewis, Jonathan</t>
  </si>
  <si>
    <t>Matarrita, Ronald</t>
  </si>
  <si>
    <t>McNamara, Thomas</t>
  </si>
  <si>
    <t>Medina, Jesus</t>
  </si>
  <si>
    <t>Moralez, Maxi</t>
  </si>
  <si>
    <t>Ofori, Ebenezer</t>
  </si>
  <si>
    <t>Rawls, Andre</t>
  </si>
  <si>
    <t>Ring, Alexander</t>
  </si>
  <si>
    <t>Sands, James</t>
  </si>
  <si>
    <t>Scally, Joe</t>
  </si>
  <si>
    <t>Stuver, Brad</t>
  </si>
  <si>
    <t>Sweat, Ben</t>
  </si>
  <si>
    <t>Tajouri-Shradi, Ismael</t>
  </si>
  <si>
    <t>Tinnerholm, Anton</t>
  </si>
  <si>
    <t>Villa, David</t>
  </si>
  <si>
    <t>Wallace, Rodney</t>
  </si>
  <si>
    <t>Allen, RJ</t>
  </si>
  <si>
    <t>Ascues, Carlos</t>
  </si>
  <si>
    <t>Bendik, Joe</t>
  </si>
  <si>
    <t>Colman, Josue</t>
  </si>
  <si>
    <t>Da Silva, Pierre</t>
  </si>
  <si>
    <t>Dwyer, Dom</t>
  </si>
  <si>
    <t>Edwards Jr., Earl</t>
  </si>
  <si>
    <t>El-Munir, Mohamed</t>
  </si>
  <si>
    <t>Grinwis, Adam</t>
  </si>
  <si>
    <t>Higuita, Cristian</t>
  </si>
  <si>
    <t>Johnson, Will</t>
  </si>
  <si>
    <t>Kljestan, Sacha</t>
  </si>
  <si>
    <t>Laryea, Richmond</t>
  </si>
  <si>
    <t>Lindley, Cameron</t>
  </si>
  <si>
    <t>Mueller, Chris</t>
  </si>
  <si>
    <t>O'Neill, Shane</t>
  </si>
  <si>
    <t>PC</t>
  </si>
  <si>
    <t>Pinho, Stefano</t>
  </si>
  <si>
    <t>Powers, Dillon</t>
  </si>
  <si>
    <t>Rocha, Tony</t>
  </si>
  <si>
    <t>Rosell, Oriol</t>
  </si>
  <si>
    <t>Sane, Lamine</t>
  </si>
  <si>
    <t>Schuler, Chris</t>
  </si>
  <si>
    <t>Spector, Jonathan</t>
  </si>
  <si>
    <t>Stajduhar, Mason</t>
  </si>
  <si>
    <t>Sutter, Scott</t>
  </si>
  <si>
    <t>Tarek, Amro</t>
  </si>
  <si>
    <t>Toia, Donny</t>
  </si>
  <si>
    <t>Villarreal, Jose</t>
  </si>
  <si>
    <t>Yotun, Yoshi</t>
  </si>
  <si>
    <t>Arboleda, Victor</t>
  </si>
  <si>
    <t>Armenteros, Samuel</t>
  </si>
  <si>
    <t>Asprilla, Dairon</t>
  </si>
  <si>
    <t>Attinella, Jeff</t>
  </si>
  <si>
    <t>Barmby, Jack</t>
  </si>
  <si>
    <t>Blanco, Sebastian</t>
  </si>
  <si>
    <t>Cascante, Julio</t>
  </si>
  <si>
    <t>Chara, Diego</t>
  </si>
  <si>
    <t>Clark, Steven</t>
  </si>
  <si>
    <t>Conechny, Tomas</t>
  </si>
  <si>
    <t>Ebobisse, Jeremy</t>
  </si>
  <si>
    <t>Farfan, Marco</t>
  </si>
  <si>
    <t>Flores, Andres</t>
  </si>
  <si>
    <t>Gleeson, Jake</t>
  </si>
  <si>
    <t>Guzman, David</t>
  </si>
  <si>
    <t>Jadama, Modou</t>
  </si>
  <si>
    <t>Langsdorf, Foster</t>
  </si>
  <si>
    <t>Mabiala, Larrys</t>
  </si>
  <si>
    <t>Melano, Lucas</t>
  </si>
  <si>
    <t>Miller, Roy</t>
  </si>
  <si>
    <t>Olum, Lawrence</t>
  </si>
  <si>
    <t>Paredes, Cristhian</t>
  </si>
  <si>
    <t>Polo, Andy</t>
  </si>
  <si>
    <t>Powell, Alvas</t>
  </si>
  <si>
    <t>Ridgewell, Liam</t>
  </si>
  <si>
    <t>Tuiloma, Bill</t>
  </si>
  <si>
    <t>Valentin, Zarek</t>
  </si>
  <si>
    <t>Valeri, Diego</t>
  </si>
  <si>
    <t>Villafaña, Jorge</t>
  </si>
  <si>
    <t>Williamson, Eryk</t>
  </si>
  <si>
    <t>*Loaned to: CD Santa ClaraOL: CD Santa Clara*</t>
  </si>
  <si>
    <t>McIntosh, Kendall</t>
  </si>
  <si>
    <t>Acosta, Danilo</t>
  </si>
  <si>
    <t>Allen, Jordan</t>
  </si>
  <si>
    <t>Baird, Corey</t>
  </si>
  <si>
    <t>Barry, Shawn</t>
  </si>
  <si>
    <t>Beckerman, Kyle</t>
  </si>
  <si>
    <t>Beltran, Tony</t>
  </si>
  <si>
    <t>Besler, Nick</t>
  </si>
  <si>
    <t>Glad, Justen</t>
  </si>
  <si>
    <t>Henley, Adam</t>
  </si>
  <si>
    <t>Herrera, Aaron</t>
  </si>
  <si>
    <t>Kreilach, Damir</t>
  </si>
  <si>
    <t>Leeker, Jacob</t>
  </si>
  <si>
    <t>Lennon, Brooks</t>
  </si>
  <si>
    <t>Lopez-Espin, Ricky</t>
  </si>
  <si>
    <t>Mulholland, Luke</t>
  </si>
  <si>
    <t>Onuoha, Nedum</t>
  </si>
  <si>
    <t>Peay, Taylor</t>
  </si>
  <si>
    <t>Phillips, Demar</t>
  </si>
  <si>
    <t>Plata, Joao</t>
  </si>
  <si>
    <t>Putna, Andrew</t>
  </si>
  <si>
    <t>Rimando, Nick</t>
  </si>
  <si>
    <t>Ruiz, Pablo</t>
  </si>
  <si>
    <t>Rusnak, Albert</t>
  </si>
  <si>
    <t>Saucedo, Sebastian</t>
  </si>
  <si>
    <t>Savarino, Jefferson</t>
  </si>
  <si>
    <t>Silva, Luis</t>
  </si>
  <si>
    <t>Silva, Marcelo</t>
  </si>
  <si>
    <t>Sparrow, Connor</t>
  </si>
  <si>
    <t>Stephen, Sunday</t>
  </si>
  <si>
    <t>Horst, David</t>
  </si>
  <si>
    <t>Horwath, Alex</t>
  </si>
  <si>
    <t>SupplementalSUP, Season-Ending InjurySEI</t>
  </si>
  <si>
    <t>Affolter, Francois</t>
  </si>
  <si>
    <t>Akanyirige, Jacob</t>
  </si>
  <si>
    <t>Bersano, Matt</t>
  </si>
  <si>
    <t>Calvillo, Eric</t>
  </si>
  <si>
    <t>Cummings, Harold</t>
  </si>
  <si>
    <t>Eriksson, Magnus</t>
  </si>
  <si>
    <t>Felipe, Luis</t>
  </si>
  <si>
    <t>Fuentes, Gilbert</t>
  </si>
  <si>
    <t>Godoy, Anibal</t>
  </si>
  <si>
    <t>Hoesen, Danny</t>
  </si>
  <si>
    <t>Hyka, Jahmir</t>
  </si>
  <si>
    <t>Jungwirth, Florian</t>
  </si>
  <si>
    <t>Kashia, Guram</t>
  </si>
  <si>
    <t>Lima, Nick</t>
  </si>
  <si>
    <t>Marcinkowski, JT</t>
  </si>
  <si>
    <t>Marie, Paul</t>
  </si>
  <si>
    <t>Musovski, Danny</t>
  </si>
  <si>
    <t>Ockford, Jimmy</t>
  </si>
  <si>
    <t>Oduro, Dominic</t>
  </si>
  <si>
    <t>Quintana, Yeferson</t>
  </si>
  <si>
    <t>Qwiberg, Joel</t>
  </si>
  <si>
    <t>Salinas, Shea</t>
  </si>
  <si>
    <t>Tarbell, Andrew</t>
  </si>
  <si>
    <t>Thiaw, Mohamed</t>
  </si>
  <si>
    <t>Thompson, Tommy</t>
  </si>
  <si>
    <t>Vako</t>
  </si>
  <si>
    <t>Wehan, Chris</t>
  </si>
  <si>
    <t>Wondolowski, Chris</t>
  </si>
  <si>
    <t>Yueill, Jackson</t>
  </si>
  <si>
    <t>Alfaro, Tony</t>
  </si>
  <si>
    <t>Alonso, Osvaldo</t>
  </si>
  <si>
    <t>Brown, Calle</t>
  </si>
  <si>
    <t>Bruin, Will</t>
  </si>
  <si>
    <t>Bwana, Handwalla</t>
  </si>
  <si>
    <t>Chenkam, Felix</t>
  </si>
  <si>
    <t>Delem, Jordy</t>
  </si>
  <si>
    <t>Francis, Waylon</t>
  </si>
  <si>
    <t>Frei, Stefan</t>
  </si>
  <si>
    <t>Kee-hee, Kim</t>
  </si>
  <si>
    <t>Leerdam, Kelvin</t>
  </si>
  <si>
    <t>Lodeiro, Nicolas</t>
  </si>
  <si>
    <t>Lubin, Zachary</t>
  </si>
  <si>
    <t>Marshall, Chad</t>
  </si>
  <si>
    <t>McCrary, Jordan</t>
  </si>
  <si>
    <t>Meredith, Bryan</t>
  </si>
  <si>
    <t>Morris, Jordan</t>
  </si>
  <si>
    <t>Neagle, Lamar</t>
  </si>
  <si>
    <t>Rodriguez, Victor</t>
  </si>
  <si>
    <t>Roldan, Cristian</t>
  </si>
  <si>
    <t>Roldan, Alex</t>
  </si>
  <si>
    <t>Ruidiaz, Raul</t>
  </si>
  <si>
    <t>Shipp, Harry</t>
  </si>
  <si>
    <t>Smith, Brad</t>
  </si>
  <si>
    <t>Svensson, Gustav</t>
  </si>
  <si>
    <t>Tolo, Nouhou</t>
  </si>
  <si>
    <t>Torres, Roman</t>
  </si>
  <si>
    <t>Wingo, Henry</t>
  </si>
  <si>
    <t>Kovar, Aaron</t>
  </si>
  <si>
    <t>*Loaned to: LAFCOL: LAFC*</t>
  </si>
  <si>
    <t>Belmar, Kharlton</t>
  </si>
  <si>
    <t>Besler, Matt</t>
  </si>
  <si>
    <t>Busio, Gianluca</t>
  </si>
  <si>
    <t>Croizet, Yohan</t>
  </si>
  <si>
    <t>Dick, Eric</t>
  </si>
  <si>
    <t>Didic, Amer</t>
  </si>
  <si>
    <t>Espinoza, Roger</t>
  </si>
  <si>
    <t>Evans, Brad</t>
  </si>
  <si>
    <t>Fernandes, Gerso</t>
  </si>
  <si>
    <t>Fontas, Andreu</t>
  </si>
  <si>
    <t>Gutierrez, Felipe</t>
  </si>
  <si>
    <t>Kuzain, Wan</t>
  </si>
  <si>
    <t>Lindsey, Jaylin</t>
  </si>
  <si>
    <t>Lobato, Cristian</t>
  </si>
  <si>
    <t>Medranda, Jimmy</t>
  </si>
  <si>
    <t>Melia, Tim</t>
  </si>
  <si>
    <t>Nemeth, Krisztian</t>
  </si>
  <si>
    <t>Opara, Ike</t>
  </si>
  <si>
    <t>Rubio, Diego</t>
  </si>
  <si>
    <t>Russell, Johnny</t>
  </si>
  <si>
    <t>Salloi, Daniel</t>
  </si>
  <si>
    <t>INTL, HG</t>
  </si>
  <si>
    <t>Sanchez, Ilie</t>
  </si>
  <si>
    <t>Shelton, Khiry</t>
  </si>
  <si>
    <t>Sinovic, Seth</t>
  </si>
  <si>
    <t>Smith, Graham</t>
  </si>
  <si>
    <t>Storm, Colton</t>
  </si>
  <si>
    <t>Zendejas, Adrian</t>
  </si>
  <si>
    <t>Zusi, Graham</t>
  </si>
  <si>
    <t>Aketxe, Ager</t>
  </si>
  <si>
    <t>Akinola, Ayo</t>
  </si>
  <si>
    <t>Altidore, Jozy</t>
  </si>
  <si>
    <t>Auro</t>
  </si>
  <si>
    <t>Baquero, Jon</t>
  </si>
  <si>
    <t>Bono, Alex</t>
  </si>
  <si>
    <t>Bradley, Michael</t>
  </si>
  <si>
    <t>Chapman, Jay</t>
  </si>
  <si>
    <t>Delgado, Marky</t>
  </si>
  <si>
    <t>Dunn, Julian</t>
  </si>
  <si>
    <t>Fraser, Liam</t>
  </si>
  <si>
    <t>Giovinco, Sebastian</t>
  </si>
  <si>
    <t>Hagglund, Nick</t>
  </si>
  <si>
    <t>Hamilton, Jordan</t>
  </si>
  <si>
    <t>Hernandez, Jason</t>
  </si>
  <si>
    <t>Irwin, Clint</t>
  </si>
  <si>
    <t>Janson, Lucas</t>
  </si>
  <si>
    <t>Mavinga, Chris</t>
  </si>
  <si>
    <t>Moor, Drew</t>
  </si>
  <si>
    <t>Morgan, Ashtone</t>
  </si>
  <si>
    <t>Morrow, Justin</t>
  </si>
  <si>
    <t>Osorio, Jonathan</t>
  </si>
  <si>
    <t>Patterson-Sewell, Caleb</t>
  </si>
  <si>
    <t>Ricketts, Tosaint</t>
  </si>
  <si>
    <t>Telfer, Ryan</t>
  </si>
  <si>
    <t>van der Wiel, Gregory</t>
  </si>
  <si>
    <t>Vazquez, Victor</t>
  </si>
  <si>
    <t>Zavaleta, Eriq</t>
  </si>
  <si>
    <t>Daniels, Aidan</t>
  </si>
  <si>
    <t>Aja, Jose</t>
  </si>
  <si>
    <t>Bevan, Myer</t>
  </si>
  <si>
    <t>Blondell, Anthony</t>
  </si>
  <si>
    <t>Colyn, Simon</t>
  </si>
  <si>
    <t>Davies, Alphonso</t>
  </si>
  <si>
    <t>De Jong, Marcel</t>
  </si>
  <si>
    <t>Dominguez, Roberto</t>
  </si>
  <si>
    <t>Emnes, Marvin</t>
  </si>
  <si>
    <t>Franklin, Sean</t>
  </si>
  <si>
    <t>Ghazal, Aly</t>
  </si>
  <si>
    <t>Henry, Doneil</t>
  </si>
  <si>
    <t>Hurtado, Erik</t>
  </si>
  <si>
    <t>Juarez, Efrain</t>
  </si>
  <si>
    <t>Kamara, Kei</t>
  </si>
  <si>
    <t>Levis, Brett</t>
  </si>
  <si>
    <t>Marinovic, Stefan</t>
  </si>
  <si>
    <t>Martins, Felipe</t>
  </si>
  <si>
    <t>Maund, Aaron</t>
  </si>
  <si>
    <t>Melvin, Sean</t>
  </si>
  <si>
    <t>Mezquida, Nicolas</t>
  </si>
  <si>
    <t>Mutch, Jordon</t>
  </si>
  <si>
    <t>Nerwinski, Jake</t>
  </si>
  <si>
    <t>Norman Jr., David</t>
  </si>
  <si>
    <t>Reyna, Yordy</t>
  </si>
  <si>
    <t>Richey, Spencer</t>
  </si>
  <si>
    <t>Rowe, Brian</t>
  </si>
  <si>
    <t>Shea, Brek</t>
  </si>
  <si>
    <t>Techera, Cristian</t>
  </si>
  <si>
    <t>Teibert, Russell</t>
  </si>
  <si>
    <t>Waston, Kendall</t>
  </si>
  <si>
    <t>Atuesta, Eduard</t>
  </si>
  <si>
    <t>Beitashour, Steven</t>
  </si>
  <si>
    <t>Blackmon, Tristan</t>
  </si>
  <si>
    <t>Blessing, Latif</t>
  </si>
  <si>
    <t>Brewer, Shaft</t>
  </si>
  <si>
    <t>da Silva, Danilo</t>
  </si>
  <si>
    <t>Diomande, Adama</t>
  </si>
  <si>
    <t>Feilhaber, Benny</t>
  </si>
  <si>
    <t>Harvey, Jordan</t>
  </si>
  <si>
    <t>Horta, Andre</t>
  </si>
  <si>
    <t>Jakovic, Dejan</t>
  </si>
  <si>
    <t>Lopez, Luis</t>
  </si>
  <si>
    <t>Lyon, Charlie</t>
  </si>
  <si>
    <t>Mallace, Calum</t>
  </si>
  <si>
    <t>Miller, Tyler</t>
  </si>
  <si>
    <t>Moutinho, Joao</t>
  </si>
  <si>
    <t>Murphy, James</t>
  </si>
  <si>
    <t>Nguyen, Lee</t>
  </si>
  <si>
    <t>Pérez, Josh</t>
  </si>
  <si>
    <t>Ramirez, Christian</t>
  </si>
  <si>
    <t>Roberts, Quillan</t>
  </si>
  <si>
    <t>Rossi, Diego</t>
  </si>
  <si>
    <t>Saint-Duc, Steeve</t>
  </si>
  <si>
    <t>Urena, Marco</t>
  </si>
  <si>
    <t>Vela, Carlos</t>
  </si>
  <si>
    <t>Zimmerman, Walker</t>
  </si>
  <si>
    <t>Kaye, Mark-Anthony</t>
  </si>
  <si>
    <t>Czornomaz, 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</si>
</sst>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76"/>
  <sheetViews>
    <sheetView workbookViewId="0"/>
  </sheetViews>
  <sheetFormatPr defaultColWidth="14.44140625" defaultRowHeight="15.75" customHeight="1" x14ac:dyDescent="0.25"/>
  <cols>
    <col min="1" max="1" width="18.44140625" customWidth="1"/>
    <col min="2" max="2" width="24" customWidth="1"/>
    <col min="3" max="3" width="5.88671875" customWidth="1"/>
    <col min="4" max="4" width="7.33203125" customWidth="1"/>
    <col min="5" max="5" width="24.5546875" customWidth="1"/>
    <col min="6" max="6" width="21.33203125" customWidth="1"/>
  </cols>
  <sheetData>
    <row r="1" spans="1:7" ht="15.75" customHeight="1" x14ac:dyDescent="0.25">
      <c r="A1" s="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ht="15.75" customHeight="1" x14ac:dyDescent="0.25">
      <c r="A2" s="1" t="s">
        <v>1</v>
      </c>
      <c r="B2" t="str">
        <f ca="1">IFERROR(__xludf.DUMMYFUNCTION("IMPORTHTML(""http://www.mlssoccer.com/rosters/2018/atlanta-united"", ""table"", 1)"),"30-man Active Roster (Spots 1-30)")</f>
        <v>30-man Active Roster (Spots 1-30)</v>
      </c>
      <c r="C2" t="str">
        <f ca="1">IFERROR(__xludf.DUMMYFUNCTION("""COMPUTED_VALUE"""),"#")</f>
        <v>#</v>
      </c>
      <c r="D2" t="str">
        <f ca="1">IFERROR(__xludf.DUMMYFUNCTION("""COMPUTED_VALUE"""),"POS")</f>
        <v>POS</v>
      </c>
      <c r="E2" t="str">
        <f ca="1">IFERROR(__xludf.DUMMYFUNCTION("""COMPUTED_VALUE"""),"ROSTER STATUSR.S.")</f>
        <v>ROSTER STATUSR.S.</v>
      </c>
      <c r="F2" t="str">
        <f ca="1">IFERROR(__xludf.DUMMYFUNCTION("""COMPUTED_VALUE"""),"PLAYER CATEGORYCAT.")</f>
        <v>PLAYER CATEGORYCAT.</v>
      </c>
      <c r="G2" t="str">
        <f ca="1">IFERROR(__xludf.DUMMYFUNCTION("""COMPUTED_VALUE"""),"*NOTE*")</f>
        <v>*NOTE*</v>
      </c>
    </row>
    <row r="3" spans="1:7" ht="15.75" customHeight="1" x14ac:dyDescent="0.25">
      <c r="A3" s="1" t="s">
        <v>11</v>
      </c>
      <c r="B3" t="str">
        <f ca="1">IFERROR(__xludf.DUMMYFUNCTION("""COMPUTED_VALUE"""),"Almiron, Miguel")</f>
        <v>Almiron, Miguel</v>
      </c>
      <c r="C3">
        <f ca="1">IFERROR(__xludf.DUMMYFUNCTION("""COMPUTED_VALUE"""),10)</f>
        <v>10</v>
      </c>
      <c r="D3" t="str">
        <f ca="1">IFERROR(__xludf.DUMMYFUNCTION("""COMPUTED_VALUE"""),"M")</f>
        <v>M</v>
      </c>
      <c r="E3" t="str">
        <f ca="1">IFERROR(__xludf.DUMMYFUNCTION("""COMPUTED_VALUE"""),"SeniorSR")</f>
        <v>SeniorSR</v>
      </c>
      <c r="F3" t="str">
        <f ca="1">IFERROR(__xludf.DUMMYFUNCTION("""COMPUTED_VALUE"""),"DP, INTL")</f>
        <v>DP, INTL</v>
      </c>
      <c r="G3" t="str">
        <f ca="1">IFERROR(__xludf.DUMMYFUNCTION("""COMPUTED_VALUE"""),"")</f>
        <v/>
      </c>
    </row>
    <row r="4" spans="1:7" ht="15.75" customHeight="1" x14ac:dyDescent="0.25">
      <c r="A4" s="1" t="s">
        <v>11</v>
      </c>
      <c r="B4" t="str">
        <f ca="1">IFERROR(__xludf.DUMMYFUNCTION("""COMPUTED_VALUE"""),"Ambrose, Mikey")</f>
        <v>Ambrose, Mikey</v>
      </c>
      <c r="C4">
        <f ca="1">IFERROR(__xludf.DUMMYFUNCTION("""COMPUTED_VALUE"""),22)</f>
        <v>22</v>
      </c>
      <c r="D4" t="str">
        <f ca="1">IFERROR(__xludf.DUMMYFUNCTION("""COMPUTED_VALUE"""),"D")</f>
        <v>D</v>
      </c>
      <c r="E4" t="str">
        <f ca="1">IFERROR(__xludf.DUMMYFUNCTION("""COMPUTED_VALUE"""),"SupplementalSUP")</f>
        <v>SupplementalSUP</v>
      </c>
      <c r="F4" t="str">
        <f ca="1">IFERROR(__xludf.DUMMYFUNCTION("""COMPUTED_VALUE"""),"")</f>
        <v/>
      </c>
      <c r="G4" t="str">
        <f ca="1">IFERROR(__xludf.DUMMYFUNCTION("""COMPUTED_VALUE"""),"")</f>
        <v/>
      </c>
    </row>
    <row r="5" spans="1:7" ht="15.75" customHeight="1" x14ac:dyDescent="0.25">
      <c r="A5" s="1" t="s">
        <v>11</v>
      </c>
      <c r="B5" t="str">
        <f ca="1">IFERROR(__xludf.DUMMYFUNCTION("""COMPUTED_VALUE"""),"Barco, Ezequiel")</f>
        <v>Barco, Ezequiel</v>
      </c>
      <c r="C5">
        <f ca="1">IFERROR(__xludf.DUMMYFUNCTION("""COMPUTED_VALUE"""),8)</f>
        <v>8</v>
      </c>
      <c r="D5" t="str">
        <f ca="1">IFERROR(__xludf.DUMMYFUNCTION("""COMPUTED_VALUE"""),"M")</f>
        <v>M</v>
      </c>
      <c r="E5" t="str">
        <f ca="1">IFERROR(__xludf.DUMMYFUNCTION("""COMPUTED_VALUE"""),"SeniorSR")</f>
        <v>SeniorSR</v>
      </c>
      <c r="F5" t="str">
        <f ca="1">IFERROR(__xludf.DUMMYFUNCTION("""COMPUTED_VALUE"""),"Young DPYDP, INTL")</f>
        <v>Young DPYDP, INTL</v>
      </c>
      <c r="G5" t="str">
        <f ca="1">IFERROR(__xludf.DUMMYFUNCTION("""COMPUTED_VALUE"""),"")</f>
        <v/>
      </c>
    </row>
    <row r="6" spans="1:7" ht="15.75" customHeight="1" x14ac:dyDescent="0.25">
      <c r="A6" s="1" t="s">
        <v>11</v>
      </c>
      <c r="B6" t="str">
        <f ca="1">IFERROR(__xludf.DUMMYFUNCTION("""COMPUTED_VALUE"""),"Bello, George")</f>
        <v>Bello, George</v>
      </c>
      <c r="C6">
        <f ca="1">IFERROR(__xludf.DUMMYFUNCTION("""COMPUTED_VALUE"""),21)</f>
        <v>21</v>
      </c>
      <c r="D6" t="str">
        <f ca="1">IFERROR(__xludf.DUMMYFUNCTION("""COMPUTED_VALUE"""),"D")</f>
        <v>D</v>
      </c>
      <c r="E6" t="str">
        <f ca="1">IFERROR(__xludf.DUMMYFUNCTION("""COMPUTED_VALUE"""),"ReserveRES")</f>
        <v>ReserveRES</v>
      </c>
      <c r="F6" t="str">
        <f ca="1">IFERROR(__xludf.DUMMYFUNCTION("""COMPUTED_VALUE"""),"HG")</f>
        <v>HG</v>
      </c>
      <c r="G6" t="str">
        <f ca="1">IFERROR(__xludf.DUMMYFUNCTION("""COMPUTED_VALUE"""),"")</f>
        <v/>
      </c>
    </row>
    <row r="7" spans="1:7" ht="15.75" customHeight="1" x14ac:dyDescent="0.25">
      <c r="A7" s="1" t="s">
        <v>11</v>
      </c>
      <c r="B7" t="str">
        <f ca="1">IFERROR(__xludf.DUMMYFUNCTION("""COMPUTED_VALUE"""),"Carleton, Andrew")</f>
        <v>Carleton, Andrew</v>
      </c>
      <c r="C7">
        <f ca="1">IFERROR(__xludf.DUMMYFUNCTION("""COMPUTED_VALUE"""),30)</f>
        <v>30</v>
      </c>
      <c r="D7" t="str">
        <f ca="1">IFERROR(__xludf.DUMMYFUNCTION("""COMPUTED_VALUE"""),"M")</f>
        <v>M</v>
      </c>
      <c r="E7" t="str">
        <f ca="1">IFERROR(__xludf.DUMMYFUNCTION("""COMPUTED_VALUE"""),"ReserveRES")</f>
        <v>ReserveRES</v>
      </c>
      <c r="F7" t="str">
        <f ca="1">IFERROR(__xludf.DUMMYFUNCTION("""COMPUTED_VALUE"""),"HG")</f>
        <v>HG</v>
      </c>
      <c r="G7" t="str">
        <f ca="1">IFERROR(__xludf.DUMMYFUNCTION("""COMPUTED_VALUE"""),"")</f>
        <v/>
      </c>
    </row>
    <row r="8" spans="1:7" ht="15.75" customHeight="1" x14ac:dyDescent="0.25">
      <c r="A8" s="1" t="s">
        <v>11</v>
      </c>
      <c r="B8" t="str">
        <f ca="1">IFERROR(__xludf.DUMMYFUNCTION("""COMPUTED_VALUE"""),"Escobar, Franco")</f>
        <v>Escobar, Franco</v>
      </c>
      <c r="C8">
        <f ca="1">IFERROR(__xludf.DUMMYFUNCTION("""COMPUTED_VALUE"""),2)</f>
        <v>2</v>
      </c>
      <c r="D8" t="str">
        <f ca="1">IFERROR(__xludf.DUMMYFUNCTION("""COMPUTED_VALUE"""),"D")</f>
        <v>D</v>
      </c>
      <c r="E8" t="str">
        <f ca="1">IFERROR(__xludf.DUMMYFUNCTION("""COMPUTED_VALUE"""),"SeniorSR")</f>
        <v>SeniorSR</v>
      </c>
      <c r="F8" t="str">
        <f ca="1">IFERROR(__xludf.DUMMYFUNCTION("""COMPUTED_VALUE"""),"INTL")</f>
        <v>INTL</v>
      </c>
      <c r="G8" t="str">
        <f ca="1">IFERROR(__xludf.DUMMYFUNCTION("""COMPUTED_VALUE"""),"")</f>
        <v/>
      </c>
    </row>
    <row r="9" spans="1:7" ht="15.75" customHeight="1" x14ac:dyDescent="0.25">
      <c r="A9" s="1" t="s">
        <v>11</v>
      </c>
      <c r="B9" t="str">
        <f ca="1">IFERROR(__xludf.DUMMYFUNCTION("""COMPUTED_VALUE"""),"Garza, Greg")</f>
        <v>Garza, Greg</v>
      </c>
      <c r="C9">
        <f ca="1">IFERROR(__xludf.DUMMYFUNCTION("""COMPUTED_VALUE"""),4)</f>
        <v>4</v>
      </c>
      <c r="D9" t="str">
        <f ca="1">IFERROR(__xludf.DUMMYFUNCTION("""COMPUTED_VALUE"""),"D")</f>
        <v>D</v>
      </c>
      <c r="E9" t="str">
        <f ca="1">IFERROR(__xludf.DUMMYFUNCTION("""COMPUTED_VALUE"""),"SeniorSR")</f>
        <v>SeniorSR</v>
      </c>
      <c r="F9" t="str">
        <f ca="1">IFERROR(__xludf.DUMMYFUNCTION("""COMPUTED_VALUE"""),"")</f>
        <v/>
      </c>
      <c r="G9" t="str">
        <f ca="1">IFERROR(__xludf.DUMMYFUNCTION("""COMPUTED_VALUE"""),"")</f>
        <v/>
      </c>
    </row>
    <row r="10" spans="1:7" ht="15.75" customHeight="1" x14ac:dyDescent="0.25">
      <c r="A10" s="1" t="s">
        <v>11</v>
      </c>
      <c r="B10" t="str">
        <f ca="1">IFERROR(__xludf.DUMMYFUNCTION("""COMPUTED_VALUE"""),"Gonzalez Pirez, Leandro")</f>
        <v>Gonzalez Pirez, Leandro</v>
      </c>
      <c r="C10">
        <f ca="1">IFERROR(__xludf.DUMMYFUNCTION("""COMPUTED_VALUE"""),5)</f>
        <v>5</v>
      </c>
      <c r="D10" t="str">
        <f ca="1">IFERROR(__xludf.DUMMYFUNCTION("""COMPUTED_VALUE"""),"D")</f>
        <v>D</v>
      </c>
      <c r="E10" t="str">
        <f ca="1">IFERROR(__xludf.DUMMYFUNCTION("""COMPUTED_VALUE"""),"SeniorSR")</f>
        <v>SeniorSR</v>
      </c>
      <c r="F10" t="str">
        <f ca="1">IFERROR(__xludf.DUMMYFUNCTION("""COMPUTED_VALUE"""),"INTL")</f>
        <v>INTL</v>
      </c>
      <c r="G10" t="str">
        <f ca="1">IFERROR(__xludf.DUMMYFUNCTION("""COMPUTED_VALUE"""),"")</f>
        <v/>
      </c>
    </row>
    <row r="11" spans="1:7" ht="15.75" customHeight="1" x14ac:dyDescent="0.25">
      <c r="A11" s="1" t="s">
        <v>11</v>
      </c>
      <c r="B11" t="str">
        <f ca="1">IFERROR(__xludf.DUMMYFUNCTION("""COMPUTED_VALUE"""),"Goslin, Chris")</f>
        <v>Goslin, Chris</v>
      </c>
      <c r="C11">
        <f ca="1">IFERROR(__xludf.DUMMYFUNCTION("""COMPUTED_VALUE"""),20)</f>
        <v>20</v>
      </c>
      <c r="D11" t="str">
        <f ca="1">IFERROR(__xludf.DUMMYFUNCTION("""COMPUTED_VALUE"""),"M")</f>
        <v>M</v>
      </c>
      <c r="E11" t="str">
        <f ca="1">IFERROR(__xludf.DUMMYFUNCTION("""COMPUTED_VALUE"""),"ReserveRES")</f>
        <v>ReserveRES</v>
      </c>
      <c r="F11" t="str">
        <f ca="1">IFERROR(__xludf.DUMMYFUNCTION("""COMPUTED_VALUE"""),"HG")</f>
        <v>HG</v>
      </c>
      <c r="G11" t="str">
        <f ca="1">IFERROR(__xludf.DUMMYFUNCTION("""COMPUTED_VALUE"""),"")</f>
        <v/>
      </c>
    </row>
    <row r="12" spans="1:7" ht="15.75" customHeight="1" x14ac:dyDescent="0.25">
      <c r="A12" s="1" t="s">
        <v>11</v>
      </c>
      <c r="B12" t="str">
        <f ca="1">IFERROR(__xludf.DUMMYFUNCTION("""COMPUTED_VALUE"""),"Gressel, Julian")</f>
        <v>Gressel, Julian</v>
      </c>
      <c r="C12">
        <f ca="1">IFERROR(__xludf.DUMMYFUNCTION("""COMPUTED_VALUE"""),24)</f>
        <v>24</v>
      </c>
      <c r="D12" t="str">
        <f ca="1">IFERROR(__xludf.DUMMYFUNCTION("""COMPUTED_VALUE"""),"M")</f>
        <v>M</v>
      </c>
      <c r="E12" t="str">
        <f ca="1">IFERROR(__xludf.DUMMYFUNCTION("""COMPUTED_VALUE"""),"SeniorSR")</f>
        <v>SeniorSR</v>
      </c>
      <c r="F12" t="str">
        <f ca="1">IFERROR(__xludf.DUMMYFUNCTION("""COMPUTED_VALUE"""),"INTL")</f>
        <v>INTL</v>
      </c>
      <c r="G12" t="str">
        <f ca="1">IFERROR(__xludf.DUMMYFUNCTION("""COMPUTED_VALUE"""),"")</f>
        <v/>
      </c>
    </row>
    <row r="13" spans="1:7" ht="15.75" customHeight="1" x14ac:dyDescent="0.25">
      <c r="A13" s="1" t="s">
        <v>11</v>
      </c>
      <c r="B13" t="str">
        <f ca="1">IFERROR(__xludf.DUMMYFUNCTION("""COMPUTED_VALUE"""),"Guzan, Brad")</f>
        <v>Guzan, Brad</v>
      </c>
      <c r="C13">
        <f ca="1">IFERROR(__xludf.DUMMYFUNCTION("""COMPUTED_VALUE"""),1)</f>
        <v>1</v>
      </c>
      <c r="D13" t="str">
        <f ca="1">IFERROR(__xludf.DUMMYFUNCTION("""COMPUTED_VALUE"""),"GK")</f>
        <v>GK</v>
      </c>
      <c r="E13" t="str">
        <f ca="1">IFERROR(__xludf.DUMMYFUNCTION("""COMPUTED_VALUE"""),"SeniorSR")</f>
        <v>SeniorSR</v>
      </c>
      <c r="F13" t="str">
        <f ca="1">IFERROR(__xludf.DUMMYFUNCTION("""COMPUTED_VALUE"""),"")</f>
        <v/>
      </c>
      <c r="G13" t="str">
        <f ca="1">IFERROR(__xludf.DUMMYFUNCTION("""COMPUTED_VALUE"""),"")</f>
        <v/>
      </c>
    </row>
    <row r="14" spans="1:7" ht="15.75" customHeight="1" x14ac:dyDescent="0.25">
      <c r="A14" s="1" t="s">
        <v>11</v>
      </c>
      <c r="B14" t="str">
        <f ca="1">IFERROR(__xludf.DUMMYFUNCTION("""COMPUTED_VALUE"""),"Hernandez, Jose")</f>
        <v>Hernandez, Jose</v>
      </c>
      <c r="C14">
        <f ca="1">IFERROR(__xludf.DUMMYFUNCTION("""COMPUTED_VALUE"""),13)</f>
        <v>13</v>
      </c>
      <c r="D14" t="str">
        <f ca="1">IFERROR(__xludf.DUMMYFUNCTION("""COMPUTED_VALUE"""),"D")</f>
        <v>D</v>
      </c>
      <c r="E14" t="str">
        <f ca="1">IFERROR(__xludf.DUMMYFUNCTION("""COMPUTED_VALUE"""),"SeniorSR")</f>
        <v>SeniorSR</v>
      </c>
      <c r="F14" t="str">
        <f ca="1">IFERROR(__xludf.DUMMYFUNCTION("""COMPUTED_VALUE"""),"INTL")</f>
        <v>INTL</v>
      </c>
      <c r="G14" t="str">
        <f ca="1">IFERROR(__xludf.DUMMYFUNCTION("""COMPUTED_VALUE"""),"")</f>
        <v/>
      </c>
    </row>
    <row r="15" spans="1:7" ht="15.75" customHeight="1" x14ac:dyDescent="0.25">
      <c r="A15" s="1" t="s">
        <v>11</v>
      </c>
      <c r="B15" t="str">
        <f ca="1">IFERROR(__xludf.DUMMYFUNCTION("""COMPUTED_VALUE"""),"Hildebrandt, Mitch")</f>
        <v>Hildebrandt, Mitch</v>
      </c>
      <c r="C15">
        <f ca="1">IFERROR(__xludf.DUMMYFUNCTION("""COMPUTED_VALUE"""),27)</f>
        <v>27</v>
      </c>
      <c r="D15" t="str">
        <f ca="1">IFERROR(__xludf.DUMMYFUNCTION("""COMPUTED_VALUE"""),"GK")</f>
        <v>GK</v>
      </c>
      <c r="E15" t="str">
        <f ca="1">IFERROR(__xludf.DUMMYFUNCTION("""COMPUTED_VALUE"""),"SupplementalSUP")</f>
        <v>SupplementalSUP</v>
      </c>
      <c r="F15" t="str">
        <f ca="1">IFERROR(__xludf.DUMMYFUNCTION("""COMPUTED_VALUE"""),"")</f>
        <v/>
      </c>
      <c r="G15" t="str">
        <f ca="1">IFERROR(__xludf.DUMMYFUNCTION("""COMPUTED_VALUE"""),"")</f>
        <v/>
      </c>
    </row>
    <row r="16" spans="1:7" ht="15.75" customHeight="1" x14ac:dyDescent="0.25">
      <c r="A16" s="1" t="s">
        <v>11</v>
      </c>
      <c r="B16" t="str">
        <f ca="1">IFERROR(__xludf.DUMMYFUNCTION("""COMPUTED_VALUE"""),"Kann, Alec")</f>
        <v>Kann, Alec</v>
      </c>
      <c r="C16">
        <f ca="1">IFERROR(__xludf.DUMMYFUNCTION("""COMPUTED_VALUE"""),25)</f>
        <v>25</v>
      </c>
      <c r="D16" t="str">
        <f ca="1">IFERROR(__xludf.DUMMYFUNCTION("""COMPUTED_VALUE"""),"GK")</f>
        <v>GK</v>
      </c>
      <c r="E16" t="str">
        <f ca="1">IFERROR(__xludf.DUMMYFUNCTION("""COMPUTED_VALUE"""),"SeniorSR")</f>
        <v>SeniorSR</v>
      </c>
      <c r="F16" t="str">
        <f ca="1">IFERROR(__xludf.DUMMYFUNCTION("""COMPUTED_VALUE"""),"")</f>
        <v/>
      </c>
      <c r="G16" t="str">
        <f ca="1">IFERROR(__xludf.DUMMYFUNCTION("""COMPUTED_VALUE"""),"")</f>
        <v/>
      </c>
    </row>
    <row r="17" spans="1:7" ht="15.75" customHeight="1" x14ac:dyDescent="0.25">
      <c r="A17" s="1" t="s">
        <v>11</v>
      </c>
      <c r="B17" t="str">
        <f ca="1">IFERROR(__xludf.DUMMYFUNCTION("""COMPUTED_VALUE"""),"Kratz, Kevin")</f>
        <v>Kratz, Kevin</v>
      </c>
      <c r="C17">
        <f ca="1">IFERROR(__xludf.DUMMYFUNCTION("""COMPUTED_VALUE"""),32)</f>
        <v>32</v>
      </c>
      <c r="D17" t="str">
        <f ca="1">IFERROR(__xludf.DUMMYFUNCTION("""COMPUTED_VALUE"""),"M")</f>
        <v>M</v>
      </c>
      <c r="E17" t="str">
        <f ca="1">IFERROR(__xludf.DUMMYFUNCTION("""COMPUTED_VALUE"""),"SeniorSR")</f>
        <v>SeniorSR</v>
      </c>
      <c r="F17" t="str">
        <f ca="1">IFERROR(__xludf.DUMMYFUNCTION("""COMPUTED_VALUE"""),"")</f>
        <v/>
      </c>
      <c r="G17" t="str">
        <f ca="1">IFERROR(__xludf.DUMMYFUNCTION("""COMPUTED_VALUE"""),"")</f>
        <v/>
      </c>
    </row>
    <row r="18" spans="1:7" ht="15.75" customHeight="1" x14ac:dyDescent="0.25">
      <c r="A18" s="1" t="s">
        <v>11</v>
      </c>
      <c r="B18" t="str">
        <f ca="1">IFERROR(__xludf.DUMMYFUNCTION("""COMPUTED_VALUE"""),"Kunga, Lagos")</f>
        <v>Kunga, Lagos</v>
      </c>
      <c r="C18">
        <f ca="1">IFERROR(__xludf.DUMMYFUNCTION("""COMPUTED_VALUE"""),23)</f>
        <v>23</v>
      </c>
      <c r="D18" t="str">
        <f ca="1">IFERROR(__xludf.DUMMYFUNCTION("""COMPUTED_VALUE"""),"F")</f>
        <v>F</v>
      </c>
      <c r="E18" t="str">
        <f ca="1">IFERROR(__xludf.DUMMYFUNCTION("""COMPUTED_VALUE"""),"ReserveRES")</f>
        <v>ReserveRES</v>
      </c>
      <c r="F18" t="str">
        <f ca="1">IFERROR(__xludf.DUMMYFUNCTION("""COMPUTED_VALUE"""),"HG")</f>
        <v>HG</v>
      </c>
      <c r="G18" t="str">
        <f ca="1">IFERROR(__xludf.DUMMYFUNCTION("""COMPUTED_VALUE"""),"")</f>
        <v/>
      </c>
    </row>
    <row r="19" spans="1:7" ht="15.75" customHeight="1" x14ac:dyDescent="0.25">
      <c r="A19" s="1" t="s">
        <v>11</v>
      </c>
      <c r="B19" t="str">
        <f ca="1">IFERROR(__xludf.DUMMYFUNCTION("""COMPUTED_VALUE"""),"Larentowicz, Jeff")</f>
        <v>Larentowicz, Jeff</v>
      </c>
      <c r="C19">
        <f ca="1">IFERROR(__xludf.DUMMYFUNCTION("""COMPUTED_VALUE"""),18)</f>
        <v>18</v>
      </c>
      <c r="D19" t="str">
        <f ca="1">IFERROR(__xludf.DUMMYFUNCTION("""COMPUTED_VALUE"""),"M")</f>
        <v>M</v>
      </c>
      <c r="E19" t="str">
        <f ca="1">IFERROR(__xludf.DUMMYFUNCTION("""COMPUTED_VALUE"""),"SeniorSR")</f>
        <v>SeniorSR</v>
      </c>
      <c r="F19" t="str">
        <f ca="1">IFERROR(__xludf.DUMMYFUNCTION("""COMPUTED_VALUE"""),"")</f>
        <v/>
      </c>
      <c r="G19" t="str">
        <f ca="1">IFERROR(__xludf.DUMMYFUNCTION("""COMPUTED_VALUE"""),"")</f>
        <v/>
      </c>
    </row>
    <row r="20" spans="1:7" ht="15.75" customHeight="1" x14ac:dyDescent="0.25">
      <c r="A20" s="1" t="s">
        <v>11</v>
      </c>
      <c r="B20" t="str">
        <f ca="1">IFERROR(__xludf.DUMMYFUNCTION("""COMPUTED_VALUE"""),"Martinez, Josef")</f>
        <v>Martinez, Josef</v>
      </c>
      <c r="C20">
        <f ca="1">IFERROR(__xludf.DUMMYFUNCTION("""COMPUTED_VALUE"""),7)</f>
        <v>7</v>
      </c>
      <c r="D20" t="str">
        <f ca="1">IFERROR(__xludf.DUMMYFUNCTION("""COMPUTED_VALUE"""),"F")</f>
        <v>F</v>
      </c>
      <c r="E20" t="str">
        <f ca="1">IFERROR(__xludf.DUMMYFUNCTION("""COMPUTED_VALUE"""),"SeniorSR")</f>
        <v>SeniorSR</v>
      </c>
      <c r="F20" t="str">
        <f ca="1">IFERROR(__xludf.DUMMYFUNCTION("""COMPUTED_VALUE"""),"DP")</f>
        <v>DP</v>
      </c>
      <c r="G20" t="str">
        <f ca="1">IFERROR(__xludf.DUMMYFUNCTION("""COMPUTED_VALUE"""),"")</f>
        <v/>
      </c>
    </row>
    <row r="21" spans="1:7" ht="15.75" customHeight="1" x14ac:dyDescent="0.25">
      <c r="A21" s="1" t="s">
        <v>11</v>
      </c>
      <c r="B21" t="str">
        <f ca="1">IFERROR(__xludf.DUMMYFUNCTION("""COMPUTED_VALUE"""),"McCann, Chris")</f>
        <v>McCann, Chris</v>
      </c>
      <c r="C21">
        <f ca="1">IFERROR(__xludf.DUMMYFUNCTION("""COMPUTED_VALUE"""),16)</f>
        <v>16</v>
      </c>
      <c r="D21" t="str">
        <f ca="1">IFERROR(__xludf.DUMMYFUNCTION("""COMPUTED_VALUE"""),"M")</f>
        <v>M</v>
      </c>
      <c r="E21" t="str">
        <f ca="1">IFERROR(__xludf.DUMMYFUNCTION("""COMPUTED_VALUE"""),"SeniorSR")</f>
        <v>SeniorSR</v>
      </c>
      <c r="F21" t="str">
        <f ca="1">IFERROR(__xludf.DUMMYFUNCTION("""COMPUTED_VALUE"""),"")</f>
        <v/>
      </c>
      <c r="G21" t="str">
        <f ca="1">IFERROR(__xludf.DUMMYFUNCTION("""COMPUTED_VALUE"""),"")</f>
        <v/>
      </c>
    </row>
    <row r="22" spans="1:7" ht="15.75" customHeight="1" x14ac:dyDescent="0.25">
      <c r="A22" s="1" t="s">
        <v>11</v>
      </c>
      <c r="B22" t="str">
        <f ca="1">IFERROR(__xludf.DUMMYFUNCTION("""COMPUTED_VALUE"""),"Nagbe, Darlington")</f>
        <v>Nagbe, Darlington</v>
      </c>
      <c r="C22">
        <f ca="1">IFERROR(__xludf.DUMMYFUNCTION("""COMPUTED_VALUE"""),6)</f>
        <v>6</v>
      </c>
      <c r="D22" t="str">
        <f ca="1">IFERROR(__xludf.DUMMYFUNCTION("""COMPUTED_VALUE"""),"M")</f>
        <v>M</v>
      </c>
      <c r="E22" t="str">
        <f ca="1">IFERROR(__xludf.DUMMYFUNCTION("""COMPUTED_VALUE"""),"SeniorSR")</f>
        <v>SeniorSR</v>
      </c>
      <c r="F22" t="str">
        <f ca="1">IFERROR(__xludf.DUMMYFUNCTION("""COMPUTED_VALUE"""),"")</f>
        <v/>
      </c>
      <c r="G22" t="str">
        <f ca="1">IFERROR(__xludf.DUMMYFUNCTION("""COMPUTED_VALUE"""),"")</f>
        <v/>
      </c>
    </row>
    <row r="23" spans="1:7" ht="15.75" customHeight="1" x14ac:dyDescent="0.25">
      <c r="A23" s="1" t="s">
        <v>11</v>
      </c>
      <c r="B23" t="str">
        <f ca="1">IFERROR(__xludf.DUMMYFUNCTION("""COMPUTED_VALUE"""),"Parkhurst, Michael")</f>
        <v>Parkhurst, Michael</v>
      </c>
      <c r="C23">
        <f ca="1">IFERROR(__xludf.DUMMYFUNCTION("""COMPUTED_VALUE"""),3)</f>
        <v>3</v>
      </c>
      <c r="D23" t="str">
        <f ca="1">IFERROR(__xludf.DUMMYFUNCTION("""COMPUTED_VALUE"""),"D")</f>
        <v>D</v>
      </c>
      <c r="E23" t="str">
        <f ca="1">IFERROR(__xludf.DUMMYFUNCTION("""COMPUTED_VALUE"""),"SeniorSR")</f>
        <v>SeniorSR</v>
      </c>
      <c r="F23" t="str">
        <f ca="1">IFERROR(__xludf.DUMMYFUNCTION("""COMPUTED_VALUE"""),"")</f>
        <v/>
      </c>
      <c r="G23" t="str">
        <f ca="1">IFERROR(__xludf.DUMMYFUNCTION("""COMPUTED_VALUE"""),"")</f>
        <v/>
      </c>
    </row>
    <row r="24" spans="1:7" ht="13.2" x14ac:dyDescent="0.25">
      <c r="A24" s="1" t="s">
        <v>11</v>
      </c>
      <c r="B24" t="str">
        <f ca="1">IFERROR(__xludf.DUMMYFUNCTION("""COMPUTED_VALUE"""),"Remedi, Eric")</f>
        <v>Remedi, Eric</v>
      </c>
      <c r="C24" t="str">
        <f ca="1">IFERROR(__xludf.DUMMYFUNCTION("""COMPUTED_VALUE"""),"")</f>
        <v/>
      </c>
      <c r="D24" t="str">
        <f ca="1">IFERROR(__xludf.DUMMYFUNCTION("""COMPUTED_VALUE"""),"M")</f>
        <v>M</v>
      </c>
      <c r="E24" t="str">
        <f ca="1">IFERROR(__xludf.DUMMYFUNCTION("""COMPUTED_VALUE"""),"SeniorSR")</f>
        <v>SeniorSR</v>
      </c>
      <c r="F24" t="str">
        <f ca="1">IFERROR(__xludf.DUMMYFUNCTION("""COMPUTED_VALUE"""),"INTL")</f>
        <v>INTL</v>
      </c>
      <c r="G24" t="str">
        <f ca="1">IFERROR(__xludf.DUMMYFUNCTION("""COMPUTED_VALUE"""),"")</f>
        <v/>
      </c>
    </row>
    <row r="25" spans="1:7" ht="13.2" x14ac:dyDescent="0.25">
      <c r="A25" s="1" t="s">
        <v>11</v>
      </c>
      <c r="B25" t="str">
        <f ca="1">IFERROR(__xludf.DUMMYFUNCTION("""COMPUTED_VALUE"""),"Robinson, Miles")</f>
        <v>Robinson, Miles</v>
      </c>
      <c r="C25">
        <f ca="1">IFERROR(__xludf.DUMMYFUNCTION("""COMPUTED_VALUE"""),12)</f>
        <v>12</v>
      </c>
      <c r="D25" t="str">
        <f ca="1">IFERROR(__xludf.DUMMYFUNCTION("""COMPUTED_VALUE"""),"D")</f>
        <v>D</v>
      </c>
      <c r="E25" t="str">
        <f ca="1">IFERROR(__xludf.DUMMYFUNCTION("""COMPUTED_VALUE"""),"SupplementalSUP")</f>
        <v>SupplementalSUP</v>
      </c>
      <c r="F25" t="str">
        <f ca="1">IFERROR(__xludf.DUMMYFUNCTION("""COMPUTED_VALUE"""),"GA")</f>
        <v>GA</v>
      </c>
      <c r="G25" t="str">
        <f ca="1">IFERROR(__xludf.DUMMYFUNCTION("""COMPUTED_VALUE"""),"")</f>
        <v/>
      </c>
    </row>
    <row r="26" spans="1:7" ht="13.2" x14ac:dyDescent="0.25">
      <c r="A26" s="1" t="s">
        <v>11</v>
      </c>
      <c r="B26" t="str">
        <f ca="1">IFERROR(__xludf.DUMMYFUNCTION("""COMPUTED_VALUE"""),"Shannon, Oliver")</f>
        <v>Shannon, Oliver</v>
      </c>
      <c r="C26">
        <f ca="1">IFERROR(__xludf.DUMMYFUNCTION("""COMPUTED_VALUE"""),29)</f>
        <v>29</v>
      </c>
      <c r="D26" t="str">
        <f ca="1">IFERROR(__xludf.DUMMYFUNCTION("""COMPUTED_VALUE"""),"M")</f>
        <v>M</v>
      </c>
      <c r="E26" t="str">
        <f ca="1">IFERROR(__xludf.DUMMYFUNCTION("""COMPUTED_VALUE"""),"ReserveRES, On loanOL")</f>
        <v>ReserveRES, On loanOL</v>
      </c>
      <c r="F26" t="str">
        <f ca="1">IFERROR(__xludf.DUMMYFUNCTION("""COMPUTED_VALUE"""),"INTL")</f>
        <v>INTL</v>
      </c>
      <c r="G26" t="str">
        <f ca="1">IFERROR(__xludf.DUMMYFUNCTION("""COMPUTED_VALUE"""),"*On loanOL*")</f>
        <v>*On loanOL*</v>
      </c>
    </row>
    <row r="27" spans="1:7" ht="13.2" x14ac:dyDescent="0.25">
      <c r="A27" s="1" t="s">
        <v>11</v>
      </c>
      <c r="B27" t="str">
        <f ca="1">IFERROR(__xludf.DUMMYFUNCTION("""COMPUTED_VALUE"""),"Vazquez, Brandon")</f>
        <v>Vazquez, Brandon</v>
      </c>
      <c r="C27">
        <f ca="1">IFERROR(__xludf.DUMMYFUNCTION("""COMPUTED_VALUE"""),19)</f>
        <v>19</v>
      </c>
      <c r="D27" t="str">
        <f ca="1">IFERROR(__xludf.DUMMYFUNCTION("""COMPUTED_VALUE"""),"F")</f>
        <v>F</v>
      </c>
      <c r="E27" t="str">
        <f ca="1">IFERROR(__xludf.DUMMYFUNCTION("""COMPUTED_VALUE"""),"SeniorSR")</f>
        <v>SeniorSR</v>
      </c>
      <c r="F27" t="str">
        <f ca="1">IFERROR(__xludf.DUMMYFUNCTION("""COMPUTED_VALUE"""),"")</f>
        <v/>
      </c>
      <c r="G27" t="str">
        <f ca="1">IFERROR(__xludf.DUMMYFUNCTION("""COMPUTED_VALUE"""),"")</f>
        <v/>
      </c>
    </row>
    <row r="28" spans="1:7" ht="13.2" x14ac:dyDescent="0.25">
      <c r="A28" s="1" t="s">
        <v>11</v>
      </c>
      <c r="B28" t="str">
        <f ca="1">IFERROR(__xludf.DUMMYFUNCTION("""COMPUTED_VALUE"""),"Villalba, Hector")</f>
        <v>Villalba, Hector</v>
      </c>
      <c r="C28">
        <f ca="1">IFERROR(__xludf.DUMMYFUNCTION("""COMPUTED_VALUE"""),15)</f>
        <v>15</v>
      </c>
      <c r="D28" t="str">
        <f ca="1">IFERROR(__xludf.DUMMYFUNCTION("""COMPUTED_VALUE"""),"F")</f>
        <v>F</v>
      </c>
      <c r="E28" t="str">
        <f ca="1">IFERROR(__xludf.DUMMYFUNCTION("""COMPUTED_VALUE"""),"SeniorSR")</f>
        <v>SeniorSR</v>
      </c>
      <c r="F28" t="str">
        <f ca="1">IFERROR(__xludf.DUMMYFUNCTION("""COMPUTED_VALUE"""),"")</f>
        <v/>
      </c>
      <c r="G28" t="str">
        <f ca="1">IFERROR(__xludf.DUMMYFUNCTION("""COMPUTED_VALUE"""),"")</f>
        <v/>
      </c>
    </row>
    <row r="29" spans="1:7" ht="13.2" x14ac:dyDescent="0.25">
      <c r="A29" s="1" t="s">
        <v>11</v>
      </c>
      <c r="B29" t="str">
        <f ca="1">IFERROR(__xludf.DUMMYFUNCTION("""COMPUTED_VALUE"""),"Wheeler-Omiunu, Andrew")</f>
        <v>Wheeler-Omiunu, Andrew</v>
      </c>
      <c r="C29">
        <f ca="1">IFERROR(__xludf.DUMMYFUNCTION("""COMPUTED_VALUE"""),28)</f>
        <v>28</v>
      </c>
      <c r="D29" t="str">
        <f ca="1">IFERROR(__xludf.DUMMYFUNCTION("""COMPUTED_VALUE"""),"M")</f>
        <v>M</v>
      </c>
      <c r="E29" t="str">
        <f ca="1">IFERROR(__xludf.DUMMYFUNCTION("""COMPUTED_VALUE"""),"ReserveRES")</f>
        <v>ReserveRES</v>
      </c>
      <c r="F29" t="str">
        <f ca="1">IFERROR(__xludf.DUMMYFUNCTION("""COMPUTED_VALUE"""),"")</f>
        <v/>
      </c>
      <c r="G29" t="str">
        <f ca="1">IFERROR(__xludf.DUMMYFUNCTION("""COMPUTED_VALUE"""),"")</f>
        <v/>
      </c>
    </row>
    <row r="30" spans="1:7" ht="13.2" x14ac:dyDescent="0.25">
      <c r="A30" s="1" t="s">
        <v>11</v>
      </c>
      <c r="B30" t="str">
        <f ca="1">IFERROR(__xludf.DUMMYFUNCTION("""COMPUTED_VALUE"""),"Wild, Gordon")</f>
        <v>Wild, Gordon</v>
      </c>
      <c r="C30">
        <f ca="1">IFERROR(__xludf.DUMMYFUNCTION("""COMPUTED_VALUE"""),22)</f>
        <v>22</v>
      </c>
      <c r="D30" t="str">
        <f ca="1">IFERROR(__xludf.DUMMYFUNCTION("""COMPUTED_VALUE"""),"F")</f>
        <v>F</v>
      </c>
      <c r="E30" t="str">
        <f ca="1">IFERROR(__xludf.DUMMYFUNCTION("""COMPUTED_VALUE"""),"SeniorSR, On loanOL")</f>
        <v>SeniorSR, On loanOL</v>
      </c>
      <c r="F30" t="str">
        <f ca="1">IFERROR(__xludf.DUMMYFUNCTION("""COMPUTED_VALUE"""),"INTL, GA")</f>
        <v>INTL, GA</v>
      </c>
      <c r="G30" t="str">
        <f ca="1">IFERROR(__xludf.DUMMYFUNCTION("""COMPUTED_VALUE"""),"*On loanOL*")</f>
        <v>*On loanOL*</v>
      </c>
    </row>
    <row r="31" spans="1:7" ht="13.2" x14ac:dyDescent="0.25">
      <c r="A31" s="1" t="s">
        <v>11</v>
      </c>
      <c r="B31" t="str">
        <f ca="1">IFERROR(__xludf.DUMMYFUNCTION("""COMPUTED_VALUE"""),"Williams, Romario")</f>
        <v>Williams, Romario</v>
      </c>
      <c r="C31">
        <f ca="1">IFERROR(__xludf.DUMMYFUNCTION("""COMPUTED_VALUE"""),9)</f>
        <v>9</v>
      </c>
      <c r="D31" t="str">
        <f ca="1">IFERROR(__xludf.DUMMYFUNCTION("""COMPUTED_VALUE"""),"F")</f>
        <v>F</v>
      </c>
      <c r="E31" t="str">
        <f ca="1">IFERROR(__xludf.DUMMYFUNCTION("""COMPUTED_VALUE"""),"SeniorSR")</f>
        <v>SeniorSR</v>
      </c>
      <c r="F31" t="str">
        <f ca="1">IFERROR(__xludf.DUMMYFUNCTION("""COMPUTED_VALUE"""),"")</f>
        <v/>
      </c>
      <c r="G31" t="str">
        <f ca="1">IFERROR(__xludf.DUMMYFUNCTION("""COMPUTED_VALUE"""),"")</f>
        <v/>
      </c>
    </row>
    <row r="32" spans="1:7" ht="13.2" x14ac:dyDescent="0.25">
      <c r="A32" s="1" t="s">
        <v>11</v>
      </c>
      <c r="B32" t="str">
        <f ca="1">IFERROR(__xludf.DUMMYFUNCTION("""COMPUTED_VALUE"""),"Zizzo, Sal")</f>
        <v>Zizzo, Sal</v>
      </c>
      <c r="C32">
        <f ca="1">IFERROR(__xludf.DUMMYFUNCTION("""COMPUTED_VALUE"""),14)</f>
        <v>14</v>
      </c>
      <c r="D32" t="str">
        <f ca="1">IFERROR(__xludf.DUMMYFUNCTION("""COMPUTED_VALUE"""),"D")</f>
        <v>D</v>
      </c>
      <c r="E32" t="str">
        <f ca="1">IFERROR(__xludf.DUMMYFUNCTION("""COMPUTED_VALUE"""),"SeniorSR")</f>
        <v>SeniorSR</v>
      </c>
      <c r="F32" t="str">
        <f ca="1">IFERROR(__xludf.DUMMYFUNCTION("""COMPUTED_VALUE"""),"")</f>
        <v/>
      </c>
      <c r="G32" t="str">
        <f ca="1">IFERROR(__xludf.DUMMYFUNCTION("""COMPUTED_VALUE"""),"")</f>
        <v/>
      </c>
    </row>
    <row r="33" spans="1:7" ht="13.2" x14ac:dyDescent="0.25">
      <c r="A33" s="1" t="s">
        <v>11</v>
      </c>
      <c r="B33" t="str">
        <f ca="1">IFERROR(__xludf.DUMMYFUNCTION("""COMPUTED_VALUE"""),"30 of 30 spots filled")</f>
        <v>30 of 30 spots filled</v>
      </c>
      <c r="C33" t="str">
        <f ca="1">IFERROR(__xludf.DUMMYFUNCTION("""COMPUTED_VALUE"""),"")</f>
        <v/>
      </c>
      <c r="D33" t="str">
        <f ca="1">IFERROR(__xludf.DUMMYFUNCTION("""COMPUTED_VALUE"""),"")</f>
        <v/>
      </c>
      <c r="E33" t="str">
        <f ca="1">IFERROR(__xludf.DUMMYFUNCTION("""COMPUTED_VALUE"""),"")</f>
        <v/>
      </c>
      <c r="F33" t="str">
        <f ca="1">IFERROR(__xludf.DUMMYFUNCTION("""COMPUTED_VALUE"""),"")</f>
        <v/>
      </c>
      <c r="G33" t="str">
        <f ca="1">IFERROR(__xludf.DUMMYFUNCTION("""COMPUTED_VALUE"""),"")</f>
        <v/>
      </c>
    </row>
    <row r="34" spans="1:7" ht="13.2" x14ac:dyDescent="0.25">
      <c r="A34" s="1" t="s">
        <v>11</v>
      </c>
      <c r="B34" t="str">
        <f ca="1">IFERROR(__xludf.DUMMYFUNCTION("""COMPUTED_VALUE"""),"*Players that do not count against the 30-man active roster*")</f>
        <v>*Players that do not count against the 30-man active roster*</v>
      </c>
      <c r="C34" t="str">
        <f ca="1">IFERROR(__xludf.DUMMYFUNCTION("""COMPUTED_VALUE"""),"")</f>
        <v/>
      </c>
      <c r="D34" t="str">
        <f ca="1">IFERROR(__xludf.DUMMYFUNCTION("""COMPUTED_VALUE"""),"")</f>
        <v/>
      </c>
      <c r="E34" t="str">
        <f ca="1">IFERROR(__xludf.DUMMYFUNCTION("""COMPUTED_VALUE"""),"")</f>
        <v/>
      </c>
      <c r="F34" t="str">
        <f ca="1">IFERROR(__xludf.DUMMYFUNCTION("""COMPUTED_VALUE"""),"")</f>
        <v/>
      </c>
      <c r="G34" t="str">
        <f ca="1">IFERROR(__xludf.DUMMYFUNCTION("""COMPUTED_VALUE"""),"")</f>
        <v/>
      </c>
    </row>
    <row r="35" spans="1:7" ht="13.2" x14ac:dyDescent="0.25">
      <c r="A35" s="1" t="s">
        <v>11</v>
      </c>
      <c r="B35" t="str">
        <f ca="1">IFERROR(__xludf.DUMMYFUNCTION("""COMPUTED_VALUE"""),"Gallagher, Jon")</f>
        <v>Gallagher, Jon</v>
      </c>
      <c r="C35">
        <f ca="1">IFERROR(__xludf.DUMMYFUNCTION("""COMPUTED_VALUE"""),26)</f>
        <v>26</v>
      </c>
      <c r="D35" t="str">
        <f ca="1">IFERROR(__xludf.DUMMYFUNCTION("""COMPUTED_VALUE"""),"F")</f>
        <v>F</v>
      </c>
      <c r="E35" t="str">
        <f ca="1">IFERROR(__xludf.DUMMYFUNCTION("""COMPUTED_VALUE"""),"SupplementalSUP, On loanOL")</f>
        <v>SupplementalSUP, On loanOL</v>
      </c>
      <c r="F35" t="str">
        <f ca="1">IFERROR(__xludf.DUMMYFUNCTION("""COMPUTED_VALUE"""),"*On loanOL*")</f>
        <v>*On loanOL*</v>
      </c>
      <c r="G35" t="str">
        <f ca="1">IFERROR(__xludf.DUMMYFUNCTION("""COMPUTED_VALUE"""),"")</f>
        <v/>
      </c>
    </row>
    <row r="36" spans="1:7" ht="13.2" x14ac:dyDescent="0.25">
      <c r="A36" s="1" t="s">
        <v>11</v>
      </c>
      <c r="B36" t="str">
        <f ca="1">IFERROR(__xludf.DUMMYFUNCTION("""COMPUTED_VALUE"""),"Okonkwo, Patrick")</f>
        <v>Okonkwo, Patrick</v>
      </c>
      <c r="C36" t="str">
        <f ca="1">IFERROR(__xludf.DUMMYFUNCTION("""COMPUTED_VALUE"""),"")</f>
        <v/>
      </c>
      <c r="D36" t="str">
        <f ca="1">IFERROR(__xludf.DUMMYFUNCTION("""COMPUTED_VALUE"""),"")</f>
        <v/>
      </c>
      <c r="E36" t="str">
        <f ca="1">IFERROR(__xludf.DUMMYFUNCTION("""COMPUTED_VALUE"""),"On loanOL")</f>
        <v>On loanOL</v>
      </c>
      <c r="F36" t="str">
        <f ca="1">IFERROR(__xludf.DUMMYFUNCTION("""COMPUTED_VALUE"""),"*Loaned to: USLOL: USL*")</f>
        <v>*Loaned to: USLOL: USL*</v>
      </c>
      <c r="G36" t="str">
        <f ca="1">IFERROR(__xludf.DUMMYFUNCTION("""COMPUTED_VALUE"""),"")</f>
        <v/>
      </c>
    </row>
    <row r="37" spans="1:7" ht="13.2" x14ac:dyDescent="0.25">
      <c r="A37" s="1" t="s">
        <v>11</v>
      </c>
    </row>
    <row r="38" spans="1:7" ht="13.2" x14ac:dyDescent="0.25">
      <c r="A38" s="1" t="s">
        <v>11</v>
      </c>
    </row>
    <row r="39" spans="1:7" ht="13.2" x14ac:dyDescent="0.25">
      <c r="A39" s="1" t="s">
        <v>11</v>
      </c>
    </row>
    <row r="40" spans="1:7" ht="13.2" x14ac:dyDescent="0.25">
      <c r="A40" s="1" t="s">
        <v>11</v>
      </c>
    </row>
    <row r="42" spans="1:7" ht="13.2" x14ac:dyDescent="0.25">
      <c r="B42" t="str">
        <f ca="1">IFERROR(__xludf.DUMMYFUNCTION("IMPORTHTML(""http://www.mlssoccer.com/rosters/2018/chicago-fire"", ""table"", 1)"),"30-man Active Roster (Spots 1-30)")</f>
        <v>30-man Active Roster (Spots 1-30)</v>
      </c>
      <c r="C42" t="str">
        <f ca="1">IFERROR(__xludf.DUMMYFUNCTION("""COMPUTED_VALUE"""),"#")</f>
        <v>#</v>
      </c>
      <c r="D42" t="str">
        <f ca="1">IFERROR(__xludf.DUMMYFUNCTION("""COMPUTED_VALUE"""),"POS")</f>
        <v>POS</v>
      </c>
      <c r="E42" t="str">
        <f ca="1">IFERROR(__xludf.DUMMYFUNCTION("""COMPUTED_VALUE"""),"ROSTER STATUSR.S.")</f>
        <v>ROSTER STATUSR.S.</v>
      </c>
      <c r="F42" t="str">
        <f ca="1">IFERROR(__xludf.DUMMYFUNCTION("""COMPUTED_VALUE"""),"PLAYER CATEGORYCAT.")</f>
        <v>PLAYER CATEGORYCAT.</v>
      </c>
      <c r="G42" t="str">
        <f ca="1">IFERROR(__xludf.DUMMYFUNCTION("""COMPUTED_VALUE"""),"*NOTE*")</f>
        <v>*NOTE*</v>
      </c>
    </row>
    <row r="43" spans="1:7" ht="13.2" x14ac:dyDescent="0.25">
      <c r="A43" s="1" t="s">
        <v>13</v>
      </c>
      <c r="B43" t="str">
        <f ca="1">IFERROR(__xludf.DUMMYFUNCTION("""COMPUTED_VALUE"""),"Adams, Mo")</f>
        <v>Adams, Mo</v>
      </c>
      <c r="C43">
        <f ca="1">IFERROR(__xludf.DUMMYFUNCTION("""COMPUTED_VALUE"""),19)</f>
        <v>19</v>
      </c>
      <c r="D43" t="str">
        <f ca="1">IFERROR(__xludf.DUMMYFUNCTION("""COMPUTED_VALUE"""),"M")</f>
        <v>M</v>
      </c>
      <c r="E43" t="str">
        <f ca="1">IFERROR(__xludf.DUMMYFUNCTION("""COMPUTED_VALUE"""),"SupplementalSUP, On loanOL")</f>
        <v>SupplementalSUP, On loanOL</v>
      </c>
      <c r="F43" t="str">
        <f ca="1">IFERROR(__xludf.DUMMYFUNCTION("""COMPUTED_VALUE"""),"INTL")</f>
        <v>INTL</v>
      </c>
      <c r="G43" t="str">
        <f ca="1">IFERROR(__xludf.DUMMYFUNCTION("""COMPUTED_VALUE"""),"*On loanOL*")</f>
        <v>*On loanOL*</v>
      </c>
    </row>
    <row r="44" spans="1:7" ht="13.2" x14ac:dyDescent="0.25">
      <c r="A44" s="1" t="s">
        <v>13</v>
      </c>
      <c r="B44" t="str">
        <f ca="1">IFERROR(__xludf.DUMMYFUNCTION("""COMPUTED_VALUE"""),"Bronico, Brandt")</f>
        <v>Bronico, Brandt</v>
      </c>
      <c r="C44">
        <f ca="1">IFERROR(__xludf.DUMMYFUNCTION("""COMPUTED_VALUE"""),13)</f>
        <v>13</v>
      </c>
      <c r="D44" t="str">
        <f ca="1">IFERROR(__xludf.DUMMYFUNCTION("""COMPUTED_VALUE"""),"M")</f>
        <v>M</v>
      </c>
      <c r="E44" t="str">
        <f ca="1">IFERROR(__xludf.DUMMYFUNCTION("""COMPUTED_VALUE"""),"SeniorSR")</f>
        <v>SeniorSR</v>
      </c>
      <c r="F44" t="str">
        <f ca="1">IFERROR(__xludf.DUMMYFUNCTION("""COMPUTED_VALUE"""),"")</f>
        <v/>
      </c>
      <c r="G44" t="str">
        <f ca="1">IFERROR(__xludf.DUMMYFUNCTION("""COMPUTED_VALUE"""),"")</f>
        <v/>
      </c>
    </row>
    <row r="45" spans="1:7" ht="13.2" x14ac:dyDescent="0.25">
      <c r="A45" s="1" t="s">
        <v>13</v>
      </c>
      <c r="B45" t="str">
        <f ca="1">IFERROR(__xludf.DUMMYFUNCTION("""COMPUTED_VALUE"""),"Campbell, Jonathan")</f>
        <v>Campbell, Jonathan</v>
      </c>
      <c r="C45">
        <f ca="1">IFERROR(__xludf.DUMMYFUNCTION("""COMPUTED_VALUE"""),16)</f>
        <v>16</v>
      </c>
      <c r="D45" t="str">
        <f ca="1">IFERROR(__xludf.DUMMYFUNCTION("""COMPUTED_VALUE"""),"D")</f>
        <v>D</v>
      </c>
      <c r="E45" t="str">
        <f ca="1">IFERROR(__xludf.DUMMYFUNCTION("""COMPUTED_VALUE"""),"SeniorSR")</f>
        <v>SeniorSR</v>
      </c>
      <c r="F45" t="str">
        <f ca="1">IFERROR(__xludf.DUMMYFUNCTION("""COMPUTED_VALUE"""),"")</f>
        <v/>
      </c>
      <c r="G45" t="str">
        <f ca="1">IFERROR(__xludf.DUMMYFUNCTION("""COMPUTED_VALUE"""),"")</f>
        <v/>
      </c>
    </row>
    <row r="46" spans="1:7" ht="13.2" x14ac:dyDescent="0.25">
      <c r="A46" s="1" t="s">
        <v>13</v>
      </c>
      <c r="B46" t="str">
        <f ca="1">IFERROR(__xludf.DUMMYFUNCTION("""COMPUTED_VALUE"""),"Campos, Diego")</f>
        <v>Campos, Diego</v>
      </c>
      <c r="C46">
        <f ca="1">IFERROR(__xludf.DUMMYFUNCTION("""COMPUTED_VALUE"""),17)</f>
        <v>17</v>
      </c>
      <c r="D46" t="str">
        <f ca="1">IFERROR(__xludf.DUMMYFUNCTION("""COMPUTED_VALUE"""),"F")</f>
        <v>F</v>
      </c>
      <c r="E46" t="str">
        <f ca="1">IFERROR(__xludf.DUMMYFUNCTION("""COMPUTED_VALUE"""),"ReserveRES")</f>
        <v>ReserveRES</v>
      </c>
      <c r="F46" t="str">
        <f ca="1">IFERROR(__xludf.DUMMYFUNCTION("""COMPUTED_VALUE"""),"INTL")</f>
        <v>INTL</v>
      </c>
      <c r="G46" t="str">
        <f ca="1">IFERROR(__xludf.DUMMYFUNCTION("""COMPUTED_VALUE"""),"")</f>
        <v/>
      </c>
    </row>
    <row r="47" spans="1:7" ht="13.2" x14ac:dyDescent="0.25">
      <c r="A47" s="1" t="s">
        <v>13</v>
      </c>
      <c r="B47" t="str">
        <f ca="1">IFERROR(__xludf.DUMMYFUNCTION("""COMPUTED_VALUE"""),"Collier, Elliot")</f>
        <v>Collier, Elliot</v>
      </c>
      <c r="C47">
        <f ca="1">IFERROR(__xludf.DUMMYFUNCTION("""COMPUTED_VALUE"""),28)</f>
        <v>28</v>
      </c>
      <c r="D47" t="str">
        <f ca="1">IFERROR(__xludf.DUMMYFUNCTION("""COMPUTED_VALUE"""),"F")</f>
        <v>F</v>
      </c>
      <c r="E47" t="str">
        <f ca="1">IFERROR(__xludf.DUMMYFUNCTION("""COMPUTED_VALUE"""),"ReserveRES")</f>
        <v>ReserveRES</v>
      </c>
      <c r="F47" t="str">
        <f ca="1">IFERROR(__xludf.DUMMYFUNCTION("""COMPUTED_VALUE"""),"INTL")</f>
        <v>INTL</v>
      </c>
      <c r="G47" t="str">
        <f ca="1">IFERROR(__xludf.DUMMYFUNCTION("""COMPUTED_VALUE"""),"")</f>
        <v/>
      </c>
    </row>
    <row r="48" spans="1:7" ht="13.2" x14ac:dyDescent="0.25">
      <c r="A48" s="1" t="s">
        <v>13</v>
      </c>
      <c r="B48" t="str">
        <f ca="1">IFERROR(__xludf.DUMMYFUNCTION("""COMPUTED_VALUE"""),"Conner, Drew")</f>
        <v>Conner, Drew</v>
      </c>
      <c r="C48">
        <f ca="1">IFERROR(__xludf.DUMMYFUNCTION("""COMPUTED_VALUE"""),18)</f>
        <v>18</v>
      </c>
      <c r="D48" t="str">
        <f ca="1">IFERROR(__xludf.DUMMYFUNCTION("""COMPUTED_VALUE"""),"M")</f>
        <v>M</v>
      </c>
      <c r="E48" t="str">
        <f ca="1">IFERROR(__xludf.DUMMYFUNCTION("""COMPUTED_VALUE"""),"ReserveRES")</f>
        <v>ReserveRES</v>
      </c>
      <c r="F48" t="str">
        <f ca="1">IFERROR(__xludf.DUMMYFUNCTION("""COMPUTED_VALUE"""),"HG")</f>
        <v>HG</v>
      </c>
      <c r="G48" t="str">
        <f ca="1">IFERROR(__xludf.DUMMYFUNCTION("""COMPUTED_VALUE"""),"")</f>
        <v/>
      </c>
    </row>
    <row r="49" spans="1:7" ht="13.2" x14ac:dyDescent="0.25">
      <c r="A49" s="1" t="s">
        <v>13</v>
      </c>
      <c r="B49" t="str">
        <f ca="1">IFERROR(__xludf.DUMMYFUNCTION("""COMPUTED_VALUE"""),"Corrales, Jorge")</f>
        <v>Corrales, Jorge</v>
      </c>
      <c r="C49">
        <f ca="1">IFERROR(__xludf.DUMMYFUNCTION("""COMPUTED_VALUE"""),25)</f>
        <v>25</v>
      </c>
      <c r="D49" t="str">
        <f ca="1">IFERROR(__xludf.DUMMYFUNCTION("""COMPUTED_VALUE"""),"D")</f>
        <v>D</v>
      </c>
      <c r="E49" t="str">
        <f ca="1">IFERROR(__xludf.DUMMYFUNCTION("""COMPUTED_VALUE"""),"SeniorSR")</f>
        <v>SeniorSR</v>
      </c>
      <c r="F49" t="str">
        <f ca="1">IFERROR(__xludf.DUMMYFUNCTION("""COMPUTED_VALUE"""),"")</f>
        <v/>
      </c>
      <c r="G49" t="str">
        <f ca="1">IFERROR(__xludf.DUMMYFUNCTION("""COMPUTED_VALUE"""),"")</f>
        <v/>
      </c>
    </row>
    <row r="50" spans="1:7" ht="13.2" x14ac:dyDescent="0.25">
      <c r="A50" s="1" t="s">
        <v>13</v>
      </c>
      <c r="B50" t="str">
        <f ca="1">IFERROR(__xludf.DUMMYFUNCTION("""COMPUTED_VALUE"""),"de Leeuw, Michael")</f>
        <v>de Leeuw, Michael</v>
      </c>
      <c r="C50">
        <f ca="1">IFERROR(__xludf.DUMMYFUNCTION("""COMPUTED_VALUE"""),8)</f>
        <v>8</v>
      </c>
      <c r="D50" t="str">
        <f ca="1">IFERROR(__xludf.DUMMYFUNCTION("""COMPUTED_VALUE"""),"F")</f>
        <v>F</v>
      </c>
      <c r="E50" t="str">
        <f ca="1">IFERROR(__xludf.DUMMYFUNCTION("""COMPUTED_VALUE"""),"SeniorSR")</f>
        <v>SeniorSR</v>
      </c>
      <c r="F50" t="str">
        <f ca="1">IFERROR(__xludf.DUMMYFUNCTION("""COMPUTED_VALUE"""),"INTL")</f>
        <v>INTL</v>
      </c>
      <c r="G50" t="str">
        <f ca="1">IFERROR(__xludf.DUMMYFUNCTION("""COMPUTED_VALUE"""),"")</f>
        <v/>
      </c>
    </row>
    <row r="51" spans="1:7" ht="13.2" x14ac:dyDescent="0.25">
      <c r="A51" s="1" t="s">
        <v>13</v>
      </c>
      <c r="B51" t="str">
        <f ca="1">IFERROR(__xludf.DUMMYFUNCTION("""COMPUTED_VALUE"""),"Dean, Christian")</f>
        <v>Dean, Christian</v>
      </c>
      <c r="C51">
        <f ca="1">IFERROR(__xludf.DUMMYFUNCTION("""COMPUTED_VALUE"""),26)</f>
        <v>26</v>
      </c>
      <c r="D51" t="str">
        <f ca="1">IFERROR(__xludf.DUMMYFUNCTION("""COMPUTED_VALUE"""),"D")</f>
        <v>D</v>
      </c>
      <c r="E51" t="str">
        <f ca="1">IFERROR(__xludf.DUMMYFUNCTION("""COMPUTED_VALUE"""),"SeniorSR")</f>
        <v>SeniorSR</v>
      </c>
      <c r="F51" t="str">
        <f ca="1">IFERROR(__xludf.DUMMYFUNCTION("""COMPUTED_VALUE"""),"")</f>
        <v/>
      </c>
      <c r="G51" t="str">
        <f ca="1">IFERROR(__xludf.DUMMYFUNCTION("""COMPUTED_VALUE"""),"")</f>
        <v/>
      </c>
    </row>
    <row r="52" spans="1:7" ht="13.2" x14ac:dyDescent="0.25">
      <c r="A52" s="1" t="s">
        <v>13</v>
      </c>
      <c r="B52" t="str">
        <f ca="1">IFERROR(__xludf.DUMMYFUNCTION("""COMPUTED_VALUE"""),"Del Grecco, Nicolas")</f>
        <v>Del Grecco, Nicolas</v>
      </c>
      <c r="C52">
        <f ca="1">IFERROR(__xludf.DUMMYFUNCTION("""COMPUTED_VALUE"""),24)</f>
        <v>24</v>
      </c>
      <c r="D52" t="str">
        <f ca="1">IFERROR(__xludf.DUMMYFUNCTION("""COMPUTED_VALUE"""),"D")</f>
        <v>D</v>
      </c>
      <c r="E52" t="str">
        <f ca="1">IFERROR(__xludf.DUMMYFUNCTION("""COMPUTED_VALUE"""),"SeniorSR, On loanOL")</f>
        <v>SeniorSR, On loanOL</v>
      </c>
      <c r="F52" t="str">
        <f ca="1">IFERROR(__xludf.DUMMYFUNCTION("""COMPUTED_VALUE"""),"INTL")</f>
        <v>INTL</v>
      </c>
      <c r="G52" t="str">
        <f ca="1">IFERROR(__xludf.DUMMYFUNCTION("""COMPUTED_VALUE"""),"*On loanOL*")</f>
        <v>*On loanOL*</v>
      </c>
    </row>
    <row r="53" spans="1:7" ht="13.2" x14ac:dyDescent="0.25">
      <c r="A53" s="1" t="s">
        <v>13</v>
      </c>
      <c r="B53" t="str">
        <f ca="1">IFERROR(__xludf.DUMMYFUNCTION("""COMPUTED_VALUE"""),"Edwards, Raheem")</f>
        <v>Edwards, Raheem</v>
      </c>
      <c r="C53">
        <f ca="1">IFERROR(__xludf.DUMMYFUNCTION("""COMPUTED_VALUE"""),7)</f>
        <v>7</v>
      </c>
      <c r="D53" t="str">
        <f ca="1">IFERROR(__xludf.DUMMYFUNCTION("""COMPUTED_VALUE"""),"M/D")</f>
        <v>M/D</v>
      </c>
      <c r="E53" t="str">
        <f ca="1">IFERROR(__xludf.DUMMYFUNCTION("""COMPUTED_VALUE"""),"ReserveRES")</f>
        <v>ReserveRES</v>
      </c>
      <c r="F53" t="str">
        <f ca="1">IFERROR(__xludf.DUMMYFUNCTION("""COMPUTED_VALUE"""),"INTL")</f>
        <v>INTL</v>
      </c>
      <c r="G53" t="str">
        <f ca="1">IFERROR(__xludf.DUMMYFUNCTION("""COMPUTED_VALUE"""),"")</f>
        <v/>
      </c>
    </row>
    <row r="54" spans="1:7" ht="13.2" x14ac:dyDescent="0.25">
      <c r="A54" s="1" t="s">
        <v>13</v>
      </c>
      <c r="B54" t="str">
        <f ca="1">IFERROR(__xludf.DUMMYFUNCTION("""COMPUTED_VALUE"""),"Gordon, Alan")</f>
        <v>Gordon, Alan</v>
      </c>
      <c r="C54">
        <f ca="1">IFERROR(__xludf.DUMMYFUNCTION("""COMPUTED_VALUE"""),21)</f>
        <v>21</v>
      </c>
      <c r="D54" t="str">
        <f ca="1">IFERROR(__xludf.DUMMYFUNCTION("""COMPUTED_VALUE"""),"F")</f>
        <v>F</v>
      </c>
      <c r="E54" t="str">
        <f ca="1">IFERROR(__xludf.DUMMYFUNCTION("""COMPUTED_VALUE"""),"SeniorSR")</f>
        <v>SeniorSR</v>
      </c>
      <c r="F54" t="str">
        <f ca="1">IFERROR(__xludf.DUMMYFUNCTION("""COMPUTED_VALUE"""),"")</f>
        <v/>
      </c>
      <c r="G54" t="str">
        <f ca="1">IFERROR(__xludf.DUMMYFUNCTION("""COMPUTED_VALUE"""),"")</f>
        <v/>
      </c>
    </row>
    <row r="55" spans="1:7" ht="13.2" x14ac:dyDescent="0.25">
      <c r="A55" s="1" t="s">
        <v>13</v>
      </c>
      <c r="B55" t="str">
        <f ca="1">IFERROR(__xludf.DUMMYFUNCTION("""COMPUTED_VALUE"""),"Hasler, Nico")</f>
        <v>Hasler, Nico</v>
      </c>
      <c r="C55">
        <f ca="1">IFERROR(__xludf.DUMMYFUNCTION("""COMPUTED_VALUE"""),22)</f>
        <v>22</v>
      </c>
      <c r="D55" t="str">
        <f ca="1">IFERROR(__xludf.DUMMYFUNCTION("""COMPUTED_VALUE"""),"D")</f>
        <v>D</v>
      </c>
      <c r="E55" t="str">
        <f ca="1">IFERROR(__xludf.DUMMYFUNCTION("""COMPUTED_VALUE"""),"SeniorSR")</f>
        <v>SeniorSR</v>
      </c>
      <c r="F55" t="str">
        <f ca="1">IFERROR(__xludf.DUMMYFUNCTION("""COMPUTED_VALUE"""),"INTL")</f>
        <v>INTL</v>
      </c>
      <c r="G55" t="str">
        <f ca="1">IFERROR(__xludf.DUMMYFUNCTION("""COMPUTED_VALUE"""),"")</f>
        <v/>
      </c>
    </row>
    <row r="56" spans="1:7" ht="13.2" x14ac:dyDescent="0.25">
      <c r="A56" s="1" t="s">
        <v>13</v>
      </c>
      <c r="B56" t="str">
        <f ca="1">IFERROR(__xludf.DUMMYFUNCTION("""COMPUTED_VALUE"""),"Johnson, Daniel")</f>
        <v>Johnson, Daniel</v>
      </c>
      <c r="C56">
        <f ca="1">IFERROR(__xludf.DUMMYFUNCTION("""COMPUTED_VALUE"""),20)</f>
        <v>20</v>
      </c>
      <c r="D56" t="str">
        <f ca="1">IFERROR(__xludf.DUMMYFUNCTION("""COMPUTED_VALUE"""),"M")</f>
        <v>M</v>
      </c>
      <c r="E56" t="str">
        <f ca="1">IFERROR(__xludf.DUMMYFUNCTION("""COMPUTED_VALUE"""),"SupplementalSUP")</f>
        <v>SupplementalSUP</v>
      </c>
      <c r="F56" t="str">
        <f ca="1">IFERROR(__xludf.DUMMYFUNCTION("""COMPUTED_VALUE"""),"")</f>
        <v/>
      </c>
      <c r="G56" t="str">
        <f ca="1">IFERROR(__xludf.DUMMYFUNCTION("""COMPUTED_VALUE"""),"")</f>
        <v/>
      </c>
    </row>
    <row r="57" spans="1:7" ht="13.2" x14ac:dyDescent="0.25">
      <c r="A57" s="1" t="s">
        <v>13</v>
      </c>
      <c r="B57" t="str">
        <f ca="1">IFERROR(__xludf.DUMMYFUNCTION("""COMPUTED_VALUE"""),"Kappelhof, Johan")</f>
        <v>Kappelhof, Johan</v>
      </c>
      <c r="C57">
        <f ca="1">IFERROR(__xludf.DUMMYFUNCTION("""COMPUTED_VALUE"""),4)</f>
        <v>4</v>
      </c>
      <c r="D57" t="str">
        <f ca="1">IFERROR(__xludf.DUMMYFUNCTION("""COMPUTED_VALUE"""),"D")</f>
        <v>D</v>
      </c>
      <c r="E57" t="str">
        <f ca="1">IFERROR(__xludf.DUMMYFUNCTION("""COMPUTED_VALUE"""),"SeniorSR")</f>
        <v>SeniorSR</v>
      </c>
      <c r="F57" t="str">
        <f ca="1">IFERROR(__xludf.DUMMYFUNCTION("""COMPUTED_VALUE"""),"")</f>
        <v/>
      </c>
      <c r="G57" t="str">
        <f ca="1">IFERROR(__xludf.DUMMYFUNCTION("""COMPUTED_VALUE"""),"")</f>
        <v/>
      </c>
    </row>
    <row r="58" spans="1:7" ht="13.2" x14ac:dyDescent="0.25">
      <c r="A58" s="1" t="s">
        <v>13</v>
      </c>
      <c r="B58" t="str">
        <f ca="1">IFERROR(__xludf.DUMMYFUNCTION("""COMPUTED_VALUE"""),"Katai, Aleksandar")</f>
        <v>Katai, Aleksandar</v>
      </c>
      <c r="C58">
        <f ca="1">IFERROR(__xludf.DUMMYFUNCTION("""COMPUTED_VALUE"""),10)</f>
        <v>10</v>
      </c>
      <c r="D58" t="str">
        <f ca="1">IFERROR(__xludf.DUMMYFUNCTION("""COMPUTED_VALUE"""),"M")</f>
        <v>M</v>
      </c>
      <c r="E58" t="str">
        <f ca="1">IFERROR(__xludf.DUMMYFUNCTION("""COMPUTED_VALUE"""),"SeniorSR")</f>
        <v>SeniorSR</v>
      </c>
      <c r="F58" t="str">
        <f ca="1">IFERROR(__xludf.DUMMYFUNCTION("""COMPUTED_VALUE"""),"INTL")</f>
        <v>INTL</v>
      </c>
      <c r="G58" t="str">
        <f ca="1">IFERROR(__xludf.DUMMYFUNCTION("""COMPUTED_VALUE"""),"")</f>
        <v/>
      </c>
    </row>
    <row r="59" spans="1:7" ht="13.2" x14ac:dyDescent="0.25">
      <c r="A59" s="1" t="s">
        <v>13</v>
      </c>
      <c r="B59" t="str">
        <f ca="1">IFERROR(__xludf.DUMMYFUNCTION("""COMPUTED_VALUE"""),"Lillard, Grant")</f>
        <v>Lillard, Grant</v>
      </c>
      <c r="C59">
        <f ca="1">IFERROR(__xludf.DUMMYFUNCTION("""COMPUTED_VALUE"""),15)</f>
        <v>15</v>
      </c>
      <c r="D59" t="str">
        <f ca="1">IFERROR(__xludf.DUMMYFUNCTION("""COMPUTED_VALUE"""),"D")</f>
        <v>D</v>
      </c>
      <c r="E59" t="str">
        <f ca="1">IFERROR(__xludf.DUMMYFUNCTION("""COMPUTED_VALUE"""),"ReserveRES")</f>
        <v>ReserveRES</v>
      </c>
      <c r="F59" t="str">
        <f ca="1">IFERROR(__xludf.DUMMYFUNCTION("""COMPUTED_VALUE"""),"HG")</f>
        <v>HG</v>
      </c>
      <c r="G59" t="str">
        <f ca="1">IFERROR(__xludf.DUMMYFUNCTION("""COMPUTED_VALUE"""),"")</f>
        <v/>
      </c>
    </row>
    <row r="60" spans="1:7" ht="13.2" x14ac:dyDescent="0.25">
      <c r="A60" s="1" t="s">
        <v>13</v>
      </c>
      <c r="B60" t="str">
        <f ca="1">IFERROR(__xludf.DUMMYFUNCTION("""COMPUTED_VALUE"""),"McCarty, Dax")</f>
        <v>McCarty, Dax</v>
      </c>
      <c r="C60">
        <f ca="1">IFERROR(__xludf.DUMMYFUNCTION("""COMPUTED_VALUE"""),6)</f>
        <v>6</v>
      </c>
      <c r="D60" t="str">
        <f ca="1">IFERROR(__xludf.DUMMYFUNCTION("""COMPUTED_VALUE"""),"M")</f>
        <v>M</v>
      </c>
      <c r="E60" t="str">
        <f ca="1">IFERROR(__xludf.DUMMYFUNCTION("""COMPUTED_VALUE"""),"SeniorSR")</f>
        <v>SeniorSR</v>
      </c>
      <c r="F60" t="str">
        <f ca="1">IFERROR(__xludf.DUMMYFUNCTION("""COMPUTED_VALUE"""),"")</f>
        <v/>
      </c>
      <c r="G60" t="str">
        <f ca="1">IFERROR(__xludf.DUMMYFUNCTION("""COMPUTED_VALUE"""),"")</f>
        <v/>
      </c>
    </row>
    <row r="61" spans="1:7" ht="13.2" x14ac:dyDescent="0.25">
      <c r="A61" s="1" t="s">
        <v>13</v>
      </c>
      <c r="B61" t="str">
        <f ca="1">IFERROR(__xludf.DUMMYFUNCTION("""COMPUTED_VALUE"""),"McLain, Patrick")</f>
        <v>McLain, Patrick</v>
      </c>
      <c r="C61">
        <f ca="1">IFERROR(__xludf.DUMMYFUNCTION("""COMPUTED_VALUE"""),32)</f>
        <v>32</v>
      </c>
      <c r="D61" t="str">
        <f ca="1">IFERROR(__xludf.DUMMYFUNCTION("""COMPUTED_VALUE"""),"GK")</f>
        <v>GK</v>
      </c>
      <c r="E61" t="str">
        <f ca="1">IFERROR(__xludf.DUMMYFUNCTION("""COMPUTED_VALUE"""),"SupplementalSUP")</f>
        <v>SupplementalSUP</v>
      </c>
      <c r="F61" t="str">
        <f ca="1">IFERROR(__xludf.DUMMYFUNCTION("""COMPUTED_VALUE"""),"")</f>
        <v/>
      </c>
      <c r="G61" t="str">
        <f ca="1">IFERROR(__xludf.DUMMYFUNCTION("""COMPUTED_VALUE"""),"")</f>
        <v/>
      </c>
    </row>
    <row r="62" spans="1:7" ht="13.2" x14ac:dyDescent="0.25">
      <c r="A62" s="1" t="s">
        <v>13</v>
      </c>
      <c r="B62" t="str">
        <f ca="1">IFERROR(__xludf.DUMMYFUNCTION("""COMPUTED_VALUE"""),"Mihailovic, Djordje")</f>
        <v>Mihailovic, Djordje</v>
      </c>
      <c r="C62">
        <f ca="1">IFERROR(__xludf.DUMMYFUNCTION("""COMPUTED_VALUE"""),14)</f>
        <v>14</v>
      </c>
      <c r="D62" t="str">
        <f ca="1">IFERROR(__xludf.DUMMYFUNCTION("""COMPUTED_VALUE"""),"M")</f>
        <v>M</v>
      </c>
      <c r="E62" t="str">
        <f ca="1">IFERROR(__xludf.DUMMYFUNCTION("""COMPUTED_VALUE"""),"ReserveRES")</f>
        <v>ReserveRES</v>
      </c>
      <c r="F62" t="str">
        <f ca="1">IFERROR(__xludf.DUMMYFUNCTION("""COMPUTED_VALUE"""),"HG")</f>
        <v>HG</v>
      </c>
      <c r="G62" t="str">
        <f ca="1">IFERROR(__xludf.DUMMYFUNCTION("""COMPUTED_VALUE"""),"")</f>
        <v/>
      </c>
    </row>
    <row r="63" spans="1:7" ht="13.2" x14ac:dyDescent="0.25">
      <c r="A63" s="1" t="s">
        <v>13</v>
      </c>
      <c r="B63" t="str">
        <f ca="1">IFERROR(__xludf.DUMMYFUNCTION("""COMPUTED_VALUE"""),"Movsisyan, Yura")</f>
        <v>Movsisyan, Yura</v>
      </c>
      <c r="C63" t="str">
        <f ca="1">IFERROR(__xludf.DUMMYFUNCTION("""COMPUTED_VALUE"""),"")</f>
        <v/>
      </c>
      <c r="D63" t="str">
        <f ca="1">IFERROR(__xludf.DUMMYFUNCTION("""COMPUTED_VALUE"""),"F")</f>
        <v>F</v>
      </c>
      <c r="E63" t="str">
        <f ca="1">IFERROR(__xludf.DUMMYFUNCTION("""COMPUTED_VALUE"""),"SeniorSR")</f>
        <v>SeniorSR</v>
      </c>
      <c r="F63" t="str">
        <f ca="1">IFERROR(__xludf.DUMMYFUNCTION("""COMPUTED_VALUE"""),"")</f>
        <v/>
      </c>
      <c r="G63" t="str">
        <f ca="1">IFERROR(__xludf.DUMMYFUNCTION("""COMPUTED_VALUE"""),"")</f>
        <v/>
      </c>
    </row>
    <row r="64" spans="1:7" ht="13.2" x14ac:dyDescent="0.25">
      <c r="A64" s="1" t="s">
        <v>13</v>
      </c>
      <c r="B64" t="str">
        <f ca="1">IFERROR(__xludf.DUMMYFUNCTION("""COMPUTED_VALUE"""),"Nikolic, Nemanja")</f>
        <v>Nikolic, Nemanja</v>
      </c>
      <c r="C64">
        <f ca="1">IFERROR(__xludf.DUMMYFUNCTION("""COMPUTED_VALUE"""),23)</f>
        <v>23</v>
      </c>
      <c r="D64" t="str">
        <f ca="1">IFERROR(__xludf.DUMMYFUNCTION("""COMPUTED_VALUE"""),"F")</f>
        <v>F</v>
      </c>
      <c r="E64" t="str">
        <f ca="1">IFERROR(__xludf.DUMMYFUNCTION("""COMPUTED_VALUE"""),"SeniorSR")</f>
        <v>SeniorSR</v>
      </c>
      <c r="F64" t="str">
        <f ca="1">IFERROR(__xludf.DUMMYFUNCTION("""COMPUTED_VALUE"""),"DP, INTL")</f>
        <v>DP, INTL</v>
      </c>
      <c r="G64" t="str">
        <f ca="1">IFERROR(__xludf.DUMMYFUNCTION("""COMPUTED_VALUE"""),"")</f>
        <v/>
      </c>
    </row>
    <row r="65" spans="1:7" ht="13.2" x14ac:dyDescent="0.25">
      <c r="A65" s="1" t="s">
        <v>13</v>
      </c>
      <c r="B65" t="str">
        <f ca="1">IFERROR(__xludf.DUMMYFUNCTION("""COMPUTED_VALUE"""),"Polster, Matt")</f>
        <v>Polster, Matt</v>
      </c>
      <c r="C65">
        <f ca="1">IFERROR(__xludf.DUMMYFUNCTION("""COMPUTED_VALUE"""),2)</f>
        <v>2</v>
      </c>
      <c r="D65" t="str">
        <f ca="1">IFERROR(__xludf.DUMMYFUNCTION("""COMPUTED_VALUE"""),"M")</f>
        <v>M</v>
      </c>
      <c r="E65" t="str">
        <f ca="1">IFERROR(__xludf.DUMMYFUNCTION("""COMPUTED_VALUE"""),"SeniorSR")</f>
        <v>SeniorSR</v>
      </c>
      <c r="F65" t="str">
        <f ca="1">IFERROR(__xludf.DUMMYFUNCTION("""COMPUTED_VALUE"""),"")</f>
        <v/>
      </c>
      <c r="G65" t="str">
        <f ca="1">IFERROR(__xludf.DUMMYFUNCTION("""COMPUTED_VALUE"""),"")</f>
        <v/>
      </c>
    </row>
    <row r="66" spans="1:7" ht="13.2" x14ac:dyDescent="0.25">
      <c r="A66" s="1" t="s">
        <v>13</v>
      </c>
      <c r="B66" t="str">
        <f ca="1">IFERROR(__xludf.DUMMYFUNCTION("""COMPUTED_VALUE"""),"Sanchez, Richard")</f>
        <v>Sanchez, Richard</v>
      </c>
      <c r="C66">
        <f ca="1">IFERROR(__xludf.DUMMYFUNCTION("""COMPUTED_VALUE"""),45)</f>
        <v>45</v>
      </c>
      <c r="D66" t="str">
        <f ca="1">IFERROR(__xludf.DUMMYFUNCTION("""COMPUTED_VALUE"""),"GK")</f>
        <v>GK</v>
      </c>
      <c r="E66" t="str">
        <f ca="1">IFERROR(__xludf.DUMMYFUNCTION("""COMPUTED_VALUE"""),"SeniorSR")</f>
        <v>SeniorSR</v>
      </c>
      <c r="F66" t="str">
        <f ca="1">IFERROR(__xludf.DUMMYFUNCTION("""COMPUTED_VALUE"""),"")</f>
        <v/>
      </c>
      <c r="G66" t="str">
        <f ca="1">IFERROR(__xludf.DUMMYFUNCTION("""COMPUTED_VALUE"""),"")</f>
        <v/>
      </c>
    </row>
    <row r="67" spans="1:7" ht="13.2" x14ac:dyDescent="0.25">
      <c r="A67" s="1" t="s">
        <v>13</v>
      </c>
      <c r="B67" t="str">
        <f ca="1">IFERROR(__xludf.DUMMYFUNCTION("""COMPUTED_VALUE"""),"Schweinsteiger, Bastian")</f>
        <v>Schweinsteiger, Bastian</v>
      </c>
      <c r="C67">
        <f ca="1">IFERROR(__xludf.DUMMYFUNCTION("""COMPUTED_VALUE"""),31)</f>
        <v>31</v>
      </c>
      <c r="D67" t="str">
        <f ca="1">IFERROR(__xludf.DUMMYFUNCTION("""COMPUTED_VALUE"""),"M")</f>
        <v>M</v>
      </c>
      <c r="E67" t="str">
        <f ca="1">IFERROR(__xludf.DUMMYFUNCTION("""COMPUTED_VALUE"""),"SeniorSR")</f>
        <v>SeniorSR</v>
      </c>
      <c r="F67" t="str">
        <f ca="1">IFERROR(__xludf.DUMMYFUNCTION("""COMPUTED_VALUE"""),"DP, INTL")</f>
        <v>DP, INTL</v>
      </c>
      <c r="G67" t="str">
        <f ca="1">IFERROR(__xludf.DUMMYFUNCTION("""COMPUTED_VALUE"""),"")</f>
        <v/>
      </c>
    </row>
    <row r="68" spans="1:7" ht="13.2" x14ac:dyDescent="0.25">
      <c r="A68" s="1" t="s">
        <v>13</v>
      </c>
      <c r="B68" t="str">
        <f ca="1">IFERROR(__xludf.DUMMYFUNCTION("""COMPUTED_VALUE"""),"Solignac, Luis")</f>
        <v>Solignac, Luis</v>
      </c>
      <c r="C68">
        <f ca="1">IFERROR(__xludf.DUMMYFUNCTION("""COMPUTED_VALUE"""),9)</f>
        <v>9</v>
      </c>
      <c r="D68" t="str">
        <f ca="1">IFERROR(__xludf.DUMMYFUNCTION("""COMPUTED_VALUE"""),"F")</f>
        <v>F</v>
      </c>
      <c r="E68" t="str">
        <f ca="1">IFERROR(__xludf.DUMMYFUNCTION("""COMPUTED_VALUE"""),"SeniorSR, Disabled ListDL")</f>
        <v>SeniorSR, Disabled ListDL</v>
      </c>
      <c r="F68" t="str">
        <f ca="1">IFERROR(__xludf.DUMMYFUNCTION("""COMPUTED_VALUE"""),"INTL")</f>
        <v>INTL</v>
      </c>
      <c r="G68" t="str">
        <f ca="1">IFERROR(__xludf.DUMMYFUNCTION("""COMPUTED_VALUE"""),"*Disabled ListDL*")</f>
        <v>*Disabled ListDL*</v>
      </c>
    </row>
    <row r="69" spans="1:7" ht="13.2" x14ac:dyDescent="0.25">
      <c r="A69" s="1" t="s">
        <v>13</v>
      </c>
      <c r="B69" t="str">
        <f ca="1">IFERROR(__xludf.DUMMYFUNCTION("""COMPUTED_VALUE"""),"Vincent, Brandon")</f>
        <v>Vincent, Brandon</v>
      </c>
      <c r="C69">
        <f ca="1">IFERROR(__xludf.DUMMYFUNCTION("""COMPUTED_VALUE"""),3)</f>
        <v>3</v>
      </c>
      <c r="D69" t="str">
        <f ca="1">IFERROR(__xludf.DUMMYFUNCTION("""COMPUTED_VALUE"""),"D")</f>
        <v>D</v>
      </c>
      <c r="E69" t="str">
        <f ca="1">IFERROR(__xludf.DUMMYFUNCTION("""COMPUTED_VALUE"""),"SeniorSR")</f>
        <v>SeniorSR</v>
      </c>
      <c r="F69" t="str">
        <f ca="1">IFERROR(__xludf.DUMMYFUNCTION("""COMPUTED_VALUE"""),"")</f>
        <v/>
      </c>
      <c r="G69" t="str">
        <f ca="1">IFERROR(__xludf.DUMMYFUNCTION("""COMPUTED_VALUE"""),"")</f>
        <v/>
      </c>
    </row>
    <row r="70" spans="1:7" ht="13.2" x14ac:dyDescent="0.25">
      <c r="A70" s="1" t="s">
        <v>13</v>
      </c>
      <c r="B70" t="str">
        <f ca="1">IFERROR(__xludf.DUMMYFUNCTION("""COMPUTED_VALUE"""),"")</f>
        <v/>
      </c>
      <c r="C70" t="str">
        <f ca="1">IFERROR(__xludf.DUMMYFUNCTION("""COMPUTED_VALUE"""),"")</f>
        <v/>
      </c>
      <c r="D70" t="str">
        <f ca="1">IFERROR(__xludf.DUMMYFUNCTION("""COMPUTED_VALUE"""),"")</f>
        <v/>
      </c>
      <c r="E70" t="str">
        <f ca="1">IFERROR(__xludf.DUMMYFUNCTION("""COMPUTED_VALUE"""),"")</f>
        <v/>
      </c>
      <c r="F70" t="str">
        <f ca="1">IFERROR(__xludf.DUMMYFUNCTION("""COMPUTED_VALUE"""),"")</f>
        <v/>
      </c>
      <c r="G70" t="str">
        <f ca="1">IFERROR(__xludf.DUMMYFUNCTION("""COMPUTED_VALUE"""),"")</f>
        <v/>
      </c>
    </row>
    <row r="71" spans="1:7" ht="13.2" x14ac:dyDescent="0.25">
      <c r="A71" s="1" t="s">
        <v>13</v>
      </c>
      <c r="B71" t="str">
        <f ca="1">IFERROR(__xludf.DUMMYFUNCTION("""COMPUTED_VALUE"""),"")</f>
        <v/>
      </c>
      <c r="C71" t="str">
        <f ca="1">IFERROR(__xludf.DUMMYFUNCTION("""COMPUTED_VALUE"""),"")</f>
        <v/>
      </c>
      <c r="D71" t="str">
        <f ca="1">IFERROR(__xludf.DUMMYFUNCTION("""COMPUTED_VALUE"""),"")</f>
        <v/>
      </c>
      <c r="E71" t="str">
        <f ca="1">IFERROR(__xludf.DUMMYFUNCTION("""COMPUTED_VALUE"""),"")</f>
        <v/>
      </c>
      <c r="F71" t="str">
        <f ca="1">IFERROR(__xludf.DUMMYFUNCTION("""COMPUTED_VALUE"""),"")</f>
        <v/>
      </c>
      <c r="G71" t="str">
        <f ca="1">IFERROR(__xludf.DUMMYFUNCTION("""COMPUTED_VALUE"""),"")</f>
        <v/>
      </c>
    </row>
    <row r="72" spans="1:7" ht="13.2" x14ac:dyDescent="0.25">
      <c r="A72" s="1" t="s">
        <v>13</v>
      </c>
      <c r="B72" t="str">
        <f ca="1">IFERROR(__xludf.DUMMYFUNCTION("""COMPUTED_VALUE"""),"")</f>
        <v/>
      </c>
      <c r="C72" t="str">
        <f ca="1">IFERROR(__xludf.DUMMYFUNCTION("""COMPUTED_VALUE"""),"")</f>
        <v/>
      </c>
      <c r="D72" t="str">
        <f ca="1">IFERROR(__xludf.DUMMYFUNCTION("""COMPUTED_VALUE"""),"")</f>
        <v/>
      </c>
      <c r="E72" t="str">
        <f ca="1">IFERROR(__xludf.DUMMYFUNCTION("""COMPUTED_VALUE"""),"")</f>
        <v/>
      </c>
      <c r="F72" t="str">
        <f ca="1">IFERROR(__xludf.DUMMYFUNCTION("""COMPUTED_VALUE"""),"")</f>
        <v/>
      </c>
      <c r="G72" t="str">
        <f ca="1">IFERROR(__xludf.DUMMYFUNCTION("""COMPUTED_VALUE"""),"")</f>
        <v/>
      </c>
    </row>
    <row r="73" spans="1:7" ht="13.2" x14ac:dyDescent="0.25">
      <c r="A73" s="1" t="s">
        <v>13</v>
      </c>
      <c r="B73" t="str">
        <f ca="1">IFERROR(__xludf.DUMMYFUNCTION("""COMPUTED_VALUE"""),"27 of 30 spots filled")</f>
        <v>27 of 30 spots filled</v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</row>
    <row r="74" spans="1:7" ht="13.2" x14ac:dyDescent="0.25">
      <c r="A74" s="1" t="s">
        <v>13</v>
      </c>
      <c r="B74" t="str">
        <f ca="1">IFERROR(__xludf.DUMMYFUNCTION("""COMPUTED_VALUE"""),"*Players that do not count against the 30-man active roster*")</f>
        <v>*Players that do not count against the 30-man active roster*</v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</row>
    <row r="75" spans="1:7" ht="13.2" x14ac:dyDescent="0.25">
      <c r="A75" s="1" t="s">
        <v>13</v>
      </c>
      <c r="B75" t="str">
        <f ca="1">IFERROR(__xludf.DUMMYFUNCTION("""COMPUTED_VALUE"""),"Cleveland, Stefan")</f>
        <v>Cleveland, Stefan</v>
      </c>
      <c r="C75">
        <f ca="1">IFERROR(__xludf.DUMMYFUNCTION("""COMPUTED_VALUE"""),30)</f>
        <v>30</v>
      </c>
      <c r="D75" t="str">
        <f ca="1">IFERROR(__xludf.DUMMYFUNCTION("""COMPUTED_VALUE"""),"GK")</f>
        <v>GK</v>
      </c>
      <c r="E75" t="str">
        <f ca="1">IFERROR(__xludf.DUMMYFUNCTION("""COMPUTED_VALUE"""),"ReserveRES, On loanOL")</f>
        <v>ReserveRES, On loanOL</v>
      </c>
      <c r="F75" t="str">
        <f ca="1">IFERROR(__xludf.DUMMYFUNCTION("""COMPUTED_VALUE"""),"*Loaned to: USLOL: USL*")</f>
        <v>*Loaned to: USLOL: USL*</v>
      </c>
      <c r="G75" t="str">
        <f ca="1">IFERROR(__xludf.DUMMYFUNCTION("""COMPUTED_VALUE"""),"")</f>
        <v/>
      </c>
    </row>
    <row r="76" spans="1:7" ht="13.2" x14ac:dyDescent="0.25">
      <c r="A76" s="1" t="s">
        <v>13</v>
      </c>
    </row>
    <row r="78" spans="1:7" ht="13.2" x14ac:dyDescent="0.25">
      <c r="B78" t="str">
        <f ca="1">IFERROR(__xludf.DUMMYFUNCTION("IMPORTHTML(""http://www.mlssoccer.com/rosters/2018/colorado-rapids"", ""table"", 1)"),"30-man Active Roster (Spots 1-30)")</f>
        <v>30-man Active Roster (Spots 1-30)</v>
      </c>
      <c r="C78" t="str">
        <f ca="1">IFERROR(__xludf.DUMMYFUNCTION("""COMPUTED_VALUE"""),"#")</f>
        <v>#</v>
      </c>
      <c r="D78" t="str">
        <f ca="1">IFERROR(__xludf.DUMMYFUNCTION("""COMPUTED_VALUE"""),"POS")</f>
        <v>POS</v>
      </c>
      <c r="E78" t="str">
        <f ca="1">IFERROR(__xludf.DUMMYFUNCTION("""COMPUTED_VALUE"""),"ROSTER STATUSR.S.")</f>
        <v>ROSTER STATUSR.S.</v>
      </c>
      <c r="F78" t="str">
        <f ca="1">IFERROR(__xludf.DUMMYFUNCTION("""COMPUTED_VALUE"""),"PLAYER CATEGORYCAT.")</f>
        <v>PLAYER CATEGORYCAT.</v>
      </c>
      <c r="G78" t="str">
        <f ca="1">IFERROR(__xludf.DUMMYFUNCTION("""COMPUTED_VALUE"""),"*NOTE*")</f>
        <v>*NOTE*</v>
      </c>
    </row>
    <row r="79" spans="1:7" ht="13.2" x14ac:dyDescent="0.25">
      <c r="A79" s="1" t="s">
        <v>14</v>
      </c>
      <c r="B79" t="str">
        <f ca="1">IFERROR(__xludf.DUMMYFUNCTION("""COMPUTED_VALUE"""),"Acosta, Kellyn")</f>
        <v>Acosta, Kellyn</v>
      </c>
      <c r="C79">
        <f ca="1">IFERROR(__xludf.DUMMYFUNCTION("""COMPUTED_VALUE"""),10)</f>
        <v>10</v>
      </c>
      <c r="D79" t="str">
        <f ca="1">IFERROR(__xludf.DUMMYFUNCTION("""COMPUTED_VALUE"""),"M")</f>
        <v>M</v>
      </c>
      <c r="E79" t="str">
        <f ca="1">IFERROR(__xludf.DUMMYFUNCTION("""COMPUTED_VALUE"""),"SeniorSR")</f>
        <v>SeniorSR</v>
      </c>
      <c r="F79" t="str">
        <f ca="1">IFERROR(__xludf.DUMMYFUNCTION("""COMPUTED_VALUE"""),"HG")</f>
        <v>HG</v>
      </c>
      <c r="G79" t="str">
        <f ca="1">IFERROR(__xludf.DUMMYFUNCTION("""COMPUTED_VALUE"""),"")</f>
        <v/>
      </c>
    </row>
    <row r="80" spans="1:7" ht="13.2" x14ac:dyDescent="0.25">
      <c r="A80" s="1" t="s">
        <v>14</v>
      </c>
      <c r="B80" t="str">
        <f ca="1">IFERROR(__xludf.DUMMYFUNCTION("""COMPUTED_VALUE"""),"Barnes, Giles")</f>
        <v>Barnes, Giles</v>
      </c>
      <c r="C80" t="str">
        <f ca="1">IFERROR(__xludf.DUMMYFUNCTION("""COMPUTED_VALUE"""),"")</f>
        <v/>
      </c>
      <c r="D80" t="str">
        <f ca="1">IFERROR(__xludf.DUMMYFUNCTION("""COMPUTED_VALUE"""),"F")</f>
        <v>F</v>
      </c>
      <c r="E80" t="str">
        <f ca="1">IFERROR(__xludf.DUMMYFUNCTION("""COMPUTED_VALUE"""),"SeniorSR")</f>
        <v>SeniorSR</v>
      </c>
      <c r="F80" t="str">
        <f ca="1">IFERROR(__xludf.DUMMYFUNCTION("""COMPUTED_VALUE"""),"")</f>
        <v/>
      </c>
      <c r="G80" t="str">
        <f ca="1">IFERROR(__xludf.DUMMYFUNCTION("""COMPUTED_VALUE"""),"")</f>
        <v/>
      </c>
    </row>
    <row r="81" spans="1:7" ht="13.2" x14ac:dyDescent="0.25">
      <c r="A81" s="1" t="s">
        <v>14</v>
      </c>
      <c r="B81" t="str">
        <f ca="1">IFERROR(__xludf.DUMMYFUNCTION("""COMPUTED_VALUE"""),"Bassett, Cole")</f>
        <v>Bassett, Cole</v>
      </c>
      <c r="C81">
        <f ca="1">IFERROR(__xludf.DUMMYFUNCTION("""COMPUTED_VALUE"""),26)</f>
        <v>26</v>
      </c>
      <c r="D81" t="str">
        <f ca="1">IFERROR(__xludf.DUMMYFUNCTION("""COMPUTED_VALUE"""),"M")</f>
        <v>M</v>
      </c>
      <c r="E81" t="str">
        <f ca="1">IFERROR(__xludf.DUMMYFUNCTION("""COMPUTED_VALUE"""),"ReserveRES")</f>
        <v>ReserveRES</v>
      </c>
      <c r="F81" t="str">
        <f ca="1">IFERROR(__xludf.DUMMYFUNCTION("""COMPUTED_VALUE"""),"")</f>
        <v/>
      </c>
      <c r="G81" t="str">
        <f ca="1">IFERROR(__xludf.DUMMYFUNCTION("""COMPUTED_VALUE"""),"")</f>
        <v/>
      </c>
    </row>
    <row r="82" spans="1:7" ht="13.2" x14ac:dyDescent="0.25">
      <c r="A82" s="1" t="s">
        <v>14</v>
      </c>
      <c r="B82" t="str">
        <f ca="1">IFERROR(__xludf.DUMMYFUNCTION("""COMPUTED_VALUE"""),"Blomberg, Johan")</f>
        <v>Blomberg, Johan</v>
      </c>
      <c r="C82">
        <f ca="1">IFERROR(__xludf.DUMMYFUNCTION("""COMPUTED_VALUE"""),8)</f>
        <v>8</v>
      </c>
      <c r="D82" t="str">
        <f ca="1">IFERROR(__xludf.DUMMYFUNCTION("""COMPUTED_VALUE"""),"M")</f>
        <v>M</v>
      </c>
      <c r="E82" t="str">
        <f ca="1">IFERROR(__xludf.DUMMYFUNCTION("""COMPUTED_VALUE"""),"SeniorSR")</f>
        <v>SeniorSR</v>
      </c>
      <c r="F82" t="str">
        <f ca="1">IFERROR(__xludf.DUMMYFUNCTION("""COMPUTED_VALUE"""),"INTL")</f>
        <v>INTL</v>
      </c>
      <c r="G82" t="str">
        <f ca="1">IFERROR(__xludf.DUMMYFUNCTION("""COMPUTED_VALUE"""),"")</f>
        <v/>
      </c>
    </row>
    <row r="83" spans="1:7" ht="13.2" x14ac:dyDescent="0.25">
      <c r="A83" s="1" t="s">
        <v>14</v>
      </c>
      <c r="B83" t="str">
        <f ca="1">IFERROR(__xludf.DUMMYFUNCTION("""COMPUTED_VALUE"""),"Boateng, Bismark")</f>
        <v>Boateng, Bismark</v>
      </c>
      <c r="C83">
        <f ca="1">IFERROR(__xludf.DUMMYFUNCTION("""COMPUTED_VALUE"""),21)</f>
        <v>21</v>
      </c>
      <c r="D83" t="str">
        <f ca="1">IFERROR(__xludf.DUMMYFUNCTION("""COMPUTED_VALUE"""),"M")</f>
        <v>M</v>
      </c>
      <c r="E83" t="str">
        <f ca="1">IFERROR(__xludf.DUMMYFUNCTION("""COMPUTED_VALUE"""),"SeniorSR")</f>
        <v>SeniorSR</v>
      </c>
      <c r="F83" t="str">
        <f ca="1">IFERROR(__xludf.DUMMYFUNCTION("""COMPUTED_VALUE"""),"")</f>
        <v/>
      </c>
      <c r="G83" t="str">
        <f ca="1">IFERROR(__xludf.DUMMYFUNCTION("""COMPUTED_VALUE"""),"")</f>
        <v/>
      </c>
    </row>
    <row r="84" spans="1:7" ht="13.2" x14ac:dyDescent="0.25">
      <c r="A84" s="1" t="s">
        <v>14</v>
      </c>
      <c r="B84" t="str">
        <f ca="1">IFERROR(__xludf.DUMMYFUNCTION("""COMPUTED_VALUE"""),"Boli, Yannick")</f>
        <v>Boli, Yannick</v>
      </c>
      <c r="C84">
        <f ca="1">IFERROR(__xludf.DUMMYFUNCTION("""COMPUTED_VALUE"""),9)</f>
        <v>9</v>
      </c>
      <c r="D84" t="str">
        <f ca="1">IFERROR(__xludf.DUMMYFUNCTION("""COMPUTED_VALUE"""),"F")</f>
        <v>F</v>
      </c>
      <c r="E84" t="str">
        <f ca="1">IFERROR(__xludf.DUMMYFUNCTION("""COMPUTED_VALUE"""),"SeniorSR")</f>
        <v>SeniorSR</v>
      </c>
      <c r="F84" t="str">
        <f ca="1">IFERROR(__xludf.DUMMYFUNCTION("""COMPUTED_VALUE"""),"INTL")</f>
        <v>INTL</v>
      </c>
      <c r="G84" t="str">
        <f ca="1">IFERROR(__xludf.DUMMYFUNCTION("""COMPUTED_VALUE"""),"")</f>
        <v/>
      </c>
    </row>
    <row r="85" spans="1:7" ht="13.2" x14ac:dyDescent="0.25">
      <c r="A85" s="1" t="s">
        <v>14</v>
      </c>
      <c r="B85" t="str">
        <f ca="1">IFERROR(__xludf.DUMMYFUNCTION("""COMPUTED_VALUE"""),"Calvert, Caleb")</f>
        <v>Calvert, Caleb</v>
      </c>
      <c r="C85">
        <f ca="1">IFERROR(__xludf.DUMMYFUNCTION("""COMPUTED_VALUE"""),29)</f>
        <v>29</v>
      </c>
      <c r="D85" t="str">
        <f ca="1">IFERROR(__xludf.DUMMYFUNCTION("""COMPUTED_VALUE"""),"F")</f>
        <v>F</v>
      </c>
      <c r="E85" t="str">
        <f ca="1">IFERROR(__xludf.DUMMYFUNCTION("""COMPUTED_VALUE"""),"SeniorSR")</f>
        <v>SeniorSR</v>
      </c>
      <c r="F85" t="str">
        <f ca="1">IFERROR(__xludf.DUMMYFUNCTION("""COMPUTED_VALUE"""),"HG")</f>
        <v>HG</v>
      </c>
      <c r="G85" t="str">
        <f ca="1">IFERROR(__xludf.DUMMYFUNCTION("""COMPUTED_VALUE"""),"")</f>
        <v/>
      </c>
    </row>
    <row r="86" spans="1:7" ht="13.2" x14ac:dyDescent="0.25">
      <c r="A86" s="1" t="s">
        <v>14</v>
      </c>
      <c r="B86" t="str">
        <f ca="1">IFERROR(__xludf.DUMMYFUNCTION("""COMPUTED_VALUE"""),"Castillo, Edgar")</f>
        <v>Castillo, Edgar</v>
      </c>
      <c r="C86">
        <f ca="1">IFERROR(__xludf.DUMMYFUNCTION("""COMPUTED_VALUE"""),2)</f>
        <v>2</v>
      </c>
      <c r="D86" t="str">
        <f ca="1">IFERROR(__xludf.DUMMYFUNCTION("""COMPUTED_VALUE"""),"D")</f>
        <v>D</v>
      </c>
      <c r="E86" t="str">
        <f ca="1">IFERROR(__xludf.DUMMYFUNCTION("""COMPUTED_VALUE"""),"SeniorSR")</f>
        <v>SeniorSR</v>
      </c>
      <c r="F86" t="str">
        <f ca="1">IFERROR(__xludf.DUMMYFUNCTION("""COMPUTED_VALUE"""),"")</f>
        <v/>
      </c>
      <c r="G86" t="str">
        <f ca="1">IFERROR(__xludf.DUMMYFUNCTION("""COMPUTED_VALUE"""),"")</f>
        <v/>
      </c>
    </row>
    <row r="87" spans="1:7" ht="13.2" x14ac:dyDescent="0.25">
      <c r="A87" s="1" t="s">
        <v>14</v>
      </c>
      <c r="B87" t="str">
        <f ca="1">IFERROR(__xludf.DUMMYFUNCTION("""COMPUTED_VALUE"""),"Colvey, Kip")</f>
        <v>Colvey, Kip</v>
      </c>
      <c r="C87">
        <f ca="1">IFERROR(__xludf.DUMMYFUNCTION("""COMPUTED_VALUE"""),23)</f>
        <v>23</v>
      </c>
      <c r="D87" t="str">
        <f ca="1">IFERROR(__xludf.DUMMYFUNCTION("""COMPUTED_VALUE"""),"D")</f>
        <v>D</v>
      </c>
      <c r="E87" t="str">
        <f ca="1">IFERROR(__xludf.DUMMYFUNCTION("""COMPUTED_VALUE"""),"SupplementalSUP")</f>
        <v>SupplementalSUP</v>
      </c>
      <c r="F87" t="str">
        <f ca="1">IFERROR(__xludf.DUMMYFUNCTION("""COMPUTED_VALUE"""),"")</f>
        <v/>
      </c>
      <c r="G87" t="str">
        <f ca="1">IFERROR(__xludf.DUMMYFUNCTION("""COMPUTED_VALUE"""),"")</f>
        <v/>
      </c>
    </row>
    <row r="88" spans="1:7" ht="13.2" x14ac:dyDescent="0.25">
      <c r="A88" s="1" t="s">
        <v>14</v>
      </c>
      <c r="B88" t="str">
        <f ca="1">IFERROR(__xludf.DUMMYFUNCTION("""COMPUTED_VALUE"""),"Da Fonte, Mike")</f>
        <v>Da Fonte, Mike</v>
      </c>
      <c r="C88" t="str">
        <f ca="1">IFERROR(__xludf.DUMMYFUNCTION("""COMPUTED_VALUE"""),"")</f>
        <v/>
      </c>
      <c r="D88" t="str">
        <f ca="1">IFERROR(__xludf.DUMMYFUNCTION("""COMPUTED_VALUE"""),"D")</f>
        <v>D</v>
      </c>
      <c r="E88" t="str">
        <f ca="1">IFERROR(__xludf.DUMMYFUNCTION("""COMPUTED_VALUE"""),"SeniorSR, On loanOL")</f>
        <v>SeniorSR, On loanOL</v>
      </c>
      <c r="F88" t="str">
        <f ca="1">IFERROR(__xludf.DUMMYFUNCTION("""COMPUTED_VALUE"""),"")</f>
        <v/>
      </c>
      <c r="G88" t="str">
        <f ca="1">IFERROR(__xludf.DUMMYFUNCTION("""COMPUTED_VALUE"""),"*Loaned to: USLOL: USL*")</f>
        <v>*Loaned to: USLOL: USL*</v>
      </c>
    </row>
    <row r="89" spans="1:7" ht="13.2" x14ac:dyDescent="0.25">
      <c r="A89" s="1" t="s">
        <v>14</v>
      </c>
      <c r="B89" t="str">
        <f ca="1">IFERROR(__xludf.DUMMYFUNCTION("""COMPUTED_VALUE"""),"Dykstra, Andrew")</f>
        <v>Dykstra, Andrew</v>
      </c>
      <c r="C89">
        <f ca="1">IFERROR(__xludf.DUMMYFUNCTION("""COMPUTED_VALUE"""),50)</f>
        <v>50</v>
      </c>
      <c r="D89" t="str">
        <f ca="1">IFERROR(__xludf.DUMMYFUNCTION("""COMPUTED_VALUE"""),"GK")</f>
        <v>GK</v>
      </c>
      <c r="E89" t="str">
        <f ca="1">IFERROR(__xludf.DUMMYFUNCTION("""COMPUTED_VALUE"""),"SupplementalSUP")</f>
        <v>SupplementalSUP</v>
      </c>
      <c r="F89" t="str">
        <f ca="1">IFERROR(__xludf.DUMMYFUNCTION("""COMPUTED_VALUE"""),"")</f>
        <v/>
      </c>
      <c r="G89" t="str">
        <f ca="1">IFERROR(__xludf.DUMMYFUNCTION("""COMPUTED_VALUE"""),"")</f>
        <v/>
      </c>
    </row>
    <row r="90" spans="1:7" ht="13.2" x14ac:dyDescent="0.25">
      <c r="A90" s="1" t="s">
        <v>14</v>
      </c>
      <c r="B90" t="str">
        <f ca="1">IFERROR(__xludf.DUMMYFUNCTION("""COMPUTED_VALUE"""),"Ford, Kortne")</f>
        <v>Ford, Kortne</v>
      </c>
      <c r="C90">
        <f ca="1">IFERROR(__xludf.DUMMYFUNCTION("""COMPUTED_VALUE"""),24)</f>
        <v>24</v>
      </c>
      <c r="D90" t="str">
        <f ca="1">IFERROR(__xludf.DUMMYFUNCTION("""COMPUTED_VALUE"""),"D")</f>
        <v>D</v>
      </c>
      <c r="E90" t="str">
        <f ca="1">IFERROR(__xludf.DUMMYFUNCTION("""COMPUTED_VALUE"""),"ReserveRES")</f>
        <v>ReserveRES</v>
      </c>
      <c r="F90" t="str">
        <f ca="1">IFERROR(__xludf.DUMMYFUNCTION("""COMPUTED_VALUE"""),"HG")</f>
        <v>HG</v>
      </c>
      <c r="G90" t="str">
        <f ca="1">IFERROR(__xludf.DUMMYFUNCTION("""COMPUTED_VALUE"""),"")</f>
        <v/>
      </c>
    </row>
    <row r="91" spans="1:7" ht="13.2" x14ac:dyDescent="0.25">
      <c r="A91" s="1" t="s">
        <v>14</v>
      </c>
      <c r="B91" t="str">
        <f ca="1">IFERROR(__xludf.DUMMYFUNCTION("""COMPUTED_VALUE"""),"Gashi, Shkelzen")</f>
        <v>Gashi, Shkelzen</v>
      </c>
      <c r="C91">
        <f ca="1">IFERROR(__xludf.DUMMYFUNCTION("""COMPUTED_VALUE"""),11)</f>
        <v>11</v>
      </c>
      <c r="D91" t="str">
        <f ca="1">IFERROR(__xludf.DUMMYFUNCTION("""COMPUTED_VALUE"""),"M/F")</f>
        <v>M/F</v>
      </c>
      <c r="E91" t="str">
        <f ca="1">IFERROR(__xludf.DUMMYFUNCTION("""COMPUTED_VALUE"""),"SeniorSR")</f>
        <v>SeniorSR</v>
      </c>
      <c r="F91" t="str">
        <f ca="1">IFERROR(__xludf.DUMMYFUNCTION("""COMPUTED_VALUE"""),"DP, INTL")</f>
        <v>DP, INTL</v>
      </c>
      <c r="G91" t="str">
        <f ca="1">IFERROR(__xludf.DUMMYFUNCTION("""COMPUTED_VALUE"""),"")</f>
        <v/>
      </c>
    </row>
    <row r="92" spans="1:7" ht="13.2" x14ac:dyDescent="0.25">
      <c r="A92" s="1" t="s">
        <v>14</v>
      </c>
      <c r="B92" t="str">
        <f ca="1">IFERROR(__xludf.DUMMYFUNCTION("""COMPUTED_VALUE"""),"Hairston, Marlon")</f>
        <v>Hairston, Marlon</v>
      </c>
      <c r="C92">
        <f ca="1">IFERROR(__xludf.DUMMYFUNCTION("""COMPUTED_VALUE"""),94)</f>
        <v>94</v>
      </c>
      <c r="D92" t="str">
        <f ca="1">IFERROR(__xludf.DUMMYFUNCTION("""COMPUTED_VALUE"""),"M")</f>
        <v>M</v>
      </c>
      <c r="E92" t="str">
        <f ca="1">IFERROR(__xludf.DUMMYFUNCTION("""COMPUTED_VALUE"""),"SeniorSR")</f>
        <v>SeniorSR</v>
      </c>
      <c r="F92" t="str">
        <f ca="1">IFERROR(__xludf.DUMMYFUNCTION("""COMPUTED_VALUE"""),"")</f>
        <v/>
      </c>
      <c r="G92" t="str">
        <f ca="1">IFERROR(__xludf.DUMMYFUNCTION("""COMPUTED_VALUE"""),"")</f>
        <v/>
      </c>
    </row>
    <row r="93" spans="1:7" ht="13.2" x14ac:dyDescent="0.25">
      <c r="A93" s="1" t="s">
        <v>14</v>
      </c>
      <c r="B93" t="str">
        <f ca="1">IFERROR(__xludf.DUMMYFUNCTION("""COMPUTED_VALUE"""),"Hamilton, Sam")</f>
        <v>Hamilton, Sam</v>
      </c>
      <c r="C93">
        <f ca="1">IFERROR(__xludf.DUMMYFUNCTION("""COMPUTED_VALUE"""),15)</f>
        <v>15</v>
      </c>
      <c r="D93" t="str">
        <f ca="1">IFERROR(__xludf.DUMMYFUNCTION("""COMPUTED_VALUE"""),"M")</f>
        <v>M</v>
      </c>
      <c r="E93" t="str">
        <f ca="1">IFERROR(__xludf.DUMMYFUNCTION("""COMPUTED_VALUE"""),"SupplementalSUP")</f>
        <v>SupplementalSUP</v>
      </c>
      <c r="F93" t="str">
        <f ca="1">IFERROR(__xludf.DUMMYFUNCTION("""COMPUTED_VALUE"""),"")</f>
        <v/>
      </c>
      <c r="G93" t="str">
        <f ca="1">IFERROR(__xludf.DUMMYFUNCTION("""COMPUTED_VALUE"""),"")</f>
        <v/>
      </c>
    </row>
    <row r="94" spans="1:7" ht="13.2" x14ac:dyDescent="0.25">
      <c r="A94" s="1" t="s">
        <v>14</v>
      </c>
      <c r="B94" t="str">
        <f ca="1">IFERROR(__xludf.DUMMYFUNCTION("""COMPUTED_VALUE"""),"Howard, Tim")</f>
        <v>Howard, Tim</v>
      </c>
      <c r="C94">
        <f ca="1">IFERROR(__xludf.DUMMYFUNCTION("""COMPUTED_VALUE"""),1)</f>
        <v>1</v>
      </c>
      <c r="D94" t="str">
        <f ca="1">IFERROR(__xludf.DUMMYFUNCTION("""COMPUTED_VALUE"""),"GK")</f>
        <v>GK</v>
      </c>
      <c r="E94" t="str">
        <f ca="1">IFERROR(__xludf.DUMMYFUNCTION("""COMPUTED_VALUE"""),"SeniorSR")</f>
        <v>SeniorSR</v>
      </c>
      <c r="F94" t="str">
        <f ca="1">IFERROR(__xludf.DUMMYFUNCTION("""COMPUTED_VALUE"""),"DP")</f>
        <v>DP</v>
      </c>
      <c r="G94" t="str">
        <f ca="1">IFERROR(__xludf.DUMMYFUNCTION("""COMPUTED_VALUE"""),"")</f>
        <v/>
      </c>
    </row>
    <row r="95" spans="1:7" ht="13.2" x14ac:dyDescent="0.25">
      <c r="A95" s="1" t="s">
        <v>14</v>
      </c>
      <c r="B95" t="str">
        <f ca="1">IFERROR(__xludf.DUMMYFUNCTION("""COMPUTED_VALUE"""),"Jackson, Niki")</f>
        <v>Jackson, Niki</v>
      </c>
      <c r="C95">
        <f ca="1">IFERROR(__xludf.DUMMYFUNCTION("""COMPUTED_VALUE"""),12)</f>
        <v>12</v>
      </c>
      <c r="D95" t="str">
        <f ca="1">IFERROR(__xludf.DUMMYFUNCTION("""COMPUTED_VALUE"""),"F")</f>
        <v>F</v>
      </c>
      <c r="E95" t="str">
        <f ca="1">IFERROR(__xludf.DUMMYFUNCTION("""COMPUTED_VALUE"""),"ReserveRES")</f>
        <v>ReserveRES</v>
      </c>
      <c r="F95" t="str">
        <f ca="1">IFERROR(__xludf.DUMMYFUNCTION("""COMPUTED_VALUE"""),"")</f>
        <v/>
      </c>
      <c r="G95" t="str">
        <f ca="1">IFERROR(__xludf.DUMMYFUNCTION("""COMPUTED_VALUE"""),"")</f>
        <v/>
      </c>
    </row>
    <row r="96" spans="1:7" ht="13.2" x14ac:dyDescent="0.25">
      <c r="A96" s="1" t="s">
        <v>14</v>
      </c>
      <c r="B96" t="str">
        <f ca="1">IFERROR(__xludf.DUMMYFUNCTION("""COMPUTED_VALUE"""),"MacMath, Zac")</f>
        <v>MacMath, Zac</v>
      </c>
      <c r="C96">
        <f ca="1">IFERROR(__xludf.DUMMYFUNCTION("""COMPUTED_VALUE"""),18)</f>
        <v>18</v>
      </c>
      <c r="D96" t="str">
        <f ca="1">IFERROR(__xludf.DUMMYFUNCTION("""COMPUTED_VALUE"""),"GK")</f>
        <v>GK</v>
      </c>
      <c r="E96" t="str">
        <f ca="1">IFERROR(__xludf.DUMMYFUNCTION("""COMPUTED_VALUE"""),"SeniorSR")</f>
        <v>SeniorSR</v>
      </c>
      <c r="F96" t="str">
        <f ca="1">IFERROR(__xludf.DUMMYFUNCTION("""COMPUTED_VALUE"""),"")</f>
        <v/>
      </c>
      <c r="G96" t="str">
        <f ca="1">IFERROR(__xludf.DUMMYFUNCTION("""COMPUTED_VALUE"""),"")</f>
        <v/>
      </c>
    </row>
    <row r="97" spans="1:7" ht="13.2" x14ac:dyDescent="0.25">
      <c r="A97" s="1" t="s">
        <v>14</v>
      </c>
      <c r="B97" t="str">
        <f ca="1">IFERROR(__xludf.DUMMYFUNCTION("""COMPUTED_VALUE"""),"Martinez, Enzo")</f>
        <v>Martinez, Enzo</v>
      </c>
      <c r="C97">
        <f ca="1">IFERROR(__xludf.DUMMYFUNCTION("""COMPUTED_VALUE"""),90)</f>
        <v>90</v>
      </c>
      <c r="D97" t="str">
        <f ca="1">IFERROR(__xludf.DUMMYFUNCTION("""COMPUTED_VALUE"""),"M")</f>
        <v>M</v>
      </c>
      <c r="E97" t="str">
        <f ca="1">IFERROR(__xludf.DUMMYFUNCTION("""COMPUTED_VALUE"""),"SeniorSR")</f>
        <v>SeniorSR</v>
      </c>
      <c r="F97" t="str">
        <f ca="1">IFERROR(__xludf.DUMMYFUNCTION("""COMPUTED_VALUE"""),"")</f>
        <v/>
      </c>
      <c r="G97" t="str">
        <f ca="1">IFERROR(__xludf.DUMMYFUNCTION("""COMPUTED_VALUE"""),"")</f>
        <v/>
      </c>
    </row>
    <row r="98" spans="1:7" ht="13.2" x14ac:dyDescent="0.25">
      <c r="A98" s="1" t="s">
        <v>14</v>
      </c>
      <c r="B98" t="str">
        <f ca="1">IFERROR(__xludf.DUMMYFUNCTION("""COMPUTED_VALUE"""),"McBean, Jack")</f>
        <v>McBean, Jack</v>
      </c>
      <c r="C98">
        <f ca="1">IFERROR(__xludf.DUMMYFUNCTION("""COMPUTED_VALUE"""),32)</f>
        <v>32</v>
      </c>
      <c r="D98" t="str">
        <f ca="1">IFERROR(__xludf.DUMMYFUNCTION("""COMPUTED_VALUE"""),"F")</f>
        <v>F</v>
      </c>
      <c r="E98" t="str">
        <f ca="1">IFERROR(__xludf.DUMMYFUNCTION("""COMPUTED_VALUE"""),"ReserveRES")</f>
        <v>ReserveRES</v>
      </c>
      <c r="F98" t="str">
        <f ca="1">IFERROR(__xludf.DUMMYFUNCTION("""COMPUTED_VALUE"""),"HG")</f>
        <v>HG</v>
      </c>
      <c r="G98" t="str">
        <f ca="1">IFERROR(__xludf.DUMMYFUNCTION("""COMPUTED_VALUE"""),"")</f>
        <v/>
      </c>
    </row>
    <row r="99" spans="1:7" ht="13.2" x14ac:dyDescent="0.25">
      <c r="A99" s="1" t="s">
        <v>14</v>
      </c>
      <c r="B99" t="str">
        <f ca="1">IFERROR(__xludf.DUMMYFUNCTION("""COMPUTED_VALUE"""),"Nicholson, Sam")</f>
        <v>Nicholson, Sam</v>
      </c>
      <c r="C99">
        <f ca="1">IFERROR(__xludf.DUMMYFUNCTION("""COMPUTED_VALUE"""),15)</f>
        <v>15</v>
      </c>
      <c r="D99" t="str">
        <f ca="1">IFERROR(__xludf.DUMMYFUNCTION("""COMPUTED_VALUE"""),"M")</f>
        <v>M</v>
      </c>
      <c r="E99" t="str">
        <f ca="1">IFERROR(__xludf.DUMMYFUNCTION("""COMPUTED_VALUE"""),"SeniorSR")</f>
        <v>SeniorSR</v>
      </c>
      <c r="F99" t="str">
        <f ca="1">IFERROR(__xludf.DUMMYFUNCTION("""COMPUTED_VALUE"""),"INTL")</f>
        <v>INTL</v>
      </c>
      <c r="G99" t="str">
        <f ca="1">IFERROR(__xludf.DUMMYFUNCTION("""COMPUTED_VALUE"""),"")</f>
        <v/>
      </c>
    </row>
    <row r="100" spans="1:7" ht="13.2" x14ac:dyDescent="0.25">
      <c r="A100" s="1" t="s">
        <v>14</v>
      </c>
      <c r="B100" t="str">
        <f ca="1">IFERROR(__xludf.DUMMYFUNCTION("""COMPUTED_VALUE"""),"Perez, Ricardo")</f>
        <v>Perez, Ricardo</v>
      </c>
      <c r="C100">
        <f ca="1">IFERROR(__xludf.DUMMYFUNCTION("""COMPUTED_VALUE"""),20)</f>
        <v>20</v>
      </c>
      <c r="D100" t="str">
        <f ca="1">IFERROR(__xludf.DUMMYFUNCTION("""COMPUTED_VALUE"""),"M")</f>
        <v>M</v>
      </c>
      <c r="E100" t="str">
        <f ca="1">IFERROR(__xludf.DUMMYFUNCTION("""COMPUTED_VALUE"""),"ReserveRES")</f>
        <v>ReserveRES</v>
      </c>
      <c r="F100" t="str">
        <f ca="1">IFERROR(__xludf.DUMMYFUNCTION("""COMPUTED_VALUE"""),"HG")</f>
        <v>HG</v>
      </c>
      <c r="G100" t="str">
        <f ca="1">IFERROR(__xludf.DUMMYFUNCTION("""COMPUTED_VALUE"""),"")</f>
        <v/>
      </c>
    </row>
    <row r="101" spans="1:7" ht="13.2" x14ac:dyDescent="0.25">
      <c r="A101" s="1" t="s">
        <v>14</v>
      </c>
      <c r="B101" t="str">
        <f ca="1">IFERROR(__xludf.DUMMYFUNCTION("""COMPUTED_VALUE"""),"Price, Jack")</f>
        <v>Price, Jack</v>
      </c>
      <c r="C101">
        <f ca="1">IFERROR(__xludf.DUMMYFUNCTION("""COMPUTED_VALUE"""),19)</f>
        <v>19</v>
      </c>
      <c r="D101" t="str">
        <f ca="1">IFERROR(__xludf.DUMMYFUNCTION("""COMPUTED_VALUE"""),"M")</f>
        <v>M</v>
      </c>
      <c r="E101" t="str">
        <f ca="1">IFERROR(__xludf.DUMMYFUNCTION("""COMPUTED_VALUE"""),"SeniorSR")</f>
        <v>SeniorSR</v>
      </c>
      <c r="F101" t="str">
        <f ca="1">IFERROR(__xludf.DUMMYFUNCTION("""COMPUTED_VALUE"""),"INTL")</f>
        <v>INTL</v>
      </c>
      <c r="G101" t="str">
        <f ca="1">IFERROR(__xludf.DUMMYFUNCTION("""COMPUTED_VALUE"""),"")</f>
        <v/>
      </c>
    </row>
    <row r="102" spans="1:7" ht="13.2" x14ac:dyDescent="0.25">
      <c r="A102" s="1" t="s">
        <v>14</v>
      </c>
      <c r="B102" t="str">
        <f ca="1">IFERROR(__xludf.DUMMYFUNCTION("""COMPUTED_VALUE"""),"Serna, Dillon")</f>
        <v>Serna, Dillon</v>
      </c>
      <c r="C102">
        <f ca="1">IFERROR(__xludf.DUMMYFUNCTION("""COMPUTED_VALUE"""),17)</f>
        <v>17</v>
      </c>
      <c r="D102" t="str">
        <f ca="1">IFERROR(__xludf.DUMMYFUNCTION("""COMPUTED_VALUE"""),"M")</f>
        <v>M</v>
      </c>
      <c r="E102" t="str">
        <f ca="1">IFERROR(__xludf.DUMMYFUNCTION("""COMPUTED_VALUE"""),"SeniorSR")</f>
        <v>SeniorSR</v>
      </c>
      <c r="F102" t="str">
        <f ca="1">IFERROR(__xludf.DUMMYFUNCTION("""COMPUTED_VALUE"""),"HG")</f>
        <v>HG</v>
      </c>
      <c r="G102" t="str">
        <f ca="1">IFERROR(__xludf.DUMMYFUNCTION("""COMPUTED_VALUE"""),"")</f>
        <v/>
      </c>
    </row>
    <row r="103" spans="1:7" ht="13.2" x14ac:dyDescent="0.25">
      <c r="A103" s="1" t="s">
        <v>14</v>
      </c>
      <c r="B103" t="str">
        <f ca="1">IFERROR(__xludf.DUMMYFUNCTION("""COMPUTED_VALUE"""),"Sjoberg, Axel")</f>
        <v>Sjoberg, Axel</v>
      </c>
      <c r="C103">
        <f ca="1">IFERROR(__xludf.DUMMYFUNCTION("""COMPUTED_VALUE"""),44)</f>
        <v>44</v>
      </c>
      <c r="D103" t="str">
        <f ca="1">IFERROR(__xludf.DUMMYFUNCTION("""COMPUTED_VALUE"""),"D")</f>
        <v>D</v>
      </c>
      <c r="E103" t="str">
        <f ca="1">IFERROR(__xludf.DUMMYFUNCTION("""COMPUTED_VALUE"""),"SeniorSR")</f>
        <v>SeniorSR</v>
      </c>
      <c r="F103" t="str">
        <f ca="1">IFERROR(__xludf.DUMMYFUNCTION("""COMPUTED_VALUE"""),"")</f>
        <v/>
      </c>
      <c r="G103" t="str">
        <f ca="1">IFERROR(__xludf.DUMMYFUNCTION("""COMPUTED_VALUE"""),"")</f>
        <v/>
      </c>
    </row>
    <row r="104" spans="1:7" ht="13.2" x14ac:dyDescent="0.25">
      <c r="A104" s="1" t="s">
        <v>14</v>
      </c>
      <c r="B104" t="str">
        <f ca="1">IFERROR(__xludf.DUMMYFUNCTION("""COMPUTED_VALUE"""),"Smith, Tommy")</f>
        <v>Smith, Tommy</v>
      </c>
      <c r="C104">
        <f ca="1">IFERROR(__xludf.DUMMYFUNCTION("""COMPUTED_VALUE"""),5)</f>
        <v>5</v>
      </c>
      <c r="D104" t="str">
        <f ca="1">IFERROR(__xludf.DUMMYFUNCTION("""COMPUTED_VALUE"""),"D")</f>
        <v>D</v>
      </c>
      <c r="E104" t="str">
        <f ca="1">IFERROR(__xludf.DUMMYFUNCTION("""COMPUTED_VALUE"""),"SeniorSR")</f>
        <v>SeniorSR</v>
      </c>
      <c r="F104" t="str">
        <f ca="1">IFERROR(__xludf.DUMMYFUNCTION("""COMPUTED_VALUE"""),"INTL")</f>
        <v>INTL</v>
      </c>
      <c r="G104" t="str">
        <f ca="1">IFERROR(__xludf.DUMMYFUNCTION("""COMPUTED_VALUE"""),"")</f>
        <v/>
      </c>
    </row>
    <row r="105" spans="1:7" ht="13.2" x14ac:dyDescent="0.25">
      <c r="A105" s="1" t="s">
        <v>14</v>
      </c>
      <c r="B105" t="str">
        <f ca="1">IFERROR(__xludf.DUMMYFUNCTION("""COMPUTED_VALUE"""),"Vines, Sam")</f>
        <v>Vines, Sam</v>
      </c>
      <c r="C105">
        <f ca="1">IFERROR(__xludf.DUMMYFUNCTION("""COMPUTED_VALUE"""),13)</f>
        <v>13</v>
      </c>
      <c r="D105" t="str">
        <f ca="1">IFERROR(__xludf.DUMMYFUNCTION("""COMPUTED_VALUE"""),"D")</f>
        <v>D</v>
      </c>
      <c r="E105" t="str">
        <f ca="1">IFERROR(__xludf.DUMMYFUNCTION("""COMPUTED_VALUE"""),"ReserveRES")</f>
        <v>ReserveRES</v>
      </c>
      <c r="F105" t="str">
        <f ca="1">IFERROR(__xludf.DUMMYFUNCTION("""COMPUTED_VALUE"""),"HG")</f>
        <v>HG</v>
      </c>
      <c r="G105" t="str">
        <f ca="1">IFERROR(__xludf.DUMMYFUNCTION("""COMPUTED_VALUE"""),"")</f>
        <v/>
      </c>
    </row>
    <row r="106" spans="1:7" ht="13.2" x14ac:dyDescent="0.25">
      <c r="A106" s="1" t="s">
        <v>14</v>
      </c>
      <c r="B106" t="str">
        <f ca="1">IFERROR(__xludf.DUMMYFUNCTION("""COMPUTED_VALUE"""),"Wilson, Danny")</f>
        <v>Wilson, Danny</v>
      </c>
      <c r="C106">
        <f ca="1">IFERROR(__xludf.DUMMYFUNCTION("""COMPUTED_VALUE"""),4)</f>
        <v>4</v>
      </c>
      <c r="D106" t="str">
        <f ca="1">IFERROR(__xludf.DUMMYFUNCTION("""COMPUTED_VALUE"""),"D")</f>
        <v>D</v>
      </c>
      <c r="E106" t="str">
        <f ca="1">IFERROR(__xludf.DUMMYFUNCTION("""COMPUTED_VALUE"""),"SeniorSR")</f>
        <v>SeniorSR</v>
      </c>
      <c r="F106" t="str">
        <f ca="1">IFERROR(__xludf.DUMMYFUNCTION("""COMPUTED_VALUE"""),"INTL")</f>
        <v>INTL</v>
      </c>
      <c r="G106" t="str">
        <f ca="1">IFERROR(__xludf.DUMMYFUNCTION("""COMPUTED_VALUE"""),"")</f>
        <v/>
      </c>
    </row>
    <row r="107" spans="1:7" ht="13.2" x14ac:dyDescent="0.25">
      <c r="A107" s="1" t="s">
        <v>14</v>
      </c>
      <c r="B107" t="str">
        <f ca="1">IFERROR(__xludf.DUMMYFUNCTION("""COMPUTED_VALUE"""),"Wynne, Deklan")</f>
        <v>Wynne, Deklan</v>
      </c>
      <c r="C107">
        <f ca="1">IFERROR(__xludf.DUMMYFUNCTION("""COMPUTED_VALUE"""),27)</f>
        <v>27</v>
      </c>
      <c r="D107" t="str">
        <f ca="1">IFERROR(__xludf.DUMMYFUNCTION("""COMPUTED_VALUE"""),"D")</f>
        <v>D</v>
      </c>
      <c r="E107" t="str">
        <f ca="1">IFERROR(__xludf.DUMMYFUNCTION("""COMPUTED_VALUE"""),"SupplementalSUP")</f>
        <v>SupplementalSUP</v>
      </c>
      <c r="F107" t="str">
        <f ca="1">IFERROR(__xludf.DUMMYFUNCTION("""COMPUTED_VALUE"""),"")</f>
        <v/>
      </c>
      <c r="G107" t="str">
        <f ca="1">IFERROR(__xludf.DUMMYFUNCTION("""COMPUTED_VALUE"""),"")</f>
        <v/>
      </c>
    </row>
    <row r="108" spans="1:7" ht="13.2" x14ac:dyDescent="0.25">
      <c r="A108" s="1" t="s">
        <v>14</v>
      </c>
      <c r="B108" t="str">
        <f ca="1">IFERROR(__xludf.DUMMYFUNCTION("""COMPUTED_VALUE"""),"")</f>
        <v/>
      </c>
      <c r="C108" t="str">
        <f ca="1">IFERROR(__xludf.DUMMYFUNCTION("""COMPUTED_VALUE"""),"")</f>
        <v/>
      </c>
      <c r="D108" t="str">
        <f ca="1">IFERROR(__xludf.DUMMYFUNCTION("""COMPUTED_VALUE"""),"")</f>
        <v/>
      </c>
      <c r="E108" t="str">
        <f ca="1">IFERROR(__xludf.DUMMYFUNCTION("""COMPUTED_VALUE"""),"")</f>
        <v/>
      </c>
      <c r="F108" t="str">
        <f ca="1">IFERROR(__xludf.DUMMYFUNCTION("""COMPUTED_VALUE"""),"")</f>
        <v/>
      </c>
      <c r="G108" t="str">
        <f ca="1">IFERROR(__xludf.DUMMYFUNCTION("""COMPUTED_VALUE"""),"")</f>
        <v/>
      </c>
    </row>
    <row r="109" spans="1:7" ht="13.2" x14ac:dyDescent="0.25">
      <c r="A109" s="1" t="s">
        <v>14</v>
      </c>
      <c r="B109" t="str">
        <f ca="1">IFERROR(__xludf.DUMMYFUNCTION("""COMPUTED_VALUE"""),"29 of 30 spots filled")</f>
        <v>29 of 30 spots filled</v>
      </c>
      <c r="C109" t="str">
        <f ca="1">IFERROR(__xludf.DUMMYFUNCTION("""COMPUTED_VALUE"""),"")</f>
        <v/>
      </c>
      <c r="D109" t="str">
        <f ca="1">IFERROR(__xludf.DUMMYFUNCTION("""COMPUTED_VALUE"""),"")</f>
        <v/>
      </c>
      <c r="E109" t="str">
        <f ca="1">IFERROR(__xludf.DUMMYFUNCTION("""COMPUTED_VALUE"""),"")</f>
        <v/>
      </c>
      <c r="F109" t="str">
        <f ca="1">IFERROR(__xludf.DUMMYFUNCTION("""COMPUTED_VALUE"""),"")</f>
        <v/>
      </c>
      <c r="G109" t="str">
        <f ca="1">IFERROR(__xludf.DUMMYFUNCTION("""COMPUTED_VALUE"""),"")</f>
        <v/>
      </c>
    </row>
    <row r="110" spans="1:7" ht="13.2" x14ac:dyDescent="0.25">
      <c r="A110" s="1" t="s">
        <v>14</v>
      </c>
    </row>
    <row r="111" spans="1:7" ht="13.2" x14ac:dyDescent="0.25">
      <c r="A111" s="1" t="s">
        <v>14</v>
      </c>
    </row>
    <row r="112" spans="1:7" ht="13.2" x14ac:dyDescent="0.25">
      <c r="A112" s="1" t="s">
        <v>14</v>
      </c>
    </row>
    <row r="114" spans="1:7" ht="13.2" x14ac:dyDescent="0.25">
      <c r="B114" t="str">
        <f ca="1">IFERROR(__xludf.DUMMYFUNCTION("IMPORTHTML(""http://www.mlssoccer.com/rosters/2018/columbus-crew-sc"", ""table"", 1)"),"30-man Active Roster (Spots 1-30)")</f>
        <v>30-man Active Roster (Spots 1-30)</v>
      </c>
      <c r="C114" t="str">
        <f ca="1">IFERROR(__xludf.DUMMYFUNCTION("""COMPUTED_VALUE"""),"#")</f>
        <v>#</v>
      </c>
      <c r="D114" t="str">
        <f ca="1">IFERROR(__xludf.DUMMYFUNCTION("""COMPUTED_VALUE"""),"POS")</f>
        <v>POS</v>
      </c>
      <c r="E114" t="str">
        <f ca="1">IFERROR(__xludf.DUMMYFUNCTION("""COMPUTED_VALUE"""),"ROSTER STATUSR.S.")</f>
        <v>ROSTER STATUSR.S.</v>
      </c>
      <c r="F114" t="str">
        <f ca="1">IFERROR(__xludf.DUMMYFUNCTION("""COMPUTED_VALUE"""),"PLAYER CATEGORYCAT.")</f>
        <v>PLAYER CATEGORYCAT.</v>
      </c>
      <c r="G114" t="str">
        <f ca="1">IFERROR(__xludf.DUMMYFUNCTION("""COMPUTED_VALUE"""),"*NOTE*")</f>
        <v>*NOTE*</v>
      </c>
    </row>
    <row r="115" spans="1:7" ht="13.2" x14ac:dyDescent="0.25">
      <c r="A115" s="1" t="s">
        <v>15</v>
      </c>
      <c r="B115" t="str">
        <f ca="1">IFERROR(__xludf.DUMMYFUNCTION("""COMPUTED_VALUE"""),"Abu, Mohammed")</f>
        <v>Abu, Mohammed</v>
      </c>
      <c r="C115">
        <f ca="1">IFERROR(__xludf.DUMMYFUNCTION("""COMPUTED_VALUE"""),5)</f>
        <v>5</v>
      </c>
      <c r="D115" t="str">
        <f ca="1">IFERROR(__xludf.DUMMYFUNCTION("""COMPUTED_VALUE"""),"M")</f>
        <v>M</v>
      </c>
      <c r="E115" t="str">
        <f ca="1">IFERROR(__xludf.DUMMYFUNCTION("""COMPUTED_VALUE"""),"SeniorSR, On loanOL")</f>
        <v>SeniorSR, On loanOL</v>
      </c>
      <c r="F115" t="str">
        <f ca="1">IFERROR(__xludf.DUMMYFUNCTION("""COMPUTED_VALUE"""),"")</f>
        <v/>
      </c>
      <c r="G115" t="str">
        <f ca="1">IFERROR(__xludf.DUMMYFUNCTION("""COMPUTED_VALUE"""),"*On loanOL*")</f>
        <v>*On loanOL*</v>
      </c>
    </row>
    <row r="116" spans="1:7" ht="13.2" x14ac:dyDescent="0.25">
      <c r="A116" s="1" t="s">
        <v>15</v>
      </c>
      <c r="B116" t="str">
        <f ca="1">IFERROR(__xludf.DUMMYFUNCTION("""COMPUTED_VALUE"""),"Abubakar, Lalas")</f>
        <v>Abubakar, Lalas</v>
      </c>
      <c r="C116">
        <f ca="1">IFERROR(__xludf.DUMMYFUNCTION("""COMPUTED_VALUE"""),17)</f>
        <v>17</v>
      </c>
      <c r="D116" t="str">
        <f ca="1">IFERROR(__xludf.DUMMYFUNCTION("""COMPUTED_VALUE"""),"D")</f>
        <v>D</v>
      </c>
      <c r="E116" t="str">
        <f ca="1">IFERROR(__xludf.DUMMYFUNCTION("""COMPUTED_VALUE"""),"SeniorSR")</f>
        <v>SeniorSR</v>
      </c>
      <c r="F116" t="str">
        <f ca="1">IFERROR(__xludf.DUMMYFUNCTION("""COMPUTED_VALUE"""),"")</f>
        <v/>
      </c>
      <c r="G116" t="str">
        <f ca="1">IFERROR(__xludf.DUMMYFUNCTION("""COMPUTED_VALUE"""),"")</f>
        <v/>
      </c>
    </row>
    <row r="117" spans="1:7" ht="13.2" x14ac:dyDescent="0.25">
      <c r="A117" s="1" t="s">
        <v>15</v>
      </c>
      <c r="B117" t="str">
        <f ca="1">IFERROR(__xludf.DUMMYFUNCTION("""COMPUTED_VALUE"""),"Afful, Harrison")</f>
        <v>Afful, Harrison</v>
      </c>
      <c r="C117">
        <f ca="1">IFERROR(__xludf.DUMMYFUNCTION("""COMPUTED_VALUE"""),25)</f>
        <v>25</v>
      </c>
      <c r="D117" t="str">
        <f ca="1">IFERROR(__xludf.DUMMYFUNCTION("""COMPUTED_VALUE"""),"D")</f>
        <v>D</v>
      </c>
      <c r="E117" t="str">
        <f ca="1">IFERROR(__xludf.DUMMYFUNCTION("""COMPUTED_VALUE"""),"SeniorSR")</f>
        <v>SeniorSR</v>
      </c>
      <c r="F117" t="str">
        <f ca="1">IFERROR(__xludf.DUMMYFUNCTION("""COMPUTED_VALUE"""),"")</f>
        <v/>
      </c>
      <c r="G117" t="str">
        <f ca="1">IFERROR(__xludf.DUMMYFUNCTION("""COMPUTED_VALUE"""),"")</f>
        <v/>
      </c>
    </row>
    <row r="118" spans="1:7" ht="13.2" x14ac:dyDescent="0.25">
      <c r="A118" s="1" t="s">
        <v>15</v>
      </c>
      <c r="B118" t="str">
        <f ca="1">IFERROR(__xludf.DUMMYFUNCTION("""COMPUTED_VALUE"""),"Argudo, Luis")</f>
        <v>Argudo, Luis</v>
      </c>
      <c r="C118">
        <f ca="1">IFERROR(__xludf.DUMMYFUNCTION("""COMPUTED_VALUE"""),26)</f>
        <v>26</v>
      </c>
      <c r="D118" t="str">
        <f ca="1">IFERROR(__xludf.DUMMYFUNCTION("""COMPUTED_VALUE"""),"M")</f>
        <v>M</v>
      </c>
      <c r="E118" t="str">
        <f ca="1">IFERROR(__xludf.DUMMYFUNCTION("""COMPUTED_VALUE"""),"ReserveRES")</f>
        <v>ReserveRES</v>
      </c>
      <c r="F118" t="str">
        <f ca="1">IFERROR(__xludf.DUMMYFUNCTION("""COMPUTED_VALUE"""),"")</f>
        <v/>
      </c>
      <c r="G118" t="str">
        <f ca="1">IFERROR(__xludf.DUMMYFUNCTION("""COMPUTED_VALUE"""),"")</f>
        <v/>
      </c>
    </row>
    <row r="119" spans="1:7" ht="13.2" x14ac:dyDescent="0.25">
      <c r="A119" s="1" t="s">
        <v>15</v>
      </c>
      <c r="B119" t="str">
        <f ca="1">IFERROR(__xludf.DUMMYFUNCTION("""COMPUTED_VALUE"""),"Artur")</f>
        <v>Artur</v>
      </c>
      <c r="C119">
        <f ca="1">IFERROR(__xludf.DUMMYFUNCTION("""COMPUTED_VALUE"""),8)</f>
        <v>8</v>
      </c>
      <c r="D119" t="str">
        <f ca="1">IFERROR(__xludf.DUMMYFUNCTION("""COMPUTED_VALUE"""),"M")</f>
        <v>M</v>
      </c>
      <c r="E119" t="str">
        <f ca="1">IFERROR(__xludf.DUMMYFUNCTION("""COMPUTED_VALUE"""),"SeniorSR")</f>
        <v>SeniorSR</v>
      </c>
      <c r="F119" t="str">
        <f ca="1">IFERROR(__xludf.DUMMYFUNCTION("""COMPUTED_VALUE"""),"INTL")</f>
        <v>INTL</v>
      </c>
      <c r="G119" t="str">
        <f ca="1">IFERROR(__xludf.DUMMYFUNCTION("""COMPUTED_VALUE"""),"")</f>
        <v/>
      </c>
    </row>
    <row r="120" spans="1:7" ht="13.2" x14ac:dyDescent="0.25">
      <c r="A120" s="1" t="s">
        <v>15</v>
      </c>
      <c r="B120" t="str">
        <f ca="1">IFERROR(__xludf.DUMMYFUNCTION("""COMPUTED_VALUE"""),"Clark, Ricardo")</f>
        <v>Clark, Ricardo</v>
      </c>
      <c r="C120">
        <f ca="1">IFERROR(__xludf.DUMMYFUNCTION("""COMPUTED_VALUE"""),2)</f>
        <v>2</v>
      </c>
      <c r="D120" t="str">
        <f ca="1">IFERROR(__xludf.DUMMYFUNCTION("""COMPUTED_VALUE"""),"M")</f>
        <v>M</v>
      </c>
      <c r="E120" t="str">
        <f ca="1">IFERROR(__xludf.DUMMYFUNCTION("""COMPUTED_VALUE"""),"SeniorSR")</f>
        <v>SeniorSR</v>
      </c>
      <c r="F120" t="str">
        <f ca="1">IFERROR(__xludf.DUMMYFUNCTION("""COMPUTED_VALUE"""),"")</f>
        <v/>
      </c>
      <c r="G120" t="str">
        <f ca="1">IFERROR(__xludf.DUMMYFUNCTION("""COMPUTED_VALUE"""),"")</f>
        <v/>
      </c>
    </row>
    <row r="121" spans="1:7" ht="13.2" x14ac:dyDescent="0.25">
      <c r="A121" s="1" t="s">
        <v>15</v>
      </c>
      <c r="B121" t="str">
        <f ca="1">IFERROR(__xludf.DUMMYFUNCTION("""COMPUTED_VALUE"""),"Crognale, Alex")</f>
        <v>Crognale, Alex</v>
      </c>
      <c r="C121">
        <f ca="1">IFERROR(__xludf.DUMMYFUNCTION("""COMPUTED_VALUE"""),21)</f>
        <v>21</v>
      </c>
      <c r="D121" t="str">
        <f ca="1">IFERROR(__xludf.DUMMYFUNCTION("""COMPUTED_VALUE"""),"D")</f>
        <v>D</v>
      </c>
      <c r="E121" t="str">
        <f ca="1">IFERROR(__xludf.DUMMYFUNCTION("""COMPUTED_VALUE"""),"ReserveRES")</f>
        <v>ReserveRES</v>
      </c>
      <c r="F121" t="str">
        <f ca="1">IFERROR(__xludf.DUMMYFUNCTION("""COMPUTED_VALUE"""),"HG")</f>
        <v>HG</v>
      </c>
      <c r="G121" t="str">
        <f ca="1">IFERROR(__xludf.DUMMYFUNCTION("""COMPUTED_VALUE"""),"")</f>
        <v/>
      </c>
    </row>
    <row r="122" spans="1:7" ht="13.2" x14ac:dyDescent="0.25">
      <c r="A122" s="1" t="s">
        <v>15</v>
      </c>
      <c r="B122" t="str">
        <f ca="1">IFERROR(__xludf.DUMMYFUNCTION("""COMPUTED_VALUE"""),"Grella, Mike")</f>
        <v>Grella, Mike</v>
      </c>
      <c r="C122">
        <f ca="1">IFERROR(__xludf.DUMMYFUNCTION("""COMPUTED_VALUE"""),13)</f>
        <v>13</v>
      </c>
      <c r="D122" t="str">
        <f ca="1">IFERROR(__xludf.DUMMYFUNCTION("""COMPUTED_VALUE"""),"M")</f>
        <v>M</v>
      </c>
      <c r="E122" t="str">
        <f ca="1">IFERROR(__xludf.DUMMYFUNCTION("""COMPUTED_VALUE"""),"SeniorSR")</f>
        <v>SeniorSR</v>
      </c>
      <c r="F122" t="str">
        <f ca="1">IFERROR(__xludf.DUMMYFUNCTION("""COMPUTED_VALUE"""),"")</f>
        <v/>
      </c>
      <c r="G122" t="str">
        <f ca="1">IFERROR(__xludf.DUMMYFUNCTION("""COMPUTED_VALUE"""),"")</f>
        <v/>
      </c>
    </row>
    <row r="123" spans="1:7" ht="13.2" x14ac:dyDescent="0.25">
      <c r="A123" s="1" t="s">
        <v>15</v>
      </c>
      <c r="B123" t="str">
        <f ca="1">IFERROR(__xludf.DUMMYFUNCTION("""COMPUTED_VALUE"""),"Hansen, Niko")</f>
        <v>Hansen, Niko</v>
      </c>
      <c r="C123">
        <f ca="1">IFERROR(__xludf.DUMMYFUNCTION("""COMPUTED_VALUE"""),28)</f>
        <v>28</v>
      </c>
      <c r="D123" t="str">
        <f ca="1">IFERROR(__xludf.DUMMYFUNCTION("""COMPUTED_VALUE"""),"M")</f>
        <v>M</v>
      </c>
      <c r="E123" t="str">
        <f ca="1">IFERROR(__xludf.DUMMYFUNCTION("""COMPUTED_VALUE"""),"SupplementalSUP")</f>
        <v>SupplementalSUP</v>
      </c>
      <c r="F123" t="str">
        <f ca="1">IFERROR(__xludf.DUMMYFUNCTION("""COMPUTED_VALUE"""),"")</f>
        <v/>
      </c>
      <c r="G123" t="str">
        <f ca="1">IFERROR(__xludf.DUMMYFUNCTION("""COMPUTED_VALUE"""),"")</f>
        <v/>
      </c>
    </row>
    <row r="124" spans="1:7" ht="13.2" x14ac:dyDescent="0.25">
      <c r="A124" s="1" t="s">
        <v>15</v>
      </c>
      <c r="B124" t="str">
        <f ca="1">IFERROR(__xludf.DUMMYFUNCTION("""COMPUTED_VALUE"""),"Higuain, Federico")</f>
        <v>Higuain, Federico</v>
      </c>
      <c r="C124">
        <f ca="1">IFERROR(__xludf.DUMMYFUNCTION("""COMPUTED_VALUE"""),10)</f>
        <v>10</v>
      </c>
      <c r="D124" t="str">
        <f ca="1">IFERROR(__xludf.DUMMYFUNCTION("""COMPUTED_VALUE"""),"M")</f>
        <v>M</v>
      </c>
      <c r="E124" t="str">
        <f ca="1">IFERROR(__xludf.DUMMYFUNCTION("""COMPUTED_VALUE"""),"SeniorSR")</f>
        <v>SeniorSR</v>
      </c>
      <c r="F124" t="str">
        <f ca="1">IFERROR(__xludf.DUMMYFUNCTION("""COMPUTED_VALUE"""),"DP")</f>
        <v>DP</v>
      </c>
      <c r="G124" t="str">
        <f ca="1">IFERROR(__xludf.DUMMYFUNCTION("""COMPUTED_VALUE"""),"")</f>
        <v/>
      </c>
    </row>
    <row r="125" spans="1:7" ht="13.2" x14ac:dyDescent="0.25">
      <c r="A125" s="1" t="s">
        <v>15</v>
      </c>
      <c r="B125" t="str">
        <f ca="1">IFERROR(__xludf.DUMMYFUNCTION("""COMPUTED_VALUE"""),"Jahn, Adam")</f>
        <v>Jahn, Adam</v>
      </c>
      <c r="C125">
        <f ca="1">IFERROR(__xludf.DUMMYFUNCTION("""COMPUTED_VALUE"""),14)</f>
        <v>14</v>
      </c>
      <c r="D125" t="str">
        <f ca="1">IFERROR(__xludf.DUMMYFUNCTION("""COMPUTED_VALUE"""),"F")</f>
        <v>F</v>
      </c>
      <c r="E125" t="str">
        <f ca="1">IFERROR(__xludf.DUMMYFUNCTION("""COMPUTED_VALUE"""),"SeniorSR, On loanOL")</f>
        <v>SeniorSR, On loanOL</v>
      </c>
      <c r="F125" t="str">
        <f ca="1">IFERROR(__xludf.DUMMYFUNCTION("""COMPUTED_VALUE"""),"")</f>
        <v/>
      </c>
      <c r="G125" t="str">
        <f ca="1">IFERROR(__xludf.DUMMYFUNCTION("""COMPUTED_VALUE"""),"*On loanOL*")</f>
        <v>*On loanOL*</v>
      </c>
    </row>
    <row r="126" spans="1:7" ht="13.2" x14ac:dyDescent="0.25">
      <c r="A126" s="1" t="s">
        <v>15</v>
      </c>
      <c r="B126" t="str">
        <f ca="1">IFERROR(__xludf.DUMMYFUNCTION("""COMPUTED_VALUE"""),"Jimenez, Hector")</f>
        <v>Jimenez, Hector</v>
      </c>
      <c r="C126">
        <f ca="1">IFERROR(__xludf.DUMMYFUNCTION("""COMPUTED_VALUE"""),16)</f>
        <v>16</v>
      </c>
      <c r="D126" t="str">
        <f ca="1">IFERROR(__xludf.DUMMYFUNCTION("""COMPUTED_VALUE"""),"M")</f>
        <v>M</v>
      </c>
      <c r="E126" t="str">
        <f ca="1">IFERROR(__xludf.DUMMYFUNCTION("""COMPUTED_VALUE"""),"SeniorSR")</f>
        <v>SeniorSR</v>
      </c>
      <c r="F126" t="str">
        <f ca="1">IFERROR(__xludf.DUMMYFUNCTION("""COMPUTED_VALUE"""),"")</f>
        <v/>
      </c>
      <c r="G126" t="str">
        <f ca="1">IFERROR(__xludf.DUMMYFUNCTION("""COMPUTED_VALUE"""),"")</f>
        <v/>
      </c>
    </row>
    <row r="127" spans="1:7" ht="13.2" x14ac:dyDescent="0.25">
      <c r="A127" s="1" t="s">
        <v>15</v>
      </c>
      <c r="B127" t="str">
        <f ca="1">IFERROR(__xludf.DUMMYFUNCTION("""COMPUTED_VALUE"""),"Kempin, Jon")</f>
        <v>Kempin, Jon</v>
      </c>
      <c r="C127">
        <f ca="1">IFERROR(__xludf.DUMMYFUNCTION("""COMPUTED_VALUE"""),24)</f>
        <v>24</v>
      </c>
      <c r="D127" t="str">
        <f ca="1">IFERROR(__xludf.DUMMYFUNCTION("""COMPUTED_VALUE"""),"GK")</f>
        <v>GK</v>
      </c>
      <c r="E127" t="str">
        <f ca="1">IFERROR(__xludf.DUMMYFUNCTION("""COMPUTED_VALUE"""),"SupplementalSUP")</f>
        <v>SupplementalSUP</v>
      </c>
      <c r="F127" t="str">
        <f ca="1">IFERROR(__xludf.DUMMYFUNCTION("""COMPUTED_VALUE"""),"")</f>
        <v/>
      </c>
      <c r="G127" t="str">
        <f ca="1">IFERROR(__xludf.DUMMYFUNCTION("""COMPUTED_VALUE"""),"")</f>
        <v/>
      </c>
    </row>
    <row r="128" spans="1:7" ht="13.2" x14ac:dyDescent="0.25">
      <c r="A128" s="1" t="s">
        <v>15</v>
      </c>
      <c r="B128" t="str">
        <f ca="1">IFERROR(__xludf.DUMMYFUNCTION("""COMPUTED_VALUE"""),"Ketterer, Logan")</f>
        <v>Ketterer, Logan</v>
      </c>
      <c r="C128">
        <f ca="1">IFERROR(__xludf.DUMMYFUNCTION("""COMPUTED_VALUE"""),30)</f>
        <v>30</v>
      </c>
      <c r="D128" t="str">
        <f ca="1">IFERROR(__xludf.DUMMYFUNCTION("""COMPUTED_VALUE"""),"GK")</f>
        <v>GK</v>
      </c>
      <c r="E128" t="str">
        <f ca="1">IFERROR(__xludf.DUMMYFUNCTION("""COMPUTED_VALUE"""),"ReserveRES")</f>
        <v>ReserveRES</v>
      </c>
      <c r="F128" t="str">
        <f ca="1">IFERROR(__xludf.DUMMYFUNCTION("""COMPUTED_VALUE"""),"")</f>
        <v/>
      </c>
      <c r="G128" t="str">
        <f ca="1">IFERROR(__xludf.DUMMYFUNCTION("""COMPUTED_VALUE"""),"")</f>
        <v/>
      </c>
    </row>
    <row r="129" spans="1:7" ht="13.2" x14ac:dyDescent="0.25">
      <c r="A129" s="1" t="s">
        <v>15</v>
      </c>
      <c r="B129" t="str">
        <f ca="1">IFERROR(__xludf.DUMMYFUNCTION("""COMPUTED_VALUE"""),"Maloney, Connor")</f>
        <v>Maloney, Connor</v>
      </c>
      <c r="C129">
        <f ca="1">IFERROR(__xludf.DUMMYFUNCTION("""COMPUTED_VALUE"""),31)</f>
        <v>31</v>
      </c>
      <c r="D129" t="str">
        <f ca="1">IFERROR(__xludf.DUMMYFUNCTION("""COMPUTED_VALUE"""),"D")</f>
        <v>D</v>
      </c>
      <c r="E129" t="str">
        <f ca="1">IFERROR(__xludf.DUMMYFUNCTION("""COMPUTED_VALUE"""),"ReserveRES")</f>
        <v>ReserveRES</v>
      </c>
      <c r="F129" t="str">
        <f ca="1">IFERROR(__xludf.DUMMYFUNCTION("""COMPUTED_VALUE"""),"")</f>
        <v/>
      </c>
      <c r="G129" t="str">
        <f ca="1">IFERROR(__xludf.DUMMYFUNCTION("""COMPUTED_VALUE"""),"")</f>
        <v/>
      </c>
    </row>
    <row r="130" spans="1:7" ht="13.2" x14ac:dyDescent="0.25">
      <c r="A130" s="1" t="s">
        <v>15</v>
      </c>
      <c r="B130" t="str">
        <f ca="1">IFERROR(__xludf.DUMMYFUNCTION("""COMPUTED_VALUE"""),"Martinez, Cristian")</f>
        <v>Martinez, Cristian</v>
      </c>
      <c r="C130">
        <f ca="1">IFERROR(__xludf.DUMMYFUNCTION("""COMPUTED_VALUE"""),18)</f>
        <v>18</v>
      </c>
      <c r="D130" t="str">
        <f ca="1">IFERROR(__xludf.DUMMYFUNCTION("""COMPUTED_VALUE"""),"M")</f>
        <v>M</v>
      </c>
      <c r="E130" t="str">
        <f ca="1">IFERROR(__xludf.DUMMYFUNCTION("""COMPUTED_VALUE"""),"SeniorSR")</f>
        <v>SeniorSR</v>
      </c>
      <c r="F130" t="str">
        <f ca="1">IFERROR(__xludf.DUMMYFUNCTION("""COMPUTED_VALUE"""),"")</f>
        <v/>
      </c>
      <c r="G130" t="str">
        <f ca="1">IFERROR(__xludf.DUMMYFUNCTION("""COMPUTED_VALUE"""),"")</f>
        <v/>
      </c>
    </row>
    <row r="131" spans="1:7" ht="13.2" x14ac:dyDescent="0.25">
      <c r="A131" s="1" t="s">
        <v>15</v>
      </c>
      <c r="B131" t="str">
        <f ca="1">IFERROR(__xludf.DUMMYFUNCTION("""COMPUTED_VALUE"""),"Mensah, Jonathan")</f>
        <v>Mensah, Jonathan</v>
      </c>
      <c r="C131">
        <f ca="1">IFERROR(__xludf.DUMMYFUNCTION("""COMPUTED_VALUE"""),4)</f>
        <v>4</v>
      </c>
      <c r="D131" t="str">
        <f ca="1">IFERROR(__xludf.DUMMYFUNCTION("""COMPUTED_VALUE"""),"D")</f>
        <v>D</v>
      </c>
      <c r="E131" t="str">
        <f ca="1">IFERROR(__xludf.DUMMYFUNCTION("""COMPUTED_VALUE"""),"SeniorSR")</f>
        <v>SeniorSR</v>
      </c>
      <c r="F131" t="str">
        <f ca="1">IFERROR(__xludf.DUMMYFUNCTION("""COMPUTED_VALUE"""),"")</f>
        <v/>
      </c>
      <c r="G131" t="str">
        <f ca="1">IFERROR(__xludf.DUMMYFUNCTION("""COMPUTED_VALUE"""),"")</f>
        <v/>
      </c>
    </row>
    <row r="132" spans="1:7" ht="13.2" x14ac:dyDescent="0.25">
      <c r="A132" s="1" t="s">
        <v>15</v>
      </c>
      <c r="B132" t="str">
        <f ca="1">IFERROR(__xludf.DUMMYFUNCTION("""COMPUTED_VALUE"""),"Meram, Justin")</f>
        <v>Meram, Justin</v>
      </c>
      <c r="C132">
        <f ca="1">IFERROR(__xludf.DUMMYFUNCTION("""COMPUTED_VALUE"""),9)</f>
        <v>9</v>
      </c>
      <c r="D132" t="str">
        <f ca="1">IFERROR(__xludf.DUMMYFUNCTION("""COMPUTED_VALUE"""),"M")</f>
        <v>M</v>
      </c>
      <c r="E132" t="str">
        <f ca="1">IFERROR(__xludf.DUMMYFUNCTION("""COMPUTED_VALUE"""),"SeniorSR")</f>
        <v>SeniorSR</v>
      </c>
      <c r="F132" t="str">
        <f ca="1">IFERROR(__xludf.DUMMYFUNCTION("""COMPUTED_VALUE"""),"")</f>
        <v/>
      </c>
      <c r="G132" t="str">
        <f ca="1">IFERROR(__xludf.DUMMYFUNCTION("""COMPUTED_VALUE"""),"")</f>
        <v/>
      </c>
    </row>
    <row r="133" spans="1:7" ht="13.2" x14ac:dyDescent="0.25">
      <c r="A133" s="1" t="s">
        <v>15</v>
      </c>
      <c r="B133" t="str">
        <f ca="1">IFERROR(__xludf.DUMMYFUNCTION("""COMPUTED_VALUE"""),"Mullins, Patrick")</f>
        <v>Mullins, Patrick</v>
      </c>
      <c r="C133">
        <f ca="1">IFERROR(__xludf.DUMMYFUNCTION("""COMPUTED_VALUE"""),32)</f>
        <v>32</v>
      </c>
      <c r="D133" t="str">
        <f ca="1">IFERROR(__xludf.DUMMYFUNCTION("""COMPUTED_VALUE"""),"F")</f>
        <v>F</v>
      </c>
      <c r="E133" t="str">
        <f ca="1">IFERROR(__xludf.DUMMYFUNCTION("""COMPUTED_VALUE"""),"SeniorSR")</f>
        <v>SeniorSR</v>
      </c>
      <c r="F133" t="str">
        <f ca="1">IFERROR(__xludf.DUMMYFUNCTION("""COMPUTED_VALUE"""),"")</f>
        <v/>
      </c>
      <c r="G133" t="str">
        <f ca="1">IFERROR(__xludf.DUMMYFUNCTION("""COMPUTED_VALUE"""),"")</f>
        <v/>
      </c>
    </row>
    <row r="134" spans="1:7" ht="13.2" x14ac:dyDescent="0.25">
      <c r="A134" s="1" t="s">
        <v>15</v>
      </c>
      <c r="B134" t="str">
        <f ca="1">IFERROR(__xludf.DUMMYFUNCTION("""COMPUTED_VALUE"""),"Opoku, Edward")</f>
        <v>Opoku, Edward</v>
      </c>
      <c r="C134">
        <f ca="1">IFERROR(__xludf.DUMMYFUNCTION("""COMPUTED_VALUE"""),27)</f>
        <v>27</v>
      </c>
      <c r="D134" t="str">
        <f ca="1">IFERROR(__xludf.DUMMYFUNCTION("""COMPUTED_VALUE"""),"F")</f>
        <v>F</v>
      </c>
      <c r="E134" t="str">
        <f ca="1">IFERROR(__xludf.DUMMYFUNCTION("""COMPUTED_VALUE"""),"SupplementalSUP")</f>
        <v>SupplementalSUP</v>
      </c>
      <c r="F134" t="str">
        <f ca="1">IFERROR(__xludf.DUMMYFUNCTION("""COMPUTED_VALUE"""),"INTL, GA")</f>
        <v>INTL, GA</v>
      </c>
      <c r="G134" t="str">
        <f ca="1">IFERROR(__xludf.DUMMYFUNCTION("""COMPUTED_VALUE"""),"")</f>
        <v/>
      </c>
    </row>
    <row r="135" spans="1:7" ht="13.2" x14ac:dyDescent="0.25">
      <c r="A135" s="1" t="s">
        <v>15</v>
      </c>
      <c r="B135" t="str">
        <f ca="1">IFERROR(__xludf.DUMMYFUNCTION("""COMPUTED_VALUE"""),"Santos, Pedro")</f>
        <v>Santos, Pedro</v>
      </c>
      <c r="C135">
        <f ca="1">IFERROR(__xludf.DUMMYFUNCTION("""COMPUTED_VALUE"""),7)</f>
        <v>7</v>
      </c>
      <c r="D135" t="str">
        <f ca="1">IFERROR(__xludf.DUMMYFUNCTION("""COMPUTED_VALUE"""),"M")</f>
        <v>M</v>
      </c>
      <c r="E135" t="str">
        <f ca="1">IFERROR(__xludf.DUMMYFUNCTION("""COMPUTED_VALUE"""),"SeniorSR")</f>
        <v>SeniorSR</v>
      </c>
      <c r="F135" t="str">
        <f ca="1">IFERROR(__xludf.DUMMYFUNCTION("""COMPUTED_VALUE"""),"DP, INTL")</f>
        <v>DP, INTL</v>
      </c>
      <c r="G135" t="str">
        <f ca="1">IFERROR(__xludf.DUMMYFUNCTION("""COMPUTED_VALUE"""),"")</f>
        <v/>
      </c>
    </row>
    <row r="136" spans="1:7" ht="13.2" x14ac:dyDescent="0.25">
      <c r="A136" s="1" t="s">
        <v>15</v>
      </c>
      <c r="B136" t="str">
        <f ca="1">IFERROR(__xludf.DUMMYFUNCTION("""COMPUTED_VALUE"""),"Sauro, Gaston")</f>
        <v>Sauro, Gaston</v>
      </c>
      <c r="C136">
        <f ca="1">IFERROR(__xludf.DUMMYFUNCTION("""COMPUTED_VALUE"""),22)</f>
        <v>22</v>
      </c>
      <c r="D136" t="str">
        <f ca="1">IFERROR(__xludf.DUMMYFUNCTION("""COMPUTED_VALUE"""),"D")</f>
        <v>D</v>
      </c>
      <c r="E136" t="str">
        <f ca="1">IFERROR(__xludf.DUMMYFUNCTION("""COMPUTED_VALUE"""),"SupplementalSUP")</f>
        <v>SupplementalSUP</v>
      </c>
      <c r="F136" t="str">
        <f ca="1">IFERROR(__xludf.DUMMYFUNCTION("""COMPUTED_VALUE"""),"")</f>
        <v/>
      </c>
      <c r="G136" t="str">
        <f ca="1">IFERROR(__xludf.DUMMYFUNCTION("""COMPUTED_VALUE"""),"")</f>
        <v/>
      </c>
    </row>
    <row r="137" spans="1:7" ht="13.2" x14ac:dyDescent="0.25">
      <c r="A137" s="1" t="s">
        <v>15</v>
      </c>
      <c r="B137" t="str">
        <f ca="1">IFERROR(__xludf.DUMMYFUNCTION("""COMPUTED_VALUE"""),"Sosa, Eduardo")</f>
        <v>Sosa, Eduardo</v>
      </c>
      <c r="C137">
        <f ca="1">IFERROR(__xludf.DUMMYFUNCTION("""COMPUTED_VALUE"""),20)</f>
        <v>20</v>
      </c>
      <c r="D137" t="str">
        <f ca="1">IFERROR(__xludf.DUMMYFUNCTION("""COMPUTED_VALUE"""),"M")</f>
        <v>M</v>
      </c>
      <c r="E137" t="str">
        <f ca="1">IFERROR(__xludf.DUMMYFUNCTION("""COMPUTED_VALUE"""),"SeniorSR")</f>
        <v>SeniorSR</v>
      </c>
      <c r="F137" t="str">
        <f ca="1">IFERROR(__xludf.DUMMYFUNCTION("""COMPUTED_VALUE"""),"INTL")</f>
        <v>INTL</v>
      </c>
      <c r="G137" t="str">
        <f ca="1">IFERROR(__xludf.DUMMYFUNCTION("""COMPUTED_VALUE"""),"")</f>
        <v/>
      </c>
    </row>
    <row r="138" spans="1:7" ht="13.2" x14ac:dyDescent="0.25">
      <c r="A138" s="1" t="s">
        <v>15</v>
      </c>
      <c r="B138" t="str">
        <f ca="1">IFERROR(__xludf.DUMMYFUNCTION("""COMPUTED_VALUE"""),"Steffen, Zack")</f>
        <v>Steffen, Zack</v>
      </c>
      <c r="C138">
        <f ca="1">IFERROR(__xludf.DUMMYFUNCTION("""COMPUTED_VALUE"""),23)</f>
        <v>23</v>
      </c>
      <c r="D138" t="str">
        <f ca="1">IFERROR(__xludf.DUMMYFUNCTION("""COMPUTED_VALUE"""),"GK")</f>
        <v>GK</v>
      </c>
      <c r="E138" t="str">
        <f ca="1">IFERROR(__xludf.DUMMYFUNCTION("""COMPUTED_VALUE"""),"SeniorSR")</f>
        <v>SeniorSR</v>
      </c>
      <c r="F138" t="str">
        <f ca="1">IFERROR(__xludf.DUMMYFUNCTION("""COMPUTED_VALUE"""),"")</f>
        <v/>
      </c>
      <c r="G138" t="str">
        <f ca="1">IFERROR(__xludf.DUMMYFUNCTION("""COMPUTED_VALUE"""),"")</f>
        <v/>
      </c>
    </row>
    <row r="139" spans="1:7" ht="13.2" x14ac:dyDescent="0.25">
      <c r="A139" s="1" t="s">
        <v>15</v>
      </c>
      <c r="B139" t="str">
        <f ca="1">IFERROR(__xludf.DUMMYFUNCTION("""COMPUTED_VALUE"""),"Trapp, Wil")</f>
        <v>Trapp, Wil</v>
      </c>
      <c r="C139">
        <f ca="1">IFERROR(__xludf.DUMMYFUNCTION("""COMPUTED_VALUE"""),6)</f>
        <v>6</v>
      </c>
      <c r="D139" t="str">
        <f ca="1">IFERROR(__xludf.DUMMYFUNCTION("""COMPUTED_VALUE"""),"M")</f>
        <v>M</v>
      </c>
      <c r="E139" t="str">
        <f ca="1">IFERROR(__xludf.DUMMYFUNCTION("""COMPUTED_VALUE"""),"SeniorSR")</f>
        <v>SeniorSR</v>
      </c>
      <c r="F139" t="str">
        <f ca="1">IFERROR(__xludf.DUMMYFUNCTION("""COMPUTED_VALUE"""),"HG")</f>
        <v>HG</v>
      </c>
      <c r="G139" t="str">
        <f ca="1">IFERROR(__xludf.DUMMYFUNCTION("""COMPUTED_VALUE"""),"")</f>
        <v/>
      </c>
    </row>
    <row r="140" spans="1:7" ht="13.2" x14ac:dyDescent="0.25">
      <c r="A140" s="1" t="s">
        <v>15</v>
      </c>
      <c r="B140" t="str">
        <f ca="1">IFERROR(__xludf.DUMMYFUNCTION("""COMPUTED_VALUE"""),"Valenzuela, Milton")</f>
        <v>Valenzuela, Milton</v>
      </c>
      <c r="C140">
        <f ca="1">IFERROR(__xludf.DUMMYFUNCTION("""COMPUTED_VALUE"""),19)</f>
        <v>19</v>
      </c>
      <c r="D140" t="str">
        <f ca="1">IFERROR(__xludf.DUMMYFUNCTION("""COMPUTED_VALUE"""),"D")</f>
        <v>D</v>
      </c>
      <c r="E140" t="str">
        <f ca="1">IFERROR(__xludf.DUMMYFUNCTION("""COMPUTED_VALUE"""),"SeniorSR")</f>
        <v>SeniorSR</v>
      </c>
      <c r="F140" t="str">
        <f ca="1">IFERROR(__xludf.DUMMYFUNCTION("""COMPUTED_VALUE"""),"DP, INTL")</f>
        <v>DP, INTL</v>
      </c>
      <c r="G140" t="str">
        <f ca="1">IFERROR(__xludf.DUMMYFUNCTION("""COMPUTED_VALUE"""),"")</f>
        <v/>
      </c>
    </row>
    <row r="141" spans="1:7" ht="13.2" x14ac:dyDescent="0.25">
      <c r="A141" s="1" t="s">
        <v>15</v>
      </c>
      <c r="B141" t="str">
        <f ca="1">IFERROR(__xludf.DUMMYFUNCTION("""COMPUTED_VALUE"""),"Williams, Josh")</f>
        <v>Williams, Josh</v>
      </c>
      <c r="C141">
        <f ca="1">IFERROR(__xludf.DUMMYFUNCTION("""COMPUTED_VALUE"""),3)</f>
        <v>3</v>
      </c>
      <c r="D141" t="str">
        <f ca="1">IFERROR(__xludf.DUMMYFUNCTION("""COMPUTED_VALUE"""),"D")</f>
        <v>D</v>
      </c>
      <c r="E141" t="str">
        <f ca="1">IFERROR(__xludf.DUMMYFUNCTION("""COMPUTED_VALUE"""),"SeniorSR")</f>
        <v>SeniorSR</v>
      </c>
      <c r="F141" t="str">
        <f ca="1">IFERROR(__xludf.DUMMYFUNCTION("""COMPUTED_VALUE"""),"")</f>
        <v/>
      </c>
      <c r="G141" t="str">
        <f ca="1">IFERROR(__xludf.DUMMYFUNCTION("""COMPUTED_VALUE"""),"")</f>
        <v/>
      </c>
    </row>
    <row r="142" spans="1:7" ht="13.2" x14ac:dyDescent="0.25">
      <c r="A142" s="1" t="s">
        <v>15</v>
      </c>
      <c r="B142" t="str">
        <f ca="1">IFERROR(__xludf.DUMMYFUNCTION("""COMPUTED_VALUE"""),"Zardes, Gyasi")</f>
        <v>Zardes, Gyasi</v>
      </c>
      <c r="C142">
        <f ca="1">IFERROR(__xludf.DUMMYFUNCTION("""COMPUTED_VALUE"""),11)</f>
        <v>11</v>
      </c>
      <c r="D142" t="str">
        <f ca="1">IFERROR(__xludf.DUMMYFUNCTION("""COMPUTED_VALUE"""),"F")</f>
        <v>F</v>
      </c>
      <c r="E142" t="str">
        <f ca="1">IFERROR(__xludf.DUMMYFUNCTION("""COMPUTED_VALUE"""),"SeniorSR")</f>
        <v>SeniorSR</v>
      </c>
      <c r="F142" t="str">
        <f ca="1">IFERROR(__xludf.DUMMYFUNCTION("""COMPUTED_VALUE"""),"")</f>
        <v/>
      </c>
      <c r="G142" t="str">
        <f ca="1">IFERROR(__xludf.DUMMYFUNCTION("""COMPUTED_VALUE"""),"")</f>
        <v/>
      </c>
    </row>
    <row r="143" spans="1:7" ht="13.2" x14ac:dyDescent="0.25">
      <c r="A143" s="1" t="s">
        <v>15</v>
      </c>
      <c r="B143" t="str">
        <f ca="1">IFERROR(__xludf.DUMMYFUNCTION("""COMPUTED_VALUE"""),"")</f>
        <v/>
      </c>
      <c r="C143" t="str">
        <f ca="1">IFERROR(__xludf.DUMMYFUNCTION("""COMPUTED_VALUE"""),"")</f>
        <v/>
      </c>
      <c r="D143" t="str">
        <f ca="1">IFERROR(__xludf.DUMMYFUNCTION("""COMPUTED_VALUE"""),"")</f>
        <v/>
      </c>
      <c r="E143" t="str">
        <f ca="1">IFERROR(__xludf.DUMMYFUNCTION("""COMPUTED_VALUE"""),"")</f>
        <v/>
      </c>
      <c r="F143" t="str">
        <f ca="1">IFERROR(__xludf.DUMMYFUNCTION("""COMPUTED_VALUE"""),"")</f>
        <v/>
      </c>
      <c r="G143" t="str">
        <f ca="1">IFERROR(__xludf.DUMMYFUNCTION("""COMPUTED_VALUE"""),"")</f>
        <v/>
      </c>
    </row>
    <row r="144" spans="1:7" ht="13.2" x14ac:dyDescent="0.25">
      <c r="A144" s="1" t="s">
        <v>15</v>
      </c>
      <c r="B144" t="str">
        <f ca="1">IFERROR(__xludf.DUMMYFUNCTION("""COMPUTED_VALUE"""),"")</f>
        <v/>
      </c>
      <c r="C144" t="str">
        <f ca="1">IFERROR(__xludf.DUMMYFUNCTION("""COMPUTED_VALUE"""),"")</f>
        <v/>
      </c>
      <c r="D144" t="str">
        <f ca="1">IFERROR(__xludf.DUMMYFUNCTION("""COMPUTED_VALUE"""),"")</f>
        <v/>
      </c>
      <c r="E144" t="str">
        <f ca="1">IFERROR(__xludf.DUMMYFUNCTION("""COMPUTED_VALUE"""),"")</f>
        <v/>
      </c>
      <c r="F144" t="str">
        <f ca="1">IFERROR(__xludf.DUMMYFUNCTION("""COMPUTED_VALUE"""),"")</f>
        <v/>
      </c>
      <c r="G144" t="str">
        <f ca="1">IFERROR(__xludf.DUMMYFUNCTION("""COMPUTED_VALUE"""),"")</f>
        <v/>
      </c>
    </row>
    <row r="145" spans="1:7" ht="13.2" x14ac:dyDescent="0.25">
      <c r="A145" s="1" t="s">
        <v>15</v>
      </c>
      <c r="B145" t="str">
        <f ca="1">IFERROR(__xludf.DUMMYFUNCTION("""COMPUTED_VALUE"""),"28 of 30 spots filled")</f>
        <v>28 of 30 spots filled</v>
      </c>
      <c r="C145" t="str">
        <f ca="1">IFERROR(__xludf.DUMMYFUNCTION("""COMPUTED_VALUE"""),"")</f>
        <v/>
      </c>
      <c r="D145" t="str">
        <f ca="1">IFERROR(__xludf.DUMMYFUNCTION("""COMPUTED_VALUE"""),"")</f>
        <v/>
      </c>
      <c r="E145" t="str">
        <f ca="1">IFERROR(__xludf.DUMMYFUNCTION("""COMPUTED_VALUE"""),"")</f>
        <v/>
      </c>
      <c r="F145" t="str">
        <f ca="1">IFERROR(__xludf.DUMMYFUNCTION("""COMPUTED_VALUE"""),"")</f>
        <v/>
      </c>
      <c r="G145" t="str">
        <f ca="1">IFERROR(__xludf.DUMMYFUNCTION("""COMPUTED_VALUE"""),"")</f>
        <v/>
      </c>
    </row>
    <row r="146" spans="1:7" ht="13.2" x14ac:dyDescent="0.25">
      <c r="A146" s="1" t="s">
        <v>15</v>
      </c>
      <c r="B146" t="str">
        <f ca="1">IFERROR(__xludf.DUMMYFUNCTION("""COMPUTED_VALUE"""),"*Players that do not count against the 30-man active roster*")</f>
        <v>*Players that do not count against the 30-man active roster*</v>
      </c>
      <c r="C146" t="str">
        <f ca="1">IFERROR(__xludf.DUMMYFUNCTION("""COMPUTED_VALUE"""),"")</f>
        <v/>
      </c>
      <c r="D146" t="str">
        <f ca="1">IFERROR(__xludf.DUMMYFUNCTION("""COMPUTED_VALUE"""),"")</f>
        <v/>
      </c>
      <c r="E146" t="str">
        <f ca="1">IFERROR(__xludf.DUMMYFUNCTION("""COMPUTED_VALUE"""),"")</f>
        <v/>
      </c>
      <c r="F146" t="str">
        <f ca="1">IFERROR(__xludf.DUMMYFUNCTION("""COMPUTED_VALUE"""),"")</f>
        <v/>
      </c>
      <c r="G146" t="str">
        <f ca="1">IFERROR(__xludf.DUMMYFUNCTION("""COMPUTED_VALUE"""),"")</f>
        <v/>
      </c>
    </row>
    <row r="147" spans="1:7" ht="13.2" x14ac:dyDescent="0.25">
      <c r="A147" s="1" t="s">
        <v>15</v>
      </c>
      <c r="B147" t="str">
        <f ca="1">IFERROR(__xludf.DUMMYFUNCTION("""COMPUTED_VALUE"""),"Lundgaard, Ben")</f>
        <v>Lundgaard, Ben</v>
      </c>
      <c r="C147">
        <f ca="1">IFERROR(__xludf.DUMMYFUNCTION("""COMPUTED_VALUE"""),12)</f>
        <v>12</v>
      </c>
      <c r="D147" t="str">
        <f ca="1">IFERROR(__xludf.DUMMYFUNCTION("""COMPUTED_VALUE"""),"GK")</f>
        <v>GK</v>
      </c>
      <c r="E147" t="str">
        <f ca="1">IFERROR(__xludf.DUMMYFUNCTION("""COMPUTED_VALUE"""),"ReserveRES, On loanOL")</f>
        <v>ReserveRES, On loanOL</v>
      </c>
      <c r="F147" t="str">
        <f ca="1">IFERROR(__xludf.DUMMYFUNCTION("""COMPUTED_VALUE"""),"*Loaned to: USLOL: USL*")</f>
        <v>*Loaned to: USLOL: USL*</v>
      </c>
      <c r="G147" t="str">
        <f ca="1">IFERROR(__xludf.DUMMYFUNCTION("""COMPUTED_VALUE"""),"")</f>
        <v/>
      </c>
    </row>
    <row r="148" spans="1:7" ht="13.2" x14ac:dyDescent="0.25">
      <c r="A148" s="1" t="s">
        <v>15</v>
      </c>
    </row>
    <row r="149" spans="1:7" ht="13.2" x14ac:dyDescent="0.25">
      <c r="A149" s="1" t="s">
        <v>15</v>
      </c>
    </row>
    <row r="150" spans="1:7" ht="13.2" x14ac:dyDescent="0.25">
      <c r="A150" s="1" t="s">
        <v>15</v>
      </c>
    </row>
    <row r="151" spans="1:7" ht="13.2" x14ac:dyDescent="0.25">
      <c r="A151" s="1"/>
      <c r="B151" s="1"/>
    </row>
    <row r="152" spans="1:7" ht="13.2" x14ac:dyDescent="0.25">
      <c r="B152" t="str">
        <f ca="1">IFERROR(__xludf.DUMMYFUNCTION("IMPORTHTML(""http://www.mlssoccer.com/rosters/2018/dc-united"", ""table"", 1)"),"30-man Active Roster (Spots 1-30)")</f>
        <v>30-man Active Roster (Spots 1-30)</v>
      </c>
      <c r="C152" t="str">
        <f ca="1">IFERROR(__xludf.DUMMYFUNCTION("""COMPUTED_VALUE"""),"#")</f>
        <v>#</v>
      </c>
      <c r="D152" t="str">
        <f ca="1">IFERROR(__xludf.DUMMYFUNCTION("""COMPUTED_VALUE"""),"POS")</f>
        <v>POS</v>
      </c>
      <c r="E152" t="str">
        <f ca="1">IFERROR(__xludf.DUMMYFUNCTION("""COMPUTED_VALUE"""),"ROSTER STATUSR.S.")</f>
        <v>ROSTER STATUSR.S.</v>
      </c>
      <c r="F152" t="str">
        <f ca="1">IFERROR(__xludf.DUMMYFUNCTION("""COMPUTED_VALUE"""),"PLAYER CATEGORYCAT.")</f>
        <v>PLAYER CATEGORYCAT.</v>
      </c>
      <c r="G152" t="str">
        <f ca="1">IFERROR(__xludf.DUMMYFUNCTION("""COMPUTED_VALUE"""),"*NOTE*")</f>
        <v>*NOTE*</v>
      </c>
    </row>
    <row r="153" spans="1:7" ht="13.2" x14ac:dyDescent="0.25">
      <c r="A153" t="s">
        <v>16</v>
      </c>
      <c r="B153" t="str">
        <f ca="1">IFERROR(__xludf.DUMMYFUNCTION("""COMPUTED_VALUE"""),"Acosta, Luciano")</f>
        <v>Acosta, Luciano</v>
      </c>
      <c r="C153">
        <f ca="1">IFERROR(__xludf.DUMMYFUNCTION("""COMPUTED_VALUE"""),10)</f>
        <v>10</v>
      </c>
      <c r="D153" t="str">
        <f ca="1">IFERROR(__xludf.DUMMYFUNCTION("""COMPUTED_VALUE"""),"M/F")</f>
        <v>M/F</v>
      </c>
      <c r="E153" t="str">
        <f ca="1">IFERROR(__xludf.DUMMYFUNCTION("""COMPUTED_VALUE"""),"SeniorSR")</f>
        <v>SeniorSR</v>
      </c>
      <c r="F153" t="str">
        <f ca="1">IFERROR(__xludf.DUMMYFUNCTION("""COMPUTED_VALUE"""),"")</f>
        <v/>
      </c>
      <c r="G153" t="str">
        <f ca="1">IFERROR(__xludf.DUMMYFUNCTION("""COMPUTED_VALUE"""),"")</f>
        <v/>
      </c>
    </row>
    <row r="154" spans="1:7" ht="13.2" x14ac:dyDescent="0.25">
      <c r="A154" t="s">
        <v>16</v>
      </c>
      <c r="B154" t="str">
        <f ca="1">IFERROR(__xludf.DUMMYFUNCTION("""COMPUTED_VALUE"""),"Andriuskevicius, Vytautas")</f>
        <v>Andriuskevicius, Vytautas</v>
      </c>
      <c r="C154">
        <f ca="1">IFERROR(__xludf.DUMMYFUNCTION("""COMPUTED_VALUE"""),27)</f>
        <v>27</v>
      </c>
      <c r="D154" t="str">
        <f ca="1">IFERROR(__xludf.DUMMYFUNCTION("""COMPUTED_VALUE"""),"D")</f>
        <v>D</v>
      </c>
      <c r="E154" t="str">
        <f ca="1">IFERROR(__xludf.DUMMYFUNCTION("""COMPUTED_VALUE"""),"SeniorSR")</f>
        <v>SeniorSR</v>
      </c>
      <c r="F154" t="str">
        <f ca="1">IFERROR(__xludf.DUMMYFUNCTION("""COMPUTED_VALUE"""),"")</f>
        <v/>
      </c>
      <c r="G154" t="str">
        <f ca="1">IFERROR(__xludf.DUMMYFUNCTION("""COMPUTED_VALUE"""),"")</f>
        <v/>
      </c>
    </row>
    <row r="155" spans="1:7" ht="13.2" x14ac:dyDescent="0.25">
      <c r="A155" t="s">
        <v>16</v>
      </c>
      <c r="B155" t="str">
        <f ca="1">IFERROR(__xludf.DUMMYFUNCTION("""COMPUTED_VALUE"""),"Arriola, Paul")</f>
        <v>Arriola, Paul</v>
      </c>
      <c r="C155">
        <f ca="1">IFERROR(__xludf.DUMMYFUNCTION("""COMPUTED_VALUE"""),7)</f>
        <v>7</v>
      </c>
      <c r="D155" t="str">
        <f ca="1">IFERROR(__xludf.DUMMYFUNCTION("""COMPUTED_VALUE"""),"M/F")</f>
        <v>M/F</v>
      </c>
      <c r="E155" t="str">
        <f ca="1">IFERROR(__xludf.DUMMYFUNCTION("""COMPUTED_VALUE"""),"SeniorSR")</f>
        <v>SeniorSR</v>
      </c>
      <c r="F155" t="str">
        <f ca="1">IFERROR(__xludf.DUMMYFUNCTION("""COMPUTED_VALUE"""),"DP")</f>
        <v>DP</v>
      </c>
      <c r="G155" t="str">
        <f ca="1">IFERROR(__xludf.DUMMYFUNCTION("""COMPUTED_VALUE"""),"")</f>
        <v/>
      </c>
    </row>
    <row r="156" spans="1:7" ht="13.2" x14ac:dyDescent="0.25">
      <c r="A156" t="s">
        <v>16</v>
      </c>
      <c r="B156" t="str">
        <f ca="1">IFERROR(__xludf.DUMMYFUNCTION("""COMPUTED_VALUE"""),"Asad, Yamil")</f>
        <v>Asad, Yamil</v>
      </c>
      <c r="C156">
        <f ca="1">IFERROR(__xludf.DUMMYFUNCTION("""COMPUTED_VALUE"""),22)</f>
        <v>22</v>
      </c>
      <c r="D156" t="str">
        <f ca="1">IFERROR(__xludf.DUMMYFUNCTION("""COMPUTED_VALUE"""),"M/F")</f>
        <v>M/F</v>
      </c>
      <c r="E156" t="str">
        <f ca="1">IFERROR(__xludf.DUMMYFUNCTION("""COMPUTED_VALUE"""),"SeniorSR")</f>
        <v>SeniorSR</v>
      </c>
      <c r="F156" t="str">
        <f ca="1">IFERROR(__xludf.DUMMYFUNCTION("""COMPUTED_VALUE"""),"INTL")</f>
        <v>INTL</v>
      </c>
      <c r="G156" t="str">
        <f ca="1">IFERROR(__xludf.DUMMYFUNCTION("""COMPUTED_VALUE"""),"")</f>
        <v/>
      </c>
    </row>
    <row r="157" spans="1:7" ht="13.2" x14ac:dyDescent="0.25">
      <c r="A157" t="s">
        <v>16</v>
      </c>
      <c r="B157" t="str">
        <f ca="1">IFERROR(__xludf.DUMMYFUNCTION("""COMPUTED_VALUE"""),"Birnbaum, Steve")</f>
        <v>Birnbaum, Steve</v>
      </c>
      <c r="C157">
        <f ca="1">IFERROR(__xludf.DUMMYFUNCTION("""COMPUTED_VALUE"""),15)</f>
        <v>15</v>
      </c>
      <c r="D157" t="str">
        <f ca="1">IFERROR(__xludf.DUMMYFUNCTION("""COMPUTED_VALUE"""),"D")</f>
        <v>D</v>
      </c>
      <c r="E157" t="str">
        <f ca="1">IFERROR(__xludf.DUMMYFUNCTION("""COMPUTED_VALUE"""),"SeniorSR")</f>
        <v>SeniorSR</v>
      </c>
      <c r="F157" t="str">
        <f ca="1">IFERROR(__xludf.DUMMYFUNCTION("""COMPUTED_VALUE"""),"")</f>
        <v/>
      </c>
      <c r="G157" t="str">
        <f ca="1">IFERROR(__xludf.DUMMYFUNCTION("""COMPUTED_VALUE"""),"")</f>
        <v/>
      </c>
    </row>
    <row r="158" spans="1:7" ht="13.2" x14ac:dyDescent="0.25">
      <c r="A158" t="s">
        <v>16</v>
      </c>
      <c r="B158" t="str">
        <f ca="1">IFERROR(__xludf.DUMMYFUNCTION("""COMPUTED_VALUE"""),"Brillant, Frederic")</f>
        <v>Brillant, Frederic</v>
      </c>
      <c r="C158">
        <f ca="1">IFERROR(__xludf.DUMMYFUNCTION("""COMPUTED_VALUE"""),13)</f>
        <v>13</v>
      </c>
      <c r="D158" t="str">
        <f ca="1">IFERROR(__xludf.DUMMYFUNCTION("""COMPUTED_VALUE"""),"D")</f>
        <v>D</v>
      </c>
      <c r="E158" t="str">
        <f ca="1">IFERROR(__xludf.DUMMYFUNCTION("""COMPUTED_VALUE"""),"SeniorSR")</f>
        <v>SeniorSR</v>
      </c>
      <c r="F158" t="str">
        <f ca="1">IFERROR(__xludf.DUMMYFUNCTION("""COMPUTED_VALUE"""),"")</f>
        <v/>
      </c>
      <c r="G158" t="str">
        <f ca="1">IFERROR(__xludf.DUMMYFUNCTION("""COMPUTED_VALUE"""),"")</f>
        <v/>
      </c>
    </row>
    <row r="159" spans="1:7" ht="13.2" x14ac:dyDescent="0.25">
      <c r="A159" t="s">
        <v>16</v>
      </c>
      <c r="B159" t="str">
        <f ca="1">IFERROR(__xludf.DUMMYFUNCTION("""COMPUTED_VALUE"""),"Canouse, Russell")</f>
        <v>Canouse, Russell</v>
      </c>
      <c r="C159">
        <f ca="1">IFERROR(__xludf.DUMMYFUNCTION("""COMPUTED_VALUE"""),4)</f>
        <v>4</v>
      </c>
      <c r="D159" t="str">
        <f ca="1">IFERROR(__xludf.DUMMYFUNCTION("""COMPUTED_VALUE"""),"M")</f>
        <v>M</v>
      </c>
      <c r="E159" t="str">
        <f ca="1">IFERROR(__xludf.DUMMYFUNCTION("""COMPUTED_VALUE"""),"SeniorSR")</f>
        <v>SeniorSR</v>
      </c>
      <c r="F159" t="str">
        <f ca="1">IFERROR(__xludf.DUMMYFUNCTION("""COMPUTED_VALUE"""),"")</f>
        <v/>
      </c>
      <c r="G159" t="str">
        <f ca="1">IFERROR(__xludf.DUMMYFUNCTION("""COMPUTED_VALUE"""),"")</f>
        <v/>
      </c>
    </row>
    <row r="160" spans="1:7" ht="13.2" x14ac:dyDescent="0.25">
      <c r="A160" t="s">
        <v>16</v>
      </c>
      <c r="B160" t="str">
        <f ca="1">IFERROR(__xludf.DUMMYFUNCTION("""COMPUTED_VALUE"""),"DeLeon, Nick")</f>
        <v>DeLeon, Nick</v>
      </c>
      <c r="C160">
        <f ca="1">IFERROR(__xludf.DUMMYFUNCTION("""COMPUTED_VALUE"""),14)</f>
        <v>14</v>
      </c>
      <c r="D160" t="str">
        <f ca="1">IFERROR(__xludf.DUMMYFUNCTION("""COMPUTED_VALUE"""),"M")</f>
        <v>M</v>
      </c>
      <c r="E160" t="str">
        <f ca="1">IFERROR(__xludf.DUMMYFUNCTION("""COMPUTED_VALUE"""),"SeniorSR")</f>
        <v>SeniorSR</v>
      </c>
      <c r="F160" t="str">
        <f ca="1">IFERROR(__xludf.DUMMYFUNCTION("""COMPUTED_VALUE"""),"")</f>
        <v/>
      </c>
      <c r="G160" t="str">
        <f ca="1">IFERROR(__xludf.DUMMYFUNCTION("""COMPUTED_VALUE"""),"")</f>
        <v/>
      </c>
    </row>
    <row r="161" spans="1:7" ht="13.2" x14ac:dyDescent="0.25">
      <c r="A161" t="s">
        <v>16</v>
      </c>
      <c r="B161" t="str">
        <f ca="1">IFERROR(__xludf.DUMMYFUNCTION("""COMPUTED_VALUE"""),"Durkin, Chris")</f>
        <v>Durkin, Chris</v>
      </c>
      <c r="C161">
        <f ca="1">IFERROR(__xludf.DUMMYFUNCTION("""COMPUTED_VALUE"""),21)</f>
        <v>21</v>
      </c>
      <c r="D161" t="str">
        <f ca="1">IFERROR(__xludf.DUMMYFUNCTION("""COMPUTED_VALUE"""),"D/M")</f>
        <v>D/M</v>
      </c>
      <c r="E161" t="str">
        <f ca="1">IFERROR(__xludf.DUMMYFUNCTION("""COMPUTED_VALUE"""),"ReserveRES")</f>
        <v>ReserveRES</v>
      </c>
      <c r="F161" t="str">
        <f ca="1">IFERROR(__xludf.DUMMYFUNCTION("""COMPUTED_VALUE"""),"HG")</f>
        <v>HG</v>
      </c>
      <c r="G161" t="str">
        <f ca="1">IFERROR(__xludf.DUMMYFUNCTION("""COMPUTED_VALUE"""),"")</f>
        <v/>
      </c>
    </row>
    <row r="162" spans="1:7" ht="13.2" x14ac:dyDescent="0.25">
      <c r="A162" t="s">
        <v>16</v>
      </c>
      <c r="B162" t="str">
        <f ca="1">IFERROR(__xludf.DUMMYFUNCTION("""COMPUTED_VALUE"""),"Ellis, Kevin")</f>
        <v>Ellis, Kevin</v>
      </c>
      <c r="C162" t="str">
        <f ca="1">IFERROR(__xludf.DUMMYFUNCTION("""COMPUTED_VALUE"""),"")</f>
        <v/>
      </c>
      <c r="D162" t="str">
        <f ca="1">IFERROR(__xludf.DUMMYFUNCTION("""COMPUTED_VALUE"""),"D")</f>
        <v>D</v>
      </c>
      <c r="E162" t="str">
        <f ca="1">IFERROR(__xludf.DUMMYFUNCTION("""COMPUTED_VALUE"""),"SeniorSR")</f>
        <v>SeniorSR</v>
      </c>
      <c r="F162" t="str">
        <f ca="1">IFERROR(__xludf.DUMMYFUNCTION("""COMPUTED_VALUE"""),"")</f>
        <v/>
      </c>
      <c r="G162" t="str">
        <f ca="1">IFERROR(__xludf.DUMMYFUNCTION("""COMPUTED_VALUE"""),"")</f>
        <v/>
      </c>
    </row>
    <row r="163" spans="1:7" ht="13.2" x14ac:dyDescent="0.25">
      <c r="A163" t="s">
        <v>16</v>
      </c>
      <c r="B163" t="str">
        <f ca="1">IFERROR(__xludf.DUMMYFUNCTION("""COMPUTED_VALUE"""),"Fisher, Oniel")</f>
        <v>Fisher, Oniel</v>
      </c>
      <c r="C163">
        <f ca="1">IFERROR(__xludf.DUMMYFUNCTION("""COMPUTED_VALUE"""),19)</f>
        <v>19</v>
      </c>
      <c r="D163" t="str">
        <f ca="1">IFERROR(__xludf.DUMMYFUNCTION("""COMPUTED_VALUE"""),"D")</f>
        <v>D</v>
      </c>
      <c r="E163" t="str">
        <f ca="1">IFERROR(__xludf.DUMMYFUNCTION("""COMPUTED_VALUE"""),"SupplementalSUP")</f>
        <v>SupplementalSUP</v>
      </c>
      <c r="F163" t="str">
        <f ca="1">IFERROR(__xludf.DUMMYFUNCTION("""COMPUTED_VALUE"""),"")</f>
        <v/>
      </c>
      <c r="G163" t="str">
        <f ca="1">IFERROR(__xludf.DUMMYFUNCTION("""COMPUTED_VALUE"""),"")</f>
        <v/>
      </c>
    </row>
    <row r="164" spans="1:7" ht="13.2" x14ac:dyDescent="0.25">
      <c r="A164" t="s">
        <v>16</v>
      </c>
      <c r="B164" t="str">
        <f ca="1">IFERROR(__xludf.DUMMYFUNCTION("""COMPUTED_VALUE"""),"Hamid, Bill")</f>
        <v>Hamid, Bill</v>
      </c>
      <c r="C164">
        <f ca="1">IFERROR(__xludf.DUMMYFUNCTION("""COMPUTED_VALUE"""),24)</f>
        <v>24</v>
      </c>
      <c r="D164" t="str">
        <f ca="1">IFERROR(__xludf.DUMMYFUNCTION("""COMPUTED_VALUE"""),"GK")</f>
        <v>GK</v>
      </c>
      <c r="E164" t="str">
        <f ca="1">IFERROR(__xludf.DUMMYFUNCTION("""COMPUTED_VALUE"""),"SeniorSR")</f>
        <v>SeniorSR</v>
      </c>
      <c r="F164" t="str">
        <f ca="1">IFERROR(__xludf.DUMMYFUNCTION("""COMPUTED_VALUE"""),"")</f>
        <v/>
      </c>
      <c r="G164" t="str">
        <f ca="1">IFERROR(__xludf.DUMMYFUNCTION("""COMPUTED_VALUE"""),"")</f>
        <v/>
      </c>
    </row>
    <row r="165" spans="1:7" ht="13.2" x14ac:dyDescent="0.25">
      <c r="A165" t="s">
        <v>16</v>
      </c>
      <c r="B165" t="str">
        <f ca="1">IFERROR(__xludf.DUMMYFUNCTION("""COMPUTED_VALUE"""),"Harkes, Ian")</f>
        <v>Harkes, Ian</v>
      </c>
      <c r="C165">
        <f ca="1">IFERROR(__xludf.DUMMYFUNCTION("""COMPUTED_VALUE"""),23)</f>
        <v>23</v>
      </c>
      <c r="D165" t="str">
        <f ca="1">IFERROR(__xludf.DUMMYFUNCTION("""COMPUTED_VALUE"""),"M")</f>
        <v>M</v>
      </c>
      <c r="E165" t="str">
        <f ca="1">IFERROR(__xludf.DUMMYFUNCTION("""COMPUTED_VALUE"""),"ReserveRES")</f>
        <v>ReserveRES</v>
      </c>
      <c r="F165" t="str">
        <f ca="1">IFERROR(__xludf.DUMMYFUNCTION("""COMPUTED_VALUE"""),"HG")</f>
        <v>HG</v>
      </c>
      <c r="G165" t="str">
        <f ca="1">IFERROR(__xludf.DUMMYFUNCTION("""COMPUTED_VALUE"""),"")</f>
        <v/>
      </c>
    </row>
    <row r="166" spans="1:7" ht="13.2" x14ac:dyDescent="0.25">
      <c r="A166" t="s">
        <v>16</v>
      </c>
      <c r="B166" t="str">
        <f ca="1">IFERROR(__xludf.DUMMYFUNCTION("""COMPUTED_VALUE"""),"Jeffrey, Jared")</f>
        <v>Jeffrey, Jared</v>
      </c>
      <c r="C166">
        <f ca="1">IFERROR(__xludf.DUMMYFUNCTION("""COMPUTED_VALUE"""),25)</f>
        <v>25</v>
      </c>
      <c r="D166" t="str">
        <f ca="1">IFERROR(__xludf.DUMMYFUNCTION("""COMPUTED_VALUE"""),"M")</f>
        <v>M</v>
      </c>
      <c r="E166" t="str">
        <f ca="1">IFERROR(__xludf.DUMMYFUNCTION("""COMPUTED_VALUE"""),"SeniorSR")</f>
        <v>SeniorSR</v>
      </c>
      <c r="F166" t="str">
        <f ca="1">IFERROR(__xludf.DUMMYFUNCTION("""COMPUTED_VALUE"""),"")</f>
        <v/>
      </c>
      <c r="G166" t="str">
        <f ca="1">IFERROR(__xludf.DUMMYFUNCTION("""COMPUTED_VALUE"""),"")</f>
        <v/>
      </c>
    </row>
    <row r="167" spans="1:7" ht="13.2" x14ac:dyDescent="0.25">
      <c r="A167" t="s">
        <v>16</v>
      </c>
      <c r="B167" t="str">
        <f ca="1">IFERROR(__xludf.DUMMYFUNCTION("""COMPUTED_VALUE"""),"Kelly, Dane")</f>
        <v>Kelly, Dane</v>
      </c>
      <c r="C167">
        <f ca="1">IFERROR(__xludf.DUMMYFUNCTION("""COMPUTED_VALUE"""),29)</f>
        <v>29</v>
      </c>
      <c r="D167" t="str">
        <f ca="1">IFERROR(__xludf.DUMMYFUNCTION("""COMPUTED_VALUE"""),"F")</f>
        <v>F</v>
      </c>
      <c r="E167" t="str">
        <f ca="1">IFERROR(__xludf.DUMMYFUNCTION("""COMPUTED_VALUE"""),"SupplementalSUP")</f>
        <v>SupplementalSUP</v>
      </c>
      <c r="F167" t="str">
        <f ca="1">IFERROR(__xludf.DUMMYFUNCTION("""COMPUTED_VALUE"""),"")</f>
        <v/>
      </c>
      <c r="G167" t="str">
        <f ca="1">IFERROR(__xludf.DUMMYFUNCTION("""COMPUTED_VALUE"""),"")</f>
        <v/>
      </c>
    </row>
    <row r="168" spans="1:7" ht="13.2" x14ac:dyDescent="0.25">
      <c r="A168" t="s">
        <v>16</v>
      </c>
      <c r="B168" t="str">
        <f ca="1">IFERROR(__xludf.DUMMYFUNCTION("""COMPUTED_VALUE"""),"Kemp, Taylor")</f>
        <v>Kemp, Taylor</v>
      </c>
      <c r="C168">
        <f ca="1">IFERROR(__xludf.DUMMYFUNCTION("""COMPUTED_VALUE"""),2)</f>
        <v>2</v>
      </c>
      <c r="D168" t="str">
        <f ca="1">IFERROR(__xludf.DUMMYFUNCTION("""COMPUTED_VALUE"""),"D")</f>
        <v>D</v>
      </c>
      <c r="E168" t="str">
        <f ca="1">IFERROR(__xludf.DUMMYFUNCTION("""COMPUTED_VALUE"""),"SeniorSR, Season-Ending InjurySEI")</f>
        <v>SeniorSR, Season-Ending InjurySEI</v>
      </c>
      <c r="F168" t="str">
        <f ca="1">IFERROR(__xludf.DUMMYFUNCTION("""COMPUTED_VALUE"""),"")</f>
        <v/>
      </c>
      <c r="G168" t="str">
        <f ca="1">IFERROR(__xludf.DUMMYFUNCTION("""COMPUTED_VALUE"""),"*Season-Ending InjurySEI*")</f>
        <v>*Season-Ending InjurySEI*</v>
      </c>
    </row>
    <row r="169" spans="1:7" ht="13.2" x14ac:dyDescent="0.25">
      <c r="A169" t="s">
        <v>16</v>
      </c>
      <c r="B169" t="str">
        <f ca="1">IFERROR(__xludf.DUMMYFUNCTION("""COMPUTED_VALUE"""),"Mattocks, Darren")</f>
        <v>Mattocks, Darren</v>
      </c>
      <c r="C169">
        <f ca="1">IFERROR(__xludf.DUMMYFUNCTION("""COMPUTED_VALUE"""),11)</f>
        <v>11</v>
      </c>
      <c r="D169" t="str">
        <f ca="1">IFERROR(__xludf.DUMMYFUNCTION("""COMPUTED_VALUE"""),"F")</f>
        <v>F</v>
      </c>
      <c r="E169" t="str">
        <f ca="1">IFERROR(__xludf.DUMMYFUNCTION("""COMPUTED_VALUE"""),"SeniorSR")</f>
        <v>SeniorSR</v>
      </c>
      <c r="F169" t="str">
        <f ca="1">IFERROR(__xludf.DUMMYFUNCTION("""COMPUTED_VALUE"""),"")</f>
        <v/>
      </c>
      <c r="G169" t="str">
        <f ca="1">IFERROR(__xludf.DUMMYFUNCTION("""COMPUTED_VALUE"""),"")</f>
        <v/>
      </c>
    </row>
    <row r="170" spans="1:7" ht="13.2" x14ac:dyDescent="0.25">
      <c r="A170" t="s">
        <v>16</v>
      </c>
      <c r="B170" t="str">
        <f ca="1">IFERROR(__xludf.DUMMYFUNCTION("""COMPUTED_VALUE"""),"Miranda, Bruno")</f>
        <v>Miranda, Bruno</v>
      </c>
      <c r="C170">
        <f ca="1">IFERROR(__xludf.DUMMYFUNCTION("""COMPUTED_VALUE"""),32)</f>
        <v>32</v>
      </c>
      <c r="D170" t="str">
        <f ca="1">IFERROR(__xludf.DUMMYFUNCTION("""COMPUTED_VALUE"""),"F")</f>
        <v>F</v>
      </c>
      <c r="E170" t="str">
        <f ca="1">IFERROR(__xludf.DUMMYFUNCTION("""COMPUTED_VALUE"""),"SupplementalSUP, On loanOL")</f>
        <v>SupplementalSUP, On loanOL</v>
      </c>
      <c r="F170" t="str">
        <f ca="1">IFERROR(__xludf.DUMMYFUNCTION("""COMPUTED_VALUE"""),"INTL")</f>
        <v>INTL</v>
      </c>
      <c r="G170" t="str">
        <f ca="1">IFERROR(__xludf.DUMMYFUNCTION("""COMPUTED_VALUE"""),"*On loanOL*")</f>
        <v>*On loanOL*</v>
      </c>
    </row>
    <row r="171" spans="1:7" ht="13.2" x14ac:dyDescent="0.25">
      <c r="A171" t="s">
        <v>16</v>
      </c>
      <c r="B171" t="str">
        <f ca="1">IFERROR(__xludf.DUMMYFUNCTION("""COMPUTED_VALUE"""),"Mora, Joseph")</f>
        <v>Mora, Joseph</v>
      </c>
      <c r="C171">
        <f ca="1">IFERROR(__xludf.DUMMYFUNCTION("""COMPUTED_VALUE"""),28)</f>
        <v>28</v>
      </c>
      <c r="D171" t="str">
        <f ca="1">IFERROR(__xludf.DUMMYFUNCTION("""COMPUTED_VALUE"""),"D")</f>
        <v>D</v>
      </c>
      <c r="E171" t="str">
        <f ca="1">IFERROR(__xludf.DUMMYFUNCTION("""COMPUTED_VALUE"""),"SeniorSR")</f>
        <v>SeniorSR</v>
      </c>
      <c r="F171" t="str">
        <f ca="1">IFERROR(__xludf.DUMMYFUNCTION("""COMPUTED_VALUE"""),"INTL")</f>
        <v>INTL</v>
      </c>
      <c r="G171" t="str">
        <f ca="1">IFERROR(__xludf.DUMMYFUNCTION("""COMPUTED_VALUE"""),"")</f>
        <v/>
      </c>
    </row>
    <row r="172" spans="1:7" ht="13.2" x14ac:dyDescent="0.25">
      <c r="A172" t="s">
        <v>16</v>
      </c>
      <c r="B172" t="str">
        <f ca="1">IFERROR(__xludf.DUMMYFUNCTION("""COMPUTED_VALUE"""),"Moreno, Junior")</f>
        <v>Moreno, Junior</v>
      </c>
      <c r="C172">
        <f ca="1">IFERROR(__xludf.DUMMYFUNCTION("""COMPUTED_VALUE"""),5)</f>
        <v>5</v>
      </c>
      <c r="D172" t="str">
        <f ca="1">IFERROR(__xludf.DUMMYFUNCTION("""COMPUTED_VALUE"""),"M")</f>
        <v>M</v>
      </c>
      <c r="E172" t="str">
        <f ca="1">IFERROR(__xludf.DUMMYFUNCTION("""COMPUTED_VALUE"""),"SeniorSR")</f>
        <v>SeniorSR</v>
      </c>
      <c r="F172" t="str">
        <f ca="1">IFERROR(__xludf.DUMMYFUNCTION("""COMPUTED_VALUE"""),"INTL")</f>
        <v>INTL</v>
      </c>
      <c r="G172" t="str">
        <f ca="1">IFERROR(__xludf.DUMMYFUNCTION("""COMPUTED_VALUE"""),"")</f>
        <v/>
      </c>
    </row>
    <row r="173" spans="1:7" ht="13.2" x14ac:dyDescent="0.25">
      <c r="A173" t="s">
        <v>16</v>
      </c>
      <c r="B173" t="str">
        <f ca="1">IFERROR(__xludf.DUMMYFUNCTION("""COMPUTED_VALUE"""),"Odoi-Atsem, Chris")</f>
        <v>Odoi-Atsem, Chris</v>
      </c>
      <c r="C173">
        <f ca="1">IFERROR(__xludf.DUMMYFUNCTION("""COMPUTED_VALUE"""),3)</f>
        <v>3</v>
      </c>
      <c r="D173" t="str">
        <f ca="1">IFERROR(__xludf.DUMMYFUNCTION("""COMPUTED_VALUE"""),"D")</f>
        <v>D</v>
      </c>
      <c r="E173" t="str">
        <f ca="1">IFERROR(__xludf.DUMMYFUNCTION("""COMPUTED_VALUE"""),"ReserveRES")</f>
        <v>ReserveRES</v>
      </c>
      <c r="F173" t="str">
        <f ca="1">IFERROR(__xludf.DUMMYFUNCTION("""COMPUTED_VALUE"""),"")</f>
        <v/>
      </c>
      <c r="G173" t="str">
        <f ca="1">IFERROR(__xludf.DUMMYFUNCTION("""COMPUTED_VALUE"""),"")</f>
        <v/>
      </c>
    </row>
    <row r="174" spans="1:7" ht="13.2" x14ac:dyDescent="0.25">
      <c r="A174" t="s">
        <v>16</v>
      </c>
      <c r="B174" t="str">
        <f ca="1">IFERROR(__xludf.DUMMYFUNCTION("""COMPUTED_VALUE"""),"Opare, Kofi")</f>
        <v>Opare, Kofi</v>
      </c>
      <c r="C174">
        <f ca="1">IFERROR(__xludf.DUMMYFUNCTION("""COMPUTED_VALUE"""),6)</f>
        <v>6</v>
      </c>
      <c r="D174" t="str">
        <f ca="1">IFERROR(__xludf.DUMMYFUNCTION("""COMPUTED_VALUE"""),"D")</f>
        <v>D</v>
      </c>
      <c r="E174" t="str">
        <f ca="1">IFERROR(__xludf.DUMMYFUNCTION("""COMPUTED_VALUE"""),"SeniorSR")</f>
        <v>SeniorSR</v>
      </c>
      <c r="F174" t="str">
        <f ca="1">IFERROR(__xludf.DUMMYFUNCTION("""COMPUTED_VALUE"""),"")</f>
        <v/>
      </c>
      <c r="G174" t="str">
        <f ca="1">IFERROR(__xludf.DUMMYFUNCTION("""COMPUTED_VALUE"""),"")</f>
        <v/>
      </c>
    </row>
    <row r="175" spans="1:7" ht="13.2" x14ac:dyDescent="0.25">
      <c r="A175" t="s">
        <v>16</v>
      </c>
      <c r="B175" t="str">
        <f ca="1">IFERROR(__xludf.DUMMYFUNCTION("""COMPUTED_VALUE"""),"Ousted, David")</f>
        <v>Ousted, David</v>
      </c>
      <c r="C175">
        <f ca="1">IFERROR(__xludf.DUMMYFUNCTION("""COMPUTED_VALUE"""),1)</f>
        <v>1</v>
      </c>
      <c r="D175" t="str">
        <f ca="1">IFERROR(__xludf.DUMMYFUNCTION("""COMPUTED_VALUE"""),"GK")</f>
        <v>GK</v>
      </c>
      <c r="E175" t="str">
        <f ca="1">IFERROR(__xludf.DUMMYFUNCTION("""COMPUTED_VALUE"""),"SeniorSR")</f>
        <v>SeniorSR</v>
      </c>
      <c r="F175" t="str">
        <f ca="1">IFERROR(__xludf.DUMMYFUNCTION("""COMPUTED_VALUE"""),"INTL")</f>
        <v>INTL</v>
      </c>
      <c r="G175" t="str">
        <f ca="1">IFERROR(__xludf.DUMMYFUNCTION("""COMPUTED_VALUE"""),"")</f>
        <v/>
      </c>
    </row>
    <row r="176" spans="1:7" ht="13.2" x14ac:dyDescent="0.25">
      <c r="A176" t="s">
        <v>16</v>
      </c>
      <c r="B176" t="str">
        <f ca="1">IFERROR(__xludf.DUMMYFUNCTION("""COMPUTED_VALUE"""),"Robinson, Jalen")</f>
        <v>Robinson, Jalen</v>
      </c>
      <c r="C176">
        <f ca="1">IFERROR(__xludf.DUMMYFUNCTION("""COMPUTED_VALUE"""),20)</f>
        <v>20</v>
      </c>
      <c r="D176" t="str">
        <f ca="1">IFERROR(__xludf.DUMMYFUNCTION("""COMPUTED_VALUE"""),"D")</f>
        <v>D</v>
      </c>
      <c r="E176" t="str">
        <f ca="1">IFERROR(__xludf.DUMMYFUNCTION("""COMPUTED_VALUE"""),"ReserveRES")</f>
        <v>ReserveRES</v>
      </c>
      <c r="F176" t="str">
        <f ca="1">IFERROR(__xludf.DUMMYFUNCTION("""COMPUTED_VALUE"""),"HG")</f>
        <v>HG</v>
      </c>
      <c r="G176" t="str">
        <f ca="1">IFERROR(__xludf.DUMMYFUNCTION("""COMPUTED_VALUE"""),"")</f>
        <v/>
      </c>
    </row>
    <row r="177" spans="1:7" ht="13.2" x14ac:dyDescent="0.25">
      <c r="A177" t="s">
        <v>16</v>
      </c>
      <c r="B177" t="str">
        <f ca="1">IFERROR(__xludf.DUMMYFUNCTION("""COMPUTED_VALUE"""),"Rooney, Wayne")</f>
        <v>Rooney, Wayne</v>
      </c>
      <c r="C177">
        <f ca="1">IFERROR(__xludf.DUMMYFUNCTION("""COMPUTED_VALUE"""),9)</f>
        <v>9</v>
      </c>
      <c r="D177" t="str">
        <f ca="1">IFERROR(__xludf.DUMMYFUNCTION("""COMPUTED_VALUE"""),"F/M")</f>
        <v>F/M</v>
      </c>
      <c r="E177" t="str">
        <f ca="1">IFERROR(__xludf.DUMMYFUNCTION("""COMPUTED_VALUE"""),"SeniorSR")</f>
        <v>SeniorSR</v>
      </c>
      <c r="F177" t="str">
        <f ca="1">IFERROR(__xludf.DUMMYFUNCTION("""COMPUTED_VALUE"""),"DP, INTL")</f>
        <v>DP, INTL</v>
      </c>
      <c r="G177" t="str">
        <f ca="1">IFERROR(__xludf.DUMMYFUNCTION("""COMPUTED_VALUE"""),"")</f>
        <v/>
      </c>
    </row>
    <row r="178" spans="1:7" ht="13.2" x14ac:dyDescent="0.25">
      <c r="A178" t="s">
        <v>16</v>
      </c>
      <c r="B178" t="str">
        <f ca="1">IFERROR(__xludf.DUMMYFUNCTION("""COMPUTED_VALUE"""),"Segura, Ulises")</f>
        <v>Segura, Ulises</v>
      </c>
      <c r="C178">
        <f ca="1">IFERROR(__xludf.DUMMYFUNCTION("""COMPUTED_VALUE"""),8)</f>
        <v>8</v>
      </c>
      <c r="D178" t="str">
        <f ca="1">IFERROR(__xludf.DUMMYFUNCTION("""COMPUTED_VALUE"""),"M")</f>
        <v>M</v>
      </c>
      <c r="E178" t="str">
        <f ca="1">IFERROR(__xludf.DUMMYFUNCTION("""COMPUTED_VALUE"""),"SeniorSR, Disabled ListDL")</f>
        <v>SeniorSR, Disabled ListDL</v>
      </c>
      <c r="F178" t="str">
        <f ca="1">IFERROR(__xludf.DUMMYFUNCTION("""COMPUTED_VALUE"""),"INTL")</f>
        <v>INTL</v>
      </c>
      <c r="G178" t="str">
        <f ca="1">IFERROR(__xludf.DUMMYFUNCTION("""COMPUTED_VALUE"""),"*Disabled ListDL*")</f>
        <v>*Disabled ListDL*</v>
      </c>
    </row>
    <row r="179" spans="1:7" ht="13.2" x14ac:dyDescent="0.25">
      <c r="A179" t="s">
        <v>16</v>
      </c>
      <c r="B179" t="str">
        <f ca="1">IFERROR(__xludf.DUMMYFUNCTION("""COMPUTED_VALUE"""),"Stieber, Zoltan")</f>
        <v>Stieber, Zoltan</v>
      </c>
      <c r="C179">
        <f ca="1">IFERROR(__xludf.DUMMYFUNCTION("""COMPUTED_VALUE"""),18)</f>
        <v>18</v>
      </c>
      <c r="D179" t="str">
        <f ca="1">IFERROR(__xludf.DUMMYFUNCTION("""COMPUTED_VALUE"""),"M/F")</f>
        <v>M/F</v>
      </c>
      <c r="E179" t="str">
        <f ca="1">IFERROR(__xludf.DUMMYFUNCTION("""COMPUTED_VALUE"""),"SeniorSR")</f>
        <v>SeniorSR</v>
      </c>
      <c r="F179" t="str">
        <f ca="1">IFERROR(__xludf.DUMMYFUNCTION("""COMPUTED_VALUE"""),"INTL")</f>
        <v>INTL</v>
      </c>
      <c r="G179" t="str">
        <f ca="1">IFERROR(__xludf.DUMMYFUNCTION("""COMPUTED_VALUE"""),"")</f>
        <v/>
      </c>
    </row>
    <row r="180" spans="1:7" ht="13.2" x14ac:dyDescent="0.25">
      <c r="A180" t="s">
        <v>16</v>
      </c>
      <c r="B180" t="str">
        <f ca="1">IFERROR(__xludf.DUMMYFUNCTION("""COMPUTED_VALUE"""),"Worra, Travis")</f>
        <v>Worra, Travis</v>
      </c>
      <c r="C180">
        <f ca="1">IFERROR(__xludf.DUMMYFUNCTION("""COMPUTED_VALUE"""),48)</f>
        <v>48</v>
      </c>
      <c r="D180" t="str">
        <f ca="1">IFERROR(__xludf.DUMMYFUNCTION("""COMPUTED_VALUE"""),"GK")</f>
        <v>GK</v>
      </c>
      <c r="E180" t="str">
        <f ca="1">IFERROR(__xludf.DUMMYFUNCTION("""COMPUTED_VALUE"""),"SupplementalSUP")</f>
        <v>SupplementalSUP</v>
      </c>
      <c r="F180" t="str">
        <f ca="1">IFERROR(__xludf.DUMMYFUNCTION("""COMPUTED_VALUE"""),"")</f>
        <v/>
      </c>
      <c r="G180" t="str">
        <f ca="1">IFERROR(__xludf.DUMMYFUNCTION("""COMPUTED_VALUE"""),"")</f>
        <v/>
      </c>
    </row>
    <row r="181" spans="1:7" ht="13.2" x14ac:dyDescent="0.25">
      <c r="A181" t="s">
        <v>16</v>
      </c>
      <c r="B181" t="str">
        <f ca="1">IFERROR(__xludf.DUMMYFUNCTION("""COMPUTED_VALUE"""),"")</f>
        <v/>
      </c>
      <c r="C181" t="str">
        <f ca="1">IFERROR(__xludf.DUMMYFUNCTION("""COMPUTED_VALUE"""),"")</f>
        <v/>
      </c>
      <c r="D181" t="str">
        <f ca="1">IFERROR(__xludf.DUMMYFUNCTION("""COMPUTED_VALUE"""),"")</f>
        <v/>
      </c>
      <c r="E181" t="str">
        <f ca="1">IFERROR(__xludf.DUMMYFUNCTION("""COMPUTED_VALUE"""),"")</f>
        <v/>
      </c>
      <c r="F181" t="str">
        <f ca="1">IFERROR(__xludf.DUMMYFUNCTION("""COMPUTED_VALUE"""),"")</f>
        <v/>
      </c>
      <c r="G181" t="str">
        <f ca="1">IFERROR(__xludf.DUMMYFUNCTION("""COMPUTED_VALUE"""),"")</f>
        <v/>
      </c>
    </row>
    <row r="182" spans="1:7" ht="13.2" x14ac:dyDescent="0.25">
      <c r="A182" t="s">
        <v>16</v>
      </c>
      <c r="B182" t="str">
        <f ca="1">IFERROR(__xludf.DUMMYFUNCTION("""COMPUTED_VALUE"""),"")</f>
        <v/>
      </c>
      <c r="C182" t="str">
        <f ca="1">IFERROR(__xludf.DUMMYFUNCTION("""COMPUTED_VALUE"""),"")</f>
        <v/>
      </c>
      <c r="D182" t="str">
        <f ca="1">IFERROR(__xludf.DUMMYFUNCTION("""COMPUTED_VALUE"""),"")</f>
        <v/>
      </c>
      <c r="E182" t="str">
        <f ca="1">IFERROR(__xludf.DUMMYFUNCTION("""COMPUTED_VALUE"""),"")</f>
        <v/>
      </c>
      <c r="F182" t="str">
        <f ca="1">IFERROR(__xludf.DUMMYFUNCTION("""COMPUTED_VALUE"""),"")</f>
        <v/>
      </c>
      <c r="G182" t="str">
        <f ca="1">IFERROR(__xludf.DUMMYFUNCTION("""COMPUTED_VALUE"""),"")</f>
        <v/>
      </c>
    </row>
    <row r="183" spans="1:7" ht="13.2" x14ac:dyDescent="0.25">
      <c r="A183" t="s">
        <v>16</v>
      </c>
      <c r="B183" t="str">
        <f ca="1">IFERROR(__xludf.DUMMYFUNCTION("""COMPUTED_VALUE"""),"28 of 30 spots filled")</f>
        <v>28 of 30 spots filled</v>
      </c>
      <c r="C183" t="str">
        <f ca="1">IFERROR(__xludf.DUMMYFUNCTION("""COMPUTED_VALUE"""),"")</f>
        <v/>
      </c>
      <c r="D183" t="str">
        <f ca="1">IFERROR(__xludf.DUMMYFUNCTION("""COMPUTED_VALUE"""),"")</f>
        <v/>
      </c>
      <c r="E183" t="str">
        <f ca="1">IFERROR(__xludf.DUMMYFUNCTION("""COMPUTED_VALUE"""),"")</f>
        <v/>
      </c>
      <c r="F183" t="str">
        <f ca="1">IFERROR(__xludf.DUMMYFUNCTION("""COMPUTED_VALUE"""),"")</f>
        <v/>
      </c>
      <c r="G183" t="str">
        <f ca="1">IFERROR(__xludf.DUMMYFUNCTION("""COMPUTED_VALUE"""),"")</f>
        <v/>
      </c>
    </row>
    <row r="184" spans="1:7" ht="13.2" x14ac:dyDescent="0.25">
      <c r="A184" t="s">
        <v>16</v>
      </c>
    </row>
    <row r="185" spans="1:7" ht="13.2" x14ac:dyDescent="0.25">
      <c r="A185" t="s">
        <v>16</v>
      </c>
    </row>
    <row r="186" spans="1:7" ht="13.2" x14ac:dyDescent="0.25">
      <c r="A186" t="s">
        <v>16</v>
      </c>
    </row>
    <row r="188" spans="1:7" ht="13.2" x14ac:dyDescent="0.25">
      <c r="B188" t="str">
        <f ca="1">IFERROR(__xludf.DUMMYFUNCTION("IMPORTHTML(""http://www.mlssoccer.com/rosters/2018/fc-dallas"", ""table"", 1)"),"30-man Active Roster (Spots 1-30)")</f>
        <v>30-man Active Roster (Spots 1-30)</v>
      </c>
      <c r="C188" t="str">
        <f ca="1">IFERROR(__xludf.DUMMYFUNCTION("""COMPUTED_VALUE"""),"#")</f>
        <v>#</v>
      </c>
      <c r="D188" t="str">
        <f ca="1">IFERROR(__xludf.DUMMYFUNCTION("""COMPUTED_VALUE"""),"POS")</f>
        <v>POS</v>
      </c>
      <c r="E188" t="str">
        <f ca="1">IFERROR(__xludf.DUMMYFUNCTION("""COMPUTED_VALUE"""),"ROSTER STATUSR.S.")</f>
        <v>ROSTER STATUSR.S.</v>
      </c>
      <c r="F188" t="str">
        <f ca="1">IFERROR(__xludf.DUMMYFUNCTION("""COMPUTED_VALUE"""),"PLAYER CATEGORYCAT.")</f>
        <v>PLAYER CATEGORYCAT.</v>
      </c>
      <c r="G188" t="str">
        <f ca="1">IFERROR(__xludf.DUMMYFUNCTION("""COMPUTED_VALUE"""),"*NOTE*")</f>
        <v>*NOTE*</v>
      </c>
    </row>
    <row r="189" spans="1:7" ht="13.2" x14ac:dyDescent="0.25">
      <c r="A189" s="1" t="s">
        <v>17</v>
      </c>
      <c r="B189" t="str">
        <f ca="1">IFERROR(__xludf.DUMMYFUNCTION("""COMPUTED_VALUE"""),"Aguilar, Abel")</f>
        <v>Aguilar, Abel</v>
      </c>
      <c r="C189">
        <f ca="1">IFERROR(__xludf.DUMMYFUNCTION("""COMPUTED_VALUE"""),44)</f>
        <v>44</v>
      </c>
      <c r="D189" t="str">
        <f ca="1">IFERROR(__xludf.DUMMYFUNCTION("""COMPUTED_VALUE"""),"M")</f>
        <v>M</v>
      </c>
      <c r="E189" t="str">
        <f ca="1">IFERROR(__xludf.DUMMYFUNCTION("""COMPUTED_VALUE"""),"SeniorSR")</f>
        <v>SeniorSR</v>
      </c>
      <c r="F189" t="str">
        <f ca="1">IFERROR(__xludf.DUMMYFUNCTION("""COMPUTED_VALUE"""),"INTL")</f>
        <v>INTL</v>
      </c>
      <c r="G189" t="str">
        <f ca="1">IFERROR(__xludf.DUMMYFUNCTION("""COMPUTED_VALUE"""),"")</f>
        <v/>
      </c>
    </row>
    <row r="190" spans="1:7" ht="13.2" x14ac:dyDescent="0.25">
      <c r="A190" s="1" t="s">
        <v>17</v>
      </c>
      <c r="B190" t="str">
        <f ca="1">IFERROR(__xludf.DUMMYFUNCTION("""COMPUTED_VALUE"""),"Akindele, Tesho")</f>
        <v>Akindele, Tesho</v>
      </c>
      <c r="C190">
        <f ca="1">IFERROR(__xludf.DUMMYFUNCTION("""COMPUTED_VALUE"""),13)</f>
        <v>13</v>
      </c>
      <c r="D190" t="str">
        <f ca="1">IFERROR(__xludf.DUMMYFUNCTION("""COMPUTED_VALUE"""),"F")</f>
        <v>F</v>
      </c>
      <c r="E190" t="str">
        <f ca="1">IFERROR(__xludf.DUMMYFUNCTION("""COMPUTED_VALUE"""),"SeniorSR")</f>
        <v>SeniorSR</v>
      </c>
      <c r="F190" t="str">
        <f ca="1">IFERROR(__xludf.DUMMYFUNCTION("""COMPUTED_VALUE"""),"")</f>
        <v/>
      </c>
      <c r="G190" t="str">
        <f ca="1">IFERROR(__xludf.DUMMYFUNCTION("""COMPUTED_VALUE"""),"")</f>
        <v/>
      </c>
    </row>
    <row r="191" spans="1:7" ht="13.2" x14ac:dyDescent="0.25">
      <c r="A191" s="1" t="s">
        <v>17</v>
      </c>
      <c r="B191" t="str">
        <f ca="1">IFERROR(__xludf.DUMMYFUNCTION("""COMPUTED_VALUE"""),"Aránguiz, Pablo")</f>
        <v>Aránguiz, Pablo</v>
      </c>
      <c r="C191">
        <f ca="1">IFERROR(__xludf.DUMMYFUNCTION("""COMPUTED_VALUE"""),10)</f>
        <v>10</v>
      </c>
      <c r="D191" t="str">
        <f ca="1">IFERROR(__xludf.DUMMYFUNCTION("""COMPUTED_VALUE"""),"M")</f>
        <v>M</v>
      </c>
      <c r="E191" t="str">
        <f ca="1">IFERROR(__xludf.DUMMYFUNCTION("""COMPUTED_VALUE"""),"SeniorSR")</f>
        <v>SeniorSR</v>
      </c>
      <c r="F191" t="str">
        <f ca="1">IFERROR(__xludf.DUMMYFUNCTION("""COMPUTED_VALUE"""),"INTL")</f>
        <v>INTL</v>
      </c>
      <c r="G191" t="str">
        <f ca="1">IFERROR(__xludf.DUMMYFUNCTION("""COMPUTED_VALUE"""),"")</f>
        <v/>
      </c>
    </row>
    <row r="192" spans="1:7" ht="13.2" x14ac:dyDescent="0.25">
      <c r="A192" s="1" t="s">
        <v>17</v>
      </c>
      <c r="B192" t="str">
        <f ca="1">IFERROR(__xludf.DUMMYFUNCTION("""COMPUTED_VALUE"""),"Atuahene, Francis")</f>
        <v>Atuahene, Francis</v>
      </c>
      <c r="C192">
        <f ca="1">IFERROR(__xludf.DUMMYFUNCTION("""COMPUTED_VALUE"""),17)</f>
        <v>17</v>
      </c>
      <c r="D192" t="str">
        <f ca="1">IFERROR(__xludf.DUMMYFUNCTION("""COMPUTED_VALUE"""),"F")</f>
        <v>F</v>
      </c>
      <c r="E192" t="str">
        <f ca="1">IFERROR(__xludf.DUMMYFUNCTION("""COMPUTED_VALUE"""),"SupplementalSUP, On loanOL")</f>
        <v>SupplementalSUP, On loanOL</v>
      </c>
      <c r="F192" t="str">
        <f ca="1">IFERROR(__xludf.DUMMYFUNCTION("""COMPUTED_VALUE"""),"INTL")</f>
        <v>INTL</v>
      </c>
      <c r="G192" t="str">
        <f ca="1">IFERROR(__xludf.DUMMYFUNCTION("""COMPUTED_VALUE"""),"*On loanOL*")</f>
        <v>*On loanOL*</v>
      </c>
    </row>
    <row r="193" spans="1:7" ht="13.2" x14ac:dyDescent="0.25">
      <c r="A193" s="1" t="s">
        <v>17</v>
      </c>
      <c r="B193" t="str">
        <f ca="1">IFERROR(__xludf.DUMMYFUNCTION("""COMPUTED_VALUE"""),"Badji, Dominique")</f>
        <v>Badji, Dominique</v>
      </c>
      <c r="C193">
        <f ca="1">IFERROR(__xludf.DUMMYFUNCTION("""COMPUTED_VALUE"""),16)</f>
        <v>16</v>
      </c>
      <c r="D193" t="str">
        <f ca="1">IFERROR(__xludf.DUMMYFUNCTION("""COMPUTED_VALUE"""),"F")</f>
        <v>F</v>
      </c>
      <c r="E193" t="str">
        <f ca="1">IFERROR(__xludf.DUMMYFUNCTION("""COMPUTED_VALUE"""),"SeniorSR")</f>
        <v>SeniorSR</v>
      </c>
      <c r="F193" t="str">
        <f ca="1">IFERROR(__xludf.DUMMYFUNCTION("""COMPUTED_VALUE"""),"INTL")</f>
        <v>INTL</v>
      </c>
      <c r="G193" t="str">
        <f ca="1">IFERROR(__xludf.DUMMYFUNCTION("""COMPUTED_VALUE"""),"")</f>
        <v/>
      </c>
    </row>
    <row r="194" spans="1:7" ht="13.2" x14ac:dyDescent="0.25">
      <c r="A194" s="1" t="s">
        <v>17</v>
      </c>
      <c r="B194" t="str">
        <f ca="1">IFERROR(__xludf.DUMMYFUNCTION("""COMPUTED_VALUE"""),"Barrios, Michael")</f>
        <v>Barrios, Michael</v>
      </c>
      <c r="C194">
        <f ca="1">IFERROR(__xludf.DUMMYFUNCTION("""COMPUTED_VALUE"""),21)</f>
        <v>21</v>
      </c>
      <c r="D194" t="str">
        <f ca="1">IFERROR(__xludf.DUMMYFUNCTION("""COMPUTED_VALUE"""),"M")</f>
        <v>M</v>
      </c>
      <c r="E194" t="str">
        <f ca="1">IFERROR(__xludf.DUMMYFUNCTION("""COMPUTED_VALUE"""),"SeniorSR")</f>
        <v>SeniorSR</v>
      </c>
      <c r="F194" t="str">
        <f ca="1">IFERROR(__xludf.DUMMYFUNCTION("""COMPUTED_VALUE"""),"")</f>
        <v/>
      </c>
      <c r="G194" t="str">
        <f ca="1">IFERROR(__xludf.DUMMYFUNCTION("""COMPUTED_VALUE"""),"")</f>
        <v/>
      </c>
    </row>
    <row r="195" spans="1:7" ht="13.2" x14ac:dyDescent="0.25">
      <c r="A195" s="1" t="s">
        <v>17</v>
      </c>
      <c r="B195" t="str">
        <f ca="1">IFERROR(__xludf.DUMMYFUNCTION("""COMPUTED_VALUE"""),"Cannon, Reginald")</f>
        <v>Cannon, Reginald</v>
      </c>
      <c r="C195">
        <f ca="1">IFERROR(__xludf.DUMMYFUNCTION("""COMPUTED_VALUE"""),2)</f>
        <v>2</v>
      </c>
      <c r="D195" t="str">
        <f ca="1">IFERROR(__xludf.DUMMYFUNCTION("""COMPUTED_VALUE"""),"D")</f>
        <v>D</v>
      </c>
      <c r="E195" t="str">
        <f ca="1">IFERROR(__xludf.DUMMYFUNCTION("""COMPUTED_VALUE"""),"ReserveRES")</f>
        <v>ReserveRES</v>
      </c>
      <c r="F195" t="str">
        <f ca="1">IFERROR(__xludf.DUMMYFUNCTION("""COMPUTED_VALUE"""),"HG")</f>
        <v>HG</v>
      </c>
      <c r="G195" t="str">
        <f ca="1">IFERROR(__xludf.DUMMYFUNCTION("""COMPUTED_VALUE"""),"")</f>
        <v/>
      </c>
    </row>
    <row r="196" spans="1:7" ht="13.2" x14ac:dyDescent="0.25">
      <c r="A196" s="1" t="s">
        <v>17</v>
      </c>
      <c r="B196" t="str">
        <f ca="1">IFERROR(__xludf.DUMMYFUNCTION("""COMPUTED_VALUE"""),"Cano, Jordan")</f>
        <v>Cano, Jordan</v>
      </c>
      <c r="C196">
        <f ca="1">IFERROR(__xludf.DUMMYFUNCTION("""COMPUTED_VALUE"""),34)</f>
        <v>34</v>
      </c>
      <c r="D196" t="str">
        <f ca="1">IFERROR(__xludf.DUMMYFUNCTION("""COMPUTED_VALUE"""),"D")</f>
        <v>D</v>
      </c>
      <c r="E196" t="str">
        <f ca="1">IFERROR(__xludf.DUMMYFUNCTION("""COMPUTED_VALUE"""),"ReserveRES")</f>
        <v>ReserveRES</v>
      </c>
      <c r="F196" t="str">
        <f ca="1">IFERROR(__xludf.DUMMYFUNCTION("""COMPUTED_VALUE"""),"HG")</f>
        <v>HG</v>
      </c>
      <c r="G196" t="str">
        <f ca="1">IFERROR(__xludf.DUMMYFUNCTION("""COMPUTED_VALUE"""),"")</f>
        <v/>
      </c>
    </row>
    <row r="197" spans="1:7" ht="13.2" x14ac:dyDescent="0.25">
      <c r="A197" s="1" t="s">
        <v>17</v>
      </c>
      <c r="B197" t="str">
        <f ca="1">IFERROR(__xludf.DUMMYFUNCTION("""COMPUTED_VALUE"""),"Colman, Cristian")</f>
        <v>Colman, Cristian</v>
      </c>
      <c r="C197">
        <f ca="1">IFERROR(__xludf.DUMMYFUNCTION("""COMPUTED_VALUE"""),9)</f>
        <v>9</v>
      </c>
      <c r="D197" t="str">
        <f ca="1">IFERROR(__xludf.DUMMYFUNCTION("""COMPUTED_VALUE"""),"F")</f>
        <v>F</v>
      </c>
      <c r="E197" t="str">
        <f ca="1">IFERROR(__xludf.DUMMYFUNCTION("""COMPUTED_VALUE"""),"SeniorSR")</f>
        <v>SeniorSR</v>
      </c>
      <c r="F197" t="str">
        <f ca="1">IFERROR(__xludf.DUMMYFUNCTION("""COMPUTED_VALUE"""),"Young DPYDP, INTL")</f>
        <v>Young DPYDP, INTL</v>
      </c>
      <c r="G197" t="str">
        <f ca="1">IFERROR(__xludf.DUMMYFUNCTION("""COMPUTED_VALUE"""),"")</f>
        <v/>
      </c>
    </row>
    <row r="198" spans="1:7" ht="13.2" x14ac:dyDescent="0.25">
      <c r="A198" s="1" t="s">
        <v>17</v>
      </c>
      <c r="B198" t="str">
        <f ca="1">IFERROR(__xludf.DUMMYFUNCTION("""COMPUTED_VALUE"""),"Ferreira, Jesus")</f>
        <v>Ferreira, Jesus</v>
      </c>
      <c r="C198">
        <f ca="1">IFERROR(__xludf.DUMMYFUNCTION("""COMPUTED_VALUE"""),27)</f>
        <v>27</v>
      </c>
      <c r="D198" t="str">
        <f ca="1">IFERROR(__xludf.DUMMYFUNCTION("""COMPUTED_VALUE"""),"F")</f>
        <v>F</v>
      </c>
      <c r="E198" t="str">
        <f ca="1">IFERROR(__xludf.DUMMYFUNCTION("""COMPUTED_VALUE"""),"ReserveRES")</f>
        <v>ReserveRES</v>
      </c>
      <c r="F198" t="str">
        <f ca="1">IFERROR(__xludf.DUMMYFUNCTION("""COMPUTED_VALUE"""),"HG")</f>
        <v>HG</v>
      </c>
      <c r="G198" t="str">
        <f ca="1">IFERROR(__xludf.DUMMYFUNCTION("""COMPUTED_VALUE"""),"")</f>
        <v/>
      </c>
    </row>
    <row r="199" spans="1:7" ht="13.2" x14ac:dyDescent="0.25">
      <c r="A199" s="1" t="s">
        <v>17</v>
      </c>
      <c r="B199" t="str">
        <f ca="1">IFERROR(__xludf.DUMMYFUNCTION("""COMPUTED_VALUE"""),"Figueroa, Maynor")</f>
        <v>Figueroa, Maynor</v>
      </c>
      <c r="C199">
        <f ca="1">IFERROR(__xludf.DUMMYFUNCTION("""COMPUTED_VALUE"""),31)</f>
        <v>31</v>
      </c>
      <c r="D199" t="str">
        <f ca="1">IFERROR(__xludf.DUMMYFUNCTION("""COMPUTED_VALUE"""),"D")</f>
        <v>D</v>
      </c>
      <c r="E199" t="str">
        <f ca="1">IFERROR(__xludf.DUMMYFUNCTION("""COMPUTED_VALUE"""),"SeniorSR")</f>
        <v>SeniorSR</v>
      </c>
      <c r="F199" t="str">
        <f ca="1">IFERROR(__xludf.DUMMYFUNCTION("""COMPUTED_VALUE"""),"INTL")</f>
        <v>INTL</v>
      </c>
      <c r="G199" t="str">
        <f ca="1">IFERROR(__xludf.DUMMYFUNCTION("""COMPUTED_VALUE"""),"")</f>
        <v/>
      </c>
    </row>
    <row r="200" spans="1:7" ht="13.2" x14ac:dyDescent="0.25">
      <c r="A200" s="1" t="s">
        <v>17</v>
      </c>
      <c r="B200" t="str">
        <f ca="1">IFERROR(__xludf.DUMMYFUNCTION("""COMPUTED_VALUE"""),"Gonzalez, Jesse")</f>
        <v>Gonzalez, Jesse</v>
      </c>
      <c r="C200">
        <f ca="1">IFERROR(__xludf.DUMMYFUNCTION("""COMPUTED_VALUE"""),1)</f>
        <v>1</v>
      </c>
      <c r="D200" t="str">
        <f ca="1">IFERROR(__xludf.DUMMYFUNCTION("""COMPUTED_VALUE"""),"GK")</f>
        <v>GK</v>
      </c>
      <c r="E200" t="str">
        <f ca="1">IFERROR(__xludf.DUMMYFUNCTION("""COMPUTED_VALUE"""),"SeniorSR")</f>
        <v>SeniorSR</v>
      </c>
      <c r="F200" t="str">
        <f ca="1">IFERROR(__xludf.DUMMYFUNCTION("""COMPUTED_VALUE"""),"HG")</f>
        <v>HG</v>
      </c>
      <c r="G200" t="str">
        <f ca="1">IFERROR(__xludf.DUMMYFUNCTION("""COMPUTED_VALUE"""),"")</f>
        <v/>
      </c>
    </row>
    <row r="201" spans="1:7" ht="13.2" x14ac:dyDescent="0.25">
      <c r="A201" s="1" t="s">
        <v>17</v>
      </c>
      <c r="B201" t="str">
        <f ca="1">IFERROR(__xludf.DUMMYFUNCTION("""COMPUTED_VALUE"""),"Gruezo, Carlos")</f>
        <v>Gruezo, Carlos</v>
      </c>
      <c r="C201">
        <f ca="1">IFERROR(__xludf.DUMMYFUNCTION("""COMPUTED_VALUE"""),7)</f>
        <v>7</v>
      </c>
      <c r="D201" t="str">
        <f ca="1">IFERROR(__xludf.DUMMYFUNCTION("""COMPUTED_VALUE"""),"M")</f>
        <v>M</v>
      </c>
      <c r="E201" t="str">
        <f ca="1">IFERROR(__xludf.DUMMYFUNCTION("""COMPUTED_VALUE"""),"SeniorSR")</f>
        <v>SeniorSR</v>
      </c>
      <c r="F201" t="str">
        <f ca="1">IFERROR(__xludf.DUMMYFUNCTION("""COMPUTED_VALUE"""),"Young DPYDP, INTL")</f>
        <v>Young DPYDP, INTL</v>
      </c>
      <c r="G201" t="str">
        <f ca="1">IFERROR(__xludf.DUMMYFUNCTION("""COMPUTED_VALUE"""),"")</f>
        <v/>
      </c>
    </row>
    <row r="202" spans="1:7" ht="13.2" x14ac:dyDescent="0.25">
      <c r="A202" s="1" t="s">
        <v>17</v>
      </c>
      <c r="B202" t="str">
        <f ca="1">IFERROR(__xludf.DUMMYFUNCTION("""COMPUTED_VALUE"""),"Hayes, Jacori")</f>
        <v>Hayes, Jacori</v>
      </c>
      <c r="C202">
        <f ca="1">IFERROR(__xludf.DUMMYFUNCTION("""COMPUTED_VALUE"""),15)</f>
        <v>15</v>
      </c>
      <c r="D202" t="str">
        <f ca="1">IFERROR(__xludf.DUMMYFUNCTION("""COMPUTED_VALUE"""),"M")</f>
        <v>M</v>
      </c>
      <c r="E202" t="str">
        <f ca="1">IFERROR(__xludf.DUMMYFUNCTION("""COMPUTED_VALUE"""),"SeniorSR")</f>
        <v>SeniorSR</v>
      </c>
      <c r="F202" t="str">
        <f ca="1">IFERROR(__xludf.DUMMYFUNCTION("""COMPUTED_VALUE"""),"")</f>
        <v/>
      </c>
      <c r="G202" t="str">
        <f ca="1">IFERROR(__xludf.DUMMYFUNCTION("""COMPUTED_VALUE"""),"")</f>
        <v/>
      </c>
    </row>
    <row r="203" spans="1:7" ht="13.2" x14ac:dyDescent="0.25">
      <c r="A203" s="1" t="s">
        <v>17</v>
      </c>
      <c r="B203" t="str">
        <f ca="1">IFERROR(__xludf.DUMMYFUNCTION("""COMPUTED_VALUE"""),"Hedges, Matt")</f>
        <v>Hedges, Matt</v>
      </c>
      <c r="C203">
        <f ca="1">IFERROR(__xludf.DUMMYFUNCTION("""COMPUTED_VALUE"""),24)</f>
        <v>24</v>
      </c>
      <c r="D203" t="str">
        <f ca="1">IFERROR(__xludf.DUMMYFUNCTION("""COMPUTED_VALUE"""),"D")</f>
        <v>D</v>
      </c>
      <c r="E203" t="str">
        <f ca="1">IFERROR(__xludf.DUMMYFUNCTION("""COMPUTED_VALUE"""),"SeniorSR")</f>
        <v>SeniorSR</v>
      </c>
      <c r="F203" t="str">
        <f ca="1">IFERROR(__xludf.DUMMYFUNCTION("""COMPUTED_VALUE"""),"")</f>
        <v/>
      </c>
      <c r="G203" t="str">
        <f ca="1">IFERROR(__xludf.DUMMYFUNCTION("""COMPUTED_VALUE"""),"")</f>
        <v/>
      </c>
    </row>
    <row r="204" spans="1:7" ht="13.2" x14ac:dyDescent="0.25">
      <c r="A204" s="1" t="s">
        <v>17</v>
      </c>
      <c r="B204" t="str">
        <f ca="1">IFERROR(__xludf.DUMMYFUNCTION("""COMPUTED_VALUE"""),"Hernandez, Moises")</f>
        <v>Hernandez, Moises</v>
      </c>
      <c r="C204" t="str">
        <f ca="1">IFERROR(__xludf.DUMMYFUNCTION("""COMPUTED_VALUE"""),"")</f>
        <v/>
      </c>
      <c r="D204" t="str">
        <f ca="1">IFERROR(__xludf.DUMMYFUNCTION("""COMPUTED_VALUE"""),"")</f>
        <v/>
      </c>
      <c r="E204" t="str">
        <f ca="1">IFERROR(__xludf.DUMMYFUNCTION("""COMPUTED_VALUE"""),"SeniorSR")</f>
        <v>SeniorSR</v>
      </c>
      <c r="F204" t="str">
        <f ca="1">IFERROR(__xludf.DUMMYFUNCTION("""COMPUTED_VALUE"""),"")</f>
        <v/>
      </c>
      <c r="G204" t="str">
        <f ca="1">IFERROR(__xludf.DUMMYFUNCTION("""COMPUTED_VALUE"""),"")</f>
        <v/>
      </c>
    </row>
    <row r="205" spans="1:7" ht="13.2" x14ac:dyDescent="0.25">
      <c r="A205" s="1" t="s">
        <v>17</v>
      </c>
      <c r="B205" t="str">
        <f ca="1">IFERROR(__xludf.DUMMYFUNCTION("""COMPUTED_VALUE"""),"Hollingshead, Ryan")</f>
        <v>Hollingshead, Ryan</v>
      </c>
      <c r="C205">
        <f ca="1">IFERROR(__xludf.DUMMYFUNCTION("""COMPUTED_VALUE"""),12)</f>
        <v>12</v>
      </c>
      <c r="D205" t="str">
        <f ca="1">IFERROR(__xludf.DUMMYFUNCTION("""COMPUTED_VALUE"""),"M")</f>
        <v>M</v>
      </c>
      <c r="E205" t="str">
        <f ca="1">IFERROR(__xludf.DUMMYFUNCTION("""COMPUTED_VALUE"""),"SeniorSR")</f>
        <v>SeniorSR</v>
      </c>
      <c r="F205" t="str">
        <f ca="1">IFERROR(__xludf.DUMMYFUNCTION("""COMPUTED_VALUE"""),"")</f>
        <v/>
      </c>
      <c r="G205" t="str">
        <f ca="1">IFERROR(__xludf.DUMMYFUNCTION("""COMPUTED_VALUE"""),"")</f>
        <v/>
      </c>
    </row>
    <row r="206" spans="1:7" ht="13.2" x14ac:dyDescent="0.25">
      <c r="A206" s="1" t="s">
        <v>17</v>
      </c>
      <c r="B206" t="str">
        <f ca="1">IFERROR(__xludf.DUMMYFUNCTION("""COMPUTED_VALUE"""),"Lamah, Roland")</f>
        <v>Lamah, Roland</v>
      </c>
      <c r="C206">
        <f ca="1">IFERROR(__xludf.DUMMYFUNCTION("""COMPUTED_VALUE"""),20)</f>
        <v>20</v>
      </c>
      <c r="D206" t="str">
        <f ca="1">IFERROR(__xludf.DUMMYFUNCTION("""COMPUTED_VALUE"""),"M")</f>
        <v>M</v>
      </c>
      <c r="E206" t="str">
        <f ca="1">IFERROR(__xludf.DUMMYFUNCTION("""COMPUTED_VALUE"""),"SeniorSR")</f>
        <v>SeniorSR</v>
      </c>
      <c r="F206" t="str">
        <f ca="1">IFERROR(__xludf.DUMMYFUNCTION("""COMPUTED_VALUE"""),"INTL")</f>
        <v>INTL</v>
      </c>
      <c r="G206" t="str">
        <f ca="1">IFERROR(__xludf.DUMMYFUNCTION("""COMPUTED_VALUE"""),"")</f>
        <v/>
      </c>
    </row>
    <row r="207" spans="1:7" ht="13.2" x14ac:dyDescent="0.25">
      <c r="A207" s="1" t="s">
        <v>17</v>
      </c>
      <c r="B207" t="str">
        <f ca="1">IFERROR(__xludf.DUMMYFUNCTION("""COMPUTED_VALUE"""),"Maurer, Jimmy")</f>
        <v>Maurer, Jimmy</v>
      </c>
      <c r="C207">
        <f ca="1">IFERROR(__xludf.DUMMYFUNCTION("""COMPUTED_VALUE"""),14)</f>
        <v>14</v>
      </c>
      <c r="D207" t="str">
        <f ca="1">IFERROR(__xludf.DUMMYFUNCTION("""COMPUTED_VALUE"""),"GK")</f>
        <v>GK</v>
      </c>
      <c r="E207" t="str">
        <f ca="1">IFERROR(__xludf.DUMMYFUNCTION("""COMPUTED_VALUE"""),"SeniorSR")</f>
        <v>SeniorSR</v>
      </c>
      <c r="F207" t="str">
        <f ca="1">IFERROR(__xludf.DUMMYFUNCTION("""COMPUTED_VALUE"""),"")</f>
        <v/>
      </c>
      <c r="G207" t="str">
        <f ca="1">IFERROR(__xludf.DUMMYFUNCTION("""COMPUTED_VALUE"""),"")</f>
        <v/>
      </c>
    </row>
    <row r="208" spans="1:7" ht="13.2" x14ac:dyDescent="0.25">
      <c r="A208" s="1" t="s">
        <v>17</v>
      </c>
      <c r="B208" t="str">
        <f ca="1">IFERROR(__xludf.DUMMYFUNCTION("""COMPUTED_VALUE"""),"Mosquera, Santiago")</f>
        <v>Mosquera, Santiago</v>
      </c>
      <c r="C208">
        <f ca="1">IFERROR(__xludf.DUMMYFUNCTION("""COMPUTED_VALUE"""),11)</f>
        <v>11</v>
      </c>
      <c r="D208" t="str">
        <f ca="1">IFERROR(__xludf.DUMMYFUNCTION("""COMPUTED_VALUE"""),"M")</f>
        <v>M</v>
      </c>
      <c r="E208" t="str">
        <f ca="1">IFERROR(__xludf.DUMMYFUNCTION("""COMPUTED_VALUE"""),"SeniorSR")</f>
        <v>SeniorSR</v>
      </c>
      <c r="F208" t="str">
        <f ca="1">IFERROR(__xludf.DUMMYFUNCTION("""COMPUTED_VALUE"""),"Young DPYDP, INTL")</f>
        <v>Young DPYDP, INTL</v>
      </c>
      <c r="G208" t="str">
        <f ca="1">IFERROR(__xludf.DUMMYFUNCTION("""COMPUTED_VALUE"""),"")</f>
        <v/>
      </c>
    </row>
    <row r="209" spans="1:7" ht="13.2" x14ac:dyDescent="0.25">
      <c r="A209" s="1" t="s">
        <v>17</v>
      </c>
      <c r="B209" t="str">
        <f ca="1">IFERROR(__xludf.DUMMYFUNCTION("""COMPUTED_VALUE"""),"Pedroso, Marquinhos")</f>
        <v>Pedroso, Marquinhos</v>
      </c>
      <c r="C209">
        <f ca="1">IFERROR(__xludf.DUMMYFUNCTION("""COMPUTED_VALUE"""),6)</f>
        <v>6</v>
      </c>
      <c r="D209" t="str">
        <f ca="1">IFERROR(__xludf.DUMMYFUNCTION("""COMPUTED_VALUE"""),"D")</f>
        <v>D</v>
      </c>
      <c r="E209" t="str">
        <f ca="1">IFERROR(__xludf.DUMMYFUNCTION("""COMPUTED_VALUE"""),"SeniorSR")</f>
        <v>SeniorSR</v>
      </c>
      <c r="F209" t="str">
        <f ca="1">IFERROR(__xludf.DUMMYFUNCTION("""COMPUTED_VALUE"""),"INTL")</f>
        <v>INTL</v>
      </c>
      <c r="G209" t="str">
        <f ca="1">IFERROR(__xludf.DUMMYFUNCTION("""COMPUTED_VALUE"""),"")</f>
        <v/>
      </c>
    </row>
    <row r="210" spans="1:7" ht="13.2" x14ac:dyDescent="0.25">
      <c r="A210" s="1" t="s">
        <v>17</v>
      </c>
      <c r="B210" t="str">
        <f ca="1">IFERROR(__xludf.DUMMYFUNCTION("""COMPUTED_VALUE"""),"Pomykal, Paxton")</f>
        <v>Pomykal, Paxton</v>
      </c>
      <c r="C210">
        <f ca="1">IFERROR(__xludf.DUMMYFUNCTION("""COMPUTED_VALUE"""),19)</f>
        <v>19</v>
      </c>
      <c r="D210" t="str">
        <f ca="1">IFERROR(__xludf.DUMMYFUNCTION("""COMPUTED_VALUE"""),"M")</f>
        <v>M</v>
      </c>
      <c r="E210" t="str">
        <f ca="1">IFERROR(__xludf.DUMMYFUNCTION("""COMPUTED_VALUE"""),"SupplementalSUP")</f>
        <v>SupplementalSUP</v>
      </c>
      <c r="F210" t="str">
        <f ca="1">IFERROR(__xludf.DUMMYFUNCTION("""COMPUTED_VALUE"""),"HG")</f>
        <v>HG</v>
      </c>
      <c r="G210" t="str">
        <f ca="1">IFERROR(__xludf.DUMMYFUNCTION("""COMPUTED_VALUE"""),"")</f>
        <v/>
      </c>
    </row>
    <row r="211" spans="1:7" ht="13.2" x14ac:dyDescent="0.25">
      <c r="A211" s="1" t="s">
        <v>17</v>
      </c>
      <c r="B211" t="str">
        <f ca="1">IFERROR(__xludf.DUMMYFUNCTION("""COMPUTED_VALUE"""),"Reaves, Kris")</f>
        <v>Reaves, Kris</v>
      </c>
      <c r="C211">
        <f ca="1">IFERROR(__xludf.DUMMYFUNCTION("""COMPUTED_VALUE"""),32)</f>
        <v>32</v>
      </c>
      <c r="D211" t="str">
        <f ca="1">IFERROR(__xludf.DUMMYFUNCTION("""COMPUTED_VALUE"""),"D")</f>
        <v>D</v>
      </c>
      <c r="E211" t="str">
        <f ca="1">IFERROR(__xludf.DUMMYFUNCTION("""COMPUTED_VALUE"""),"ReserveRES")</f>
        <v>ReserveRES</v>
      </c>
      <c r="F211" t="str">
        <f ca="1">IFERROR(__xludf.DUMMYFUNCTION("""COMPUTED_VALUE"""),"HG")</f>
        <v>HG</v>
      </c>
      <c r="G211" t="str">
        <f ca="1">IFERROR(__xludf.DUMMYFUNCTION("""COMPUTED_VALUE"""),"")</f>
        <v/>
      </c>
    </row>
    <row r="212" spans="1:7" ht="13.2" x14ac:dyDescent="0.25">
      <c r="A212" s="1" t="s">
        <v>17</v>
      </c>
      <c r="B212" t="str">
        <f ca="1">IFERROR(__xludf.DUMMYFUNCTION("""COMPUTED_VALUE"""),"Reynolds, Bryan")</f>
        <v>Reynolds, Bryan</v>
      </c>
      <c r="C212">
        <f ca="1">IFERROR(__xludf.DUMMYFUNCTION("""COMPUTED_VALUE"""),29)</f>
        <v>29</v>
      </c>
      <c r="D212" t="str">
        <f ca="1">IFERROR(__xludf.DUMMYFUNCTION("""COMPUTED_VALUE"""),"F")</f>
        <v>F</v>
      </c>
      <c r="E212" t="str">
        <f ca="1">IFERROR(__xludf.DUMMYFUNCTION("""COMPUTED_VALUE"""),"ReserveRES")</f>
        <v>ReserveRES</v>
      </c>
      <c r="F212" t="str">
        <f ca="1">IFERROR(__xludf.DUMMYFUNCTION("""COMPUTED_VALUE"""),"HG")</f>
        <v>HG</v>
      </c>
      <c r="G212" t="str">
        <f ca="1">IFERROR(__xludf.DUMMYFUNCTION("""COMPUTED_VALUE"""),"")</f>
        <v/>
      </c>
    </row>
    <row r="213" spans="1:7" ht="13.2" x14ac:dyDescent="0.25">
      <c r="A213" s="1" t="s">
        <v>17</v>
      </c>
      <c r="B213" t="str">
        <f ca="1">IFERROR(__xludf.DUMMYFUNCTION("""COMPUTED_VALUE"""),"Servania, Brandon")</f>
        <v>Servania, Brandon</v>
      </c>
      <c r="C213">
        <f ca="1">IFERROR(__xludf.DUMMYFUNCTION("""COMPUTED_VALUE"""),18)</f>
        <v>18</v>
      </c>
      <c r="D213" t="str">
        <f ca="1">IFERROR(__xludf.DUMMYFUNCTION("""COMPUTED_VALUE"""),"M")</f>
        <v>M</v>
      </c>
      <c r="E213" t="str">
        <f ca="1">IFERROR(__xludf.DUMMYFUNCTION("""COMPUTED_VALUE"""),"ReserveRES")</f>
        <v>ReserveRES</v>
      </c>
      <c r="F213" t="str">
        <f ca="1">IFERROR(__xludf.DUMMYFUNCTION("""COMPUTED_VALUE"""),"HG")</f>
        <v>HG</v>
      </c>
      <c r="G213" t="str">
        <f ca="1">IFERROR(__xludf.DUMMYFUNCTION("""COMPUTED_VALUE"""),"")</f>
        <v/>
      </c>
    </row>
    <row r="214" spans="1:7" ht="13.2" x14ac:dyDescent="0.25">
      <c r="A214" s="1" t="s">
        <v>17</v>
      </c>
      <c r="B214" t="str">
        <f ca="1">IFERROR(__xludf.DUMMYFUNCTION("""COMPUTED_VALUE"""),"Twumasi, Ema")</f>
        <v>Twumasi, Ema</v>
      </c>
      <c r="C214">
        <f ca="1">IFERROR(__xludf.DUMMYFUNCTION("""COMPUTED_VALUE"""),22)</f>
        <v>22</v>
      </c>
      <c r="D214" t="str">
        <f ca="1">IFERROR(__xludf.DUMMYFUNCTION("""COMPUTED_VALUE"""),"F")</f>
        <v>F</v>
      </c>
      <c r="E214" t="str">
        <f ca="1">IFERROR(__xludf.DUMMYFUNCTION("""COMPUTED_VALUE"""),"SupplementalSUP, On loanOL")</f>
        <v>SupplementalSUP, On loanOL</v>
      </c>
      <c r="F214" t="str">
        <f ca="1">IFERROR(__xludf.DUMMYFUNCTION("""COMPUTED_VALUE"""),"INTL")</f>
        <v>INTL</v>
      </c>
      <c r="G214" t="str">
        <f ca="1">IFERROR(__xludf.DUMMYFUNCTION("""COMPUTED_VALUE"""),"*On loanOL*")</f>
        <v>*On loanOL*</v>
      </c>
    </row>
    <row r="215" spans="1:7" ht="13.2" x14ac:dyDescent="0.25">
      <c r="A215" s="1" t="s">
        <v>17</v>
      </c>
      <c r="B215" t="str">
        <f ca="1">IFERROR(__xludf.DUMMYFUNCTION("""COMPUTED_VALUE"""),"Ulloa, Victor")</f>
        <v>Ulloa, Victor</v>
      </c>
      <c r="C215">
        <f ca="1">IFERROR(__xludf.DUMMYFUNCTION("""COMPUTED_VALUE"""),8)</f>
        <v>8</v>
      </c>
      <c r="D215" t="str">
        <f ca="1">IFERROR(__xludf.DUMMYFUNCTION("""COMPUTED_VALUE"""),"M")</f>
        <v>M</v>
      </c>
      <c r="E215" t="str">
        <f ca="1">IFERROR(__xludf.DUMMYFUNCTION("""COMPUTED_VALUE"""),"SeniorSR")</f>
        <v>SeniorSR</v>
      </c>
      <c r="F215" t="str">
        <f ca="1">IFERROR(__xludf.DUMMYFUNCTION("""COMPUTED_VALUE"""),"HG")</f>
        <v>HG</v>
      </c>
      <c r="G215" t="str">
        <f ca="1">IFERROR(__xludf.DUMMYFUNCTION("""COMPUTED_VALUE"""),"")</f>
        <v/>
      </c>
    </row>
    <row r="216" spans="1:7" ht="13.2" x14ac:dyDescent="0.25">
      <c r="A216" s="1" t="s">
        <v>17</v>
      </c>
      <c r="B216" t="str">
        <f ca="1">IFERROR(__xludf.DUMMYFUNCTION("""COMPUTED_VALUE"""),"Urruti, Maximiliano")</f>
        <v>Urruti, Maximiliano</v>
      </c>
      <c r="C216">
        <f ca="1">IFERROR(__xludf.DUMMYFUNCTION("""COMPUTED_VALUE"""),37)</f>
        <v>37</v>
      </c>
      <c r="D216" t="str">
        <f ca="1">IFERROR(__xludf.DUMMYFUNCTION("""COMPUTED_VALUE"""),"F")</f>
        <v>F</v>
      </c>
      <c r="E216" t="str">
        <f ca="1">IFERROR(__xludf.DUMMYFUNCTION("""COMPUTED_VALUE"""),"SeniorSR")</f>
        <v>SeniorSR</v>
      </c>
      <c r="F216" t="str">
        <f ca="1">IFERROR(__xludf.DUMMYFUNCTION("""COMPUTED_VALUE"""),"")</f>
        <v/>
      </c>
      <c r="G216" t="str">
        <f ca="1">IFERROR(__xludf.DUMMYFUNCTION("""COMPUTED_VALUE"""),"")</f>
        <v/>
      </c>
    </row>
    <row r="217" spans="1:7" ht="13.2" x14ac:dyDescent="0.25">
      <c r="A217" s="1" t="s">
        <v>17</v>
      </c>
      <c r="B217" t="str">
        <f ca="1">IFERROR(__xludf.DUMMYFUNCTION("""COMPUTED_VALUE"""),"Ziegler, Reto")</f>
        <v>Ziegler, Reto</v>
      </c>
      <c r="C217">
        <f ca="1">IFERROR(__xludf.DUMMYFUNCTION("""COMPUTED_VALUE"""),3)</f>
        <v>3</v>
      </c>
      <c r="D217" t="str">
        <f ca="1">IFERROR(__xludf.DUMMYFUNCTION("""COMPUTED_VALUE"""),"D")</f>
        <v>D</v>
      </c>
      <c r="E217" t="str">
        <f ca="1">IFERROR(__xludf.DUMMYFUNCTION("""COMPUTED_VALUE"""),"SeniorSR")</f>
        <v>SeniorSR</v>
      </c>
      <c r="F217" t="str">
        <f ca="1">IFERROR(__xludf.DUMMYFUNCTION("""COMPUTED_VALUE"""),"INTL")</f>
        <v>INTL</v>
      </c>
      <c r="G217" t="str">
        <f ca="1">IFERROR(__xludf.DUMMYFUNCTION("""COMPUTED_VALUE"""),"")</f>
        <v/>
      </c>
    </row>
    <row r="218" spans="1:7" ht="13.2" x14ac:dyDescent="0.25">
      <c r="A218" s="1" t="s">
        <v>17</v>
      </c>
      <c r="B218" t="str">
        <f ca="1">IFERROR(__xludf.DUMMYFUNCTION("""COMPUTED_VALUE"""),"Zobeck, Kyle")</f>
        <v>Zobeck, Kyle</v>
      </c>
      <c r="C218">
        <f ca="1">IFERROR(__xludf.DUMMYFUNCTION("""COMPUTED_VALUE"""),30)</f>
        <v>30</v>
      </c>
      <c r="D218" t="str">
        <f ca="1">IFERROR(__xludf.DUMMYFUNCTION("""COMPUTED_VALUE"""),"GK")</f>
        <v>GK</v>
      </c>
      <c r="E218" t="str">
        <f ca="1">IFERROR(__xludf.DUMMYFUNCTION("""COMPUTED_VALUE"""),"SupplementalSUP")</f>
        <v>SupplementalSUP</v>
      </c>
      <c r="F218" t="str">
        <f ca="1">IFERROR(__xludf.DUMMYFUNCTION("""COMPUTED_VALUE"""),"")</f>
        <v/>
      </c>
      <c r="G218" t="str">
        <f ca="1">IFERROR(__xludf.DUMMYFUNCTION("""COMPUTED_VALUE"""),"")</f>
        <v/>
      </c>
    </row>
    <row r="219" spans="1:7" ht="13.2" x14ac:dyDescent="0.25">
      <c r="A219" s="1" t="s">
        <v>17</v>
      </c>
      <c r="B219" t="str">
        <f ca="1">IFERROR(__xludf.DUMMYFUNCTION("""COMPUTED_VALUE"""),"30 of 30 spots filled")</f>
        <v>30 of 30 spots filled</v>
      </c>
      <c r="C219" t="str">
        <f ca="1">IFERROR(__xludf.DUMMYFUNCTION("""COMPUTED_VALUE"""),"")</f>
        <v/>
      </c>
      <c r="D219" t="str">
        <f ca="1">IFERROR(__xludf.DUMMYFUNCTION("""COMPUTED_VALUE"""),"")</f>
        <v/>
      </c>
      <c r="E219" t="str">
        <f ca="1">IFERROR(__xludf.DUMMYFUNCTION("""COMPUTED_VALUE"""),"")</f>
        <v/>
      </c>
      <c r="F219" t="str">
        <f ca="1">IFERROR(__xludf.DUMMYFUNCTION("""COMPUTED_VALUE"""),"")</f>
        <v/>
      </c>
      <c r="G219" t="str">
        <f ca="1">IFERROR(__xludf.DUMMYFUNCTION("""COMPUTED_VALUE"""),"")</f>
        <v/>
      </c>
    </row>
    <row r="220" spans="1:7" ht="13.2" x14ac:dyDescent="0.25">
      <c r="A220" s="1" t="s">
        <v>17</v>
      </c>
      <c r="B220" t="str">
        <f ca="1">IFERROR(__xludf.DUMMYFUNCTION("""COMPUTED_VALUE"""),"*Players that do not count against the 30-man active roster*")</f>
        <v>*Players that do not count against the 30-man active roster*</v>
      </c>
      <c r="C220" t="str">
        <f ca="1">IFERROR(__xludf.DUMMYFUNCTION("""COMPUTED_VALUE"""),"")</f>
        <v/>
      </c>
      <c r="D220" t="str">
        <f ca="1">IFERROR(__xludf.DUMMYFUNCTION("""COMPUTED_VALUE"""),"")</f>
        <v/>
      </c>
      <c r="E220" t="str">
        <f ca="1">IFERROR(__xludf.DUMMYFUNCTION("""COMPUTED_VALUE"""),"")</f>
        <v/>
      </c>
      <c r="F220" t="str">
        <f ca="1">IFERROR(__xludf.DUMMYFUNCTION("""COMPUTED_VALUE"""),"")</f>
        <v/>
      </c>
      <c r="G220" t="str">
        <f ca="1">IFERROR(__xludf.DUMMYFUNCTION("""COMPUTED_VALUE"""),"")</f>
        <v/>
      </c>
    </row>
    <row r="221" spans="1:7" ht="13.2" x14ac:dyDescent="0.25">
      <c r="A221" s="1" t="s">
        <v>17</v>
      </c>
      <c r="B221" t="str">
        <f ca="1">IFERROR(__xludf.DUMMYFUNCTION("""COMPUTED_VALUE"""),"Reid, Adonijah")</f>
        <v>Reid, Adonijah</v>
      </c>
      <c r="C221" t="str">
        <f ca="1">IFERROR(__xludf.DUMMYFUNCTION("""COMPUTED_VALUE"""),"")</f>
        <v/>
      </c>
      <c r="D221" t="str">
        <f ca="1">IFERROR(__xludf.DUMMYFUNCTION("""COMPUTED_VALUE"""),"")</f>
        <v/>
      </c>
      <c r="E221" t="str">
        <f ca="1">IFERROR(__xludf.DUMMYFUNCTION("""COMPUTED_VALUE"""),"On loanOL")</f>
        <v>On loanOL</v>
      </c>
      <c r="F221" t="str">
        <f ca="1">IFERROR(__xludf.DUMMYFUNCTION("""COMPUTED_VALUE"""),"*Loaned to: USLOL: USL*")</f>
        <v>*Loaned to: USLOL: USL*</v>
      </c>
      <c r="G221" t="str">
        <f ca="1">IFERROR(__xludf.DUMMYFUNCTION("""COMPUTED_VALUE"""),"")</f>
        <v/>
      </c>
    </row>
    <row r="222" spans="1:7" ht="13.2" x14ac:dyDescent="0.25">
      <c r="A222" s="1" t="s">
        <v>17</v>
      </c>
      <c r="B222" t="str">
        <f ca="1">IFERROR(__xludf.DUMMYFUNCTION("""COMPUTED_VALUE"""),"Chala, Anibal")</f>
        <v>Chala, Anibal</v>
      </c>
      <c r="C222" t="str">
        <f ca="1">IFERROR(__xludf.DUMMYFUNCTION("""COMPUTED_VALUE"""),"")</f>
        <v/>
      </c>
      <c r="D222" t="str">
        <f ca="1">IFERROR(__xludf.DUMMYFUNCTION("""COMPUTED_VALUE"""),"D")</f>
        <v>D</v>
      </c>
      <c r="E222" t="str">
        <f ca="1">IFERROR(__xludf.DUMMYFUNCTION("""COMPUTED_VALUE"""),"On loanOL")</f>
        <v>On loanOL</v>
      </c>
      <c r="F222" t="str">
        <f ca="1">IFERROR(__xludf.DUMMYFUNCTION("""COMPUTED_VALUE"""),"*On loanOL*")</f>
        <v>*On loanOL*</v>
      </c>
      <c r="G222" t="str">
        <f ca="1">IFERROR(__xludf.DUMMYFUNCTION("""COMPUTED_VALUE"""),"")</f>
        <v/>
      </c>
    </row>
    <row r="224" spans="1:7" ht="13.2" x14ac:dyDescent="0.25">
      <c r="B224" t="str">
        <f ca="1">IFERROR(__xludf.DUMMYFUNCTION("IMPORTHTML(""http://www.mlssoccer.com/rosters/2018/houston-dynamo"", ""table"", 1)"),"30-man Active Roster (Spots 1-30)")</f>
        <v>30-man Active Roster (Spots 1-30)</v>
      </c>
      <c r="C224" t="str">
        <f ca="1">IFERROR(__xludf.DUMMYFUNCTION("""COMPUTED_VALUE"""),"#")</f>
        <v>#</v>
      </c>
      <c r="D224" t="str">
        <f ca="1">IFERROR(__xludf.DUMMYFUNCTION("""COMPUTED_VALUE"""),"POS")</f>
        <v>POS</v>
      </c>
      <c r="E224" t="str">
        <f ca="1">IFERROR(__xludf.DUMMYFUNCTION("""COMPUTED_VALUE"""),"ROSTER STATUSR.S.")</f>
        <v>ROSTER STATUSR.S.</v>
      </c>
      <c r="F224" t="str">
        <f ca="1">IFERROR(__xludf.DUMMYFUNCTION("""COMPUTED_VALUE"""),"PLAYER CATEGORYCAT.")</f>
        <v>PLAYER CATEGORYCAT.</v>
      </c>
      <c r="G224" t="str">
        <f ca="1">IFERROR(__xludf.DUMMYFUNCTION("""COMPUTED_VALUE"""),"*NOTE*")</f>
        <v>*NOTE*</v>
      </c>
    </row>
    <row r="225" spans="1:7" ht="13.2" x14ac:dyDescent="0.25">
      <c r="A225" s="1" t="s">
        <v>18</v>
      </c>
      <c r="B225" t="str">
        <f ca="1">IFERROR(__xludf.DUMMYFUNCTION("""COMPUTED_VALUE"""),"Alexander, Eric")</f>
        <v>Alexander, Eric</v>
      </c>
      <c r="C225">
        <f ca="1">IFERROR(__xludf.DUMMYFUNCTION("""COMPUTED_VALUE"""),6)</f>
        <v>6</v>
      </c>
      <c r="D225" t="str">
        <f ca="1">IFERROR(__xludf.DUMMYFUNCTION("""COMPUTED_VALUE"""),"M")</f>
        <v>M</v>
      </c>
      <c r="E225" t="str">
        <f ca="1">IFERROR(__xludf.DUMMYFUNCTION("""COMPUTED_VALUE"""),"SeniorSR")</f>
        <v>SeniorSR</v>
      </c>
      <c r="F225" t="str">
        <f ca="1">IFERROR(__xludf.DUMMYFUNCTION("""COMPUTED_VALUE"""),"")</f>
        <v/>
      </c>
      <c r="G225" t="str">
        <f ca="1">IFERROR(__xludf.DUMMYFUNCTION("""COMPUTED_VALUE"""),"")</f>
        <v/>
      </c>
    </row>
    <row r="226" spans="1:7" ht="13.2" x14ac:dyDescent="0.25">
      <c r="A226" s="1" t="s">
        <v>18</v>
      </c>
      <c r="B226" t="str">
        <f ca="1">IFERROR(__xludf.DUMMYFUNCTION("""COMPUTED_VALUE"""),"Alvarez, Arturo")</f>
        <v>Alvarez, Arturo</v>
      </c>
      <c r="C226">
        <f ca="1">IFERROR(__xludf.DUMMYFUNCTION("""COMPUTED_VALUE"""),12)</f>
        <v>12</v>
      </c>
      <c r="D226" t="str">
        <f ca="1">IFERROR(__xludf.DUMMYFUNCTION("""COMPUTED_VALUE"""),"M")</f>
        <v>M</v>
      </c>
      <c r="E226" t="str">
        <f ca="1">IFERROR(__xludf.DUMMYFUNCTION("""COMPUTED_VALUE"""),"SeniorSR")</f>
        <v>SeniorSR</v>
      </c>
      <c r="F226" t="str">
        <f ca="1">IFERROR(__xludf.DUMMYFUNCTION("""COMPUTED_VALUE"""),"")</f>
        <v/>
      </c>
      <c r="G226" t="str">
        <f ca="1">IFERROR(__xludf.DUMMYFUNCTION("""COMPUTED_VALUE"""),"")</f>
        <v/>
      </c>
    </row>
    <row r="227" spans="1:7" ht="13.2" x14ac:dyDescent="0.25">
      <c r="A227" s="1" t="s">
        <v>18</v>
      </c>
      <c r="B227" t="str">
        <f ca="1">IFERROR(__xludf.DUMMYFUNCTION("""COMPUTED_VALUE"""),"Beasley, DeMarcus")</f>
        <v>Beasley, DeMarcus</v>
      </c>
      <c r="C227">
        <f ca="1">IFERROR(__xludf.DUMMYFUNCTION("""COMPUTED_VALUE"""),7)</f>
        <v>7</v>
      </c>
      <c r="D227" t="str">
        <f ca="1">IFERROR(__xludf.DUMMYFUNCTION("""COMPUTED_VALUE"""),"D")</f>
        <v>D</v>
      </c>
      <c r="E227" t="str">
        <f ca="1">IFERROR(__xludf.DUMMYFUNCTION("""COMPUTED_VALUE"""),"SeniorSR")</f>
        <v>SeniorSR</v>
      </c>
      <c r="F227" t="str">
        <f ca="1">IFERROR(__xludf.DUMMYFUNCTION("""COMPUTED_VALUE"""),"")</f>
        <v/>
      </c>
      <c r="G227" t="str">
        <f ca="1">IFERROR(__xludf.DUMMYFUNCTION("""COMPUTED_VALUE"""),"")</f>
        <v/>
      </c>
    </row>
    <row r="228" spans="1:7" ht="13.2" x14ac:dyDescent="0.25">
      <c r="A228" s="1" t="s">
        <v>18</v>
      </c>
      <c r="B228" t="str">
        <f ca="1">IFERROR(__xludf.DUMMYFUNCTION("""COMPUTED_VALUE"""),"Bird, Eric")</f>
        <v>Bird, Eric</v>
      </c>
      <c r="C228">
        <f ca="1">IFERROR(__xludf.DUMMYFUNCTION("""COMPUTED_VALUE"""),25)</f>
        <v>25</v>
      </c>
      <c r="D228" t="str">
        <f ca="1">IFERROR(__xludf.DUMMYFUNCTION("""COMPUTED_VALUE"""),"M")</f>
        <v>M</v>
      </c>
      <c r="E228" t="str">
        <f ca="1">IFERROR(__xludf.DUMMYFUNCTION("""COMPUTED_VALUE"""),"SupplementalSUP")</f>
        <v>SupplementalSUP</v>
      </c>
      <c r="F228" t="str">
        <f ca="1">IFERROR(__xludf.DUMMYFUNCTION("""COMPUTED_VALUE"""),"")</f>
        <v/>
      </c>
      <c r="G228" t="str">
        <f ca="1">IFERROR(__xludf.DUMMYFUNCTION("""COMPUTED_VALUE"""),"")</f>
        <v/>
      </c>
    </row>
    <row r="229" spans="1:7" ht="13.2" x14ac:dyDescent="0.25">
      <c r="A229" s="1" t="s">
        <v>18</v>
      </c>
      <c r="B229" t="str">
        <f ca="1">IFERROR(__xludf.DUMMYFUNCTION("""COMPUTED_VALUE"""),"Cabezas, Juan David")</f>
        <v>Cabezas, Juan David</v>
      </c>
      <c r="C229">
        <f ca="1">IFERROR(__xludf.DUMMYFUNCTION("""COMPUTED_VALUE"""),5)</f>
        <v>5</v>
      </c>
      <c r="D229" t="str">
        <f ca="1">IFERROR(__xludf.DUMMYFUNCTION("""COMPUTED_VALUE"""),"M")</f>
        <v>M</v>
      </c>
      <c r="E229" t="str">
        <f ca="1">IFERROR(__xludf.DUMMYFUNCTION("""COMPUTED_VALUE"""),"SeniorSR")</f>
        <v>SeniorSR</v>
      </c>
      <c r="F229" t="str">
        <f ca="1">IFERROR(__xludf.DUMMYFUNCTION("""COMPUTED_VALUE"""),"INTL")</f>
        <v>INTL</v>
      </c>
      <c r="G229" t="str">
        <f ca="1">IFERROR(__xludf.DUMMYFUNCTION("""COMPUTED_VALUE"""),"")</f>
        <v/>
      </c>
    </row>
    <row r="230" spans="1:7" ht="13.2" x14ac:dyDescent="0.25">
      <c r="A230" s="1" t="s">
        <v>18</v>
      </c>
      <c r="B230" t="str">
        <f ca="1">IFERROR(__xludf.DUMMYFUNCTION("""COMPUTED_VALUE"""),"Ceren, Darwin")</f>
        <v>Ceren, Darwin</v>
      </c>
      <c r="C230">
        <f ca="1">IFERROR(__xludf.DUMMYFUNCTION("""COMPUTED_VALUE"""),24)</f>
        <v>24</v>
      </c>
      <c r="D230" t="str">
        <f ca="1">IFERROR(__xludf.DUMMYFUNCTION("""COMPUTED_VALUE"""),"M")</f>
        <v>M</v>
      </c>
      <c r="E230" t="str">
        <f ca="1">IFERROR(__xludf.DUMMYFUNCTION("""COMPUTED_VALUE"""),"SeniorSR")</f>
        <v>SeniorSR</v>
      </c>
      <c r="F230" t="str">
        <f ca="1">IFERROR(__xludf.DUMMYFUNCTION("""COMPUTED_VALUE"""),"")</f>
        <v/>
      </c>
      <c r="G230" t="str">
        <f ca="1">IFERROR(__xludf.DUMMYFUNCTION("""COMPUTED_VALUE"""),"")</f>
        <v/>
      </c>
    </row>
    <row r="231" spans="1:7" ht="13.2" x14ac:dyDescent="0.25">
      <c r="A231" s="1" t="s">
        <v>18</v>
      </c>
      <c r="B231" t="str">
        <f ca="1">IFERROR(__xludf.DUMMYFUNCTION("""COMPUTED_VALUE"""),"DeLaGarza, AJ")</f>
        <v>DeLaGarza, AJ</v>
      </c>
      <c r="C231">
        <f ca="1">IFERROR(__xludf.DUMMYFUNCTION("""COMPUTED_VALUE"""),20)</f>
        <v>20</v>
      </c>
      <c r="D231" t="str">
        <f ca="1">IFERROR(__xludf.DUMMYFUNCTION("""COMPUTED_VALUE"""),"D")</f>
        <v>D</v>
      </c>
      <c r="E231" t="str">
        <f ca="1">IFERROR(__xludf.DUMMYFUNCTION("""COMPUTED_VALUE"""),"SeniorSR, Disabled ListDL")</f>
        <v>SeniorSR, Disabled ListDL</v>
      </c>
      <c r="F231" t="str">
        <f ca="1">IFERROR(__xludf.DUMMYFUNCTION("""COMPUTED_VALUE"""),"")</f>
        <v/>
      </c>
      <c r="G231" t="str">
        <f ca="1">IFERROR(__xludf.DUMMYFUNCTION("""COMPUTED_VALUE"""),"*Disabled ListDL*")</f>
        <v>*Disabled ListDL*</v>
      </c>
    </row>
    <row r="232" spans="1:7" ht="13.2" x14ac:dyDescent="0.25">
      <c r="A232" s="1" t="s">
        <v>18</v>
      </c>
      <c r="B232" t="str">
        <f ca="1">IFERROR(__xludf.DUMMYFUNCTION("""COMPUTED_VALUE"""),"Deric, Tyler")</f>
        <v>Deric, Tyler</v>
      </c>
      <c r="C232" t="str">
        <f ca="1">IFERROR(__xludf.DUMMYFUNCTION("""COMPUTED_VALUE"""),"")</f>
        <v/>
      </c>
      <c r="D232" t="str">
        <f ca="1">IFERROR(__xludf.DUMMYFUNCTION("""COMPUTED_VALUE"""),"GK")</f>
        <v>GK</v>
      </c>
      <c r="E232" t="str">
        <f ca="1">IFERROR(__xludf.DUMMYFUNCTION("""COMPUTED_VALUE"""),"ReserveRES")</f>
        <v>ReserveRES</v>
      </c>
      <c r="F232" t="str">
        <f ca="1">IFERROR(__xludf.DUMMYFUNCTION("""COMPUTED_VALUE"""),"")</f>
        <v/>
      </c>
      <c r="G232" t="str">
        <f ca="1">IFERROR(__xludf.DUMMYFUNCTION("""COMPUTED_VALUE"""),"")</f>
        <v/>
      </c>
    </row>
    <row r="233" spans="1:7" ht="13.2" x14ac:dyDescent="0.25">
      <c r="A233" s="1" t="s">
        <v>18</v>
      </c>
      <c r="B233" t="str">
        <f ca="1">IFERROR(__xludf.DUMMYFUNCTION("""COMPUTED_VALUE"""),"Donovan, Conor")</f>
        <v>Donovan, Conor</v>
      </c>
      <c r="C233">
        <f ca="1">IFERROR(__xludf.DUMMYFUNCTION("""COMPUTED_VALUE"""),30)</f>
        <v>30</v>
      </c>
      <c r="D233" t="str">
        <f ca="1">IFERROR(__xludf.DUMMYFUNCTION("""COMPUTED_VALUE"""),"D")</f>
        <v>D</v>
      </c>
      <c r="E233" t="str">
        <f ca="1">IFERROR(__xludf.DUMMYFUNCTION("""COMPUTED_VALUE"""),"ReserveRES")</f>
        <v>ReserveRES</v>
      </c>
      <c r="F233" t="str">
        <f ca="1">IFERROR(__xludf.DUMMYFUNCTION("""COMPUTED_VALUE"""),"")</f>
        <v/>
      </c>
      <c r="G233" t="str">
        <f ca="1">IFERROR(__xludf.DUMMYFUNCTION("""COMPUTED_VALUE"""),"")</f>
        <v/>
      </c>
    </row>
    <row r="234" spans="1:7" ht="13.2" x14ac:dyDescent="0.25">
      <c r="A234" s="1" t="s">
        <v>18</v>
      </c>
      <c r="B234" t="str">
        <f ca="1">IFERROR(__xludf.DUMMYFUNCTION("""COMPUTED_VALUE"""),"Elis, Alberth")</f>
        <v>Elis, Alberth</v>
      </c>
      <c r="C234">
        <f ca="1">IFERROR(__xludf.DUMMYFUNCTION("""COMPUTED_VALUE"""),17)</f>
        <v>17</v>
      </c>
      <c r="D234" t="str">
        <f ca="1">IFERROR(__xludf.DUMMYFUNCTION("""COMPUTED_VALUE"""),"F")</f>
        <v>F</v>
      </c>
      <c r="E234" t="str">
        <f ca="1">IFERROR(__xludf.DUMMYFUNCTION("""COMPUTED_VALUE"""),"SeniorSR")</f>
        <v>SeniorSR</v>
      </c>
      <c r="F234" t="str">
        <f ca="1">IFERROR(__xludf.DUMMYFUNCTION("""COMPUTED_VALUE"""),"Young DPYDP, INTL")</f>
        <v>Young DPYDP, INTL</v>
      </c>
      <c r="G234" t="str">
        <f ca="1">IFERROR(__xludf.DUMMYFUNCTION("""COMPUTED_VALUE"""),"")</f>
        <v/>
      </c>
    </row>
    <row r="235" spans="1:7" ht="13.2" x14ac:dyDescent="0.25">
      <c r="A235" s="1" t="s">
        <v>18</v>
      </c>
      <c r="B235" t="str">
        <f ca="1">IFERROR(__xludf.DUMMYFUNCTION("""COMPUTED_VALUE"""),"Fuenmayor, Alejandro")</f>
        <v>Fuenmayor, Alejandro</v>
      </c>
      <c r="C235">
        <f ca="1">IFERROR(__xludf.DUMMYFUNCTION("""COMPUTED_VALUE"""),2)</f>
        <v>2</v>
      </c>
      <c r="D235" t="str">
        <f ca="1">IFERROR(__xludf.DUMMYFUNCTION("""COMPUTED_VALUE"""),"D")</f>
        <v>D</v>
      </c>
      <c r="E235" t="str">
        <f ca="1">IFERROR(__xludf.DUMMYFUNCTION("""COMPUTED_VALUE"""),"SeniorSR")</f>
        <v>SeniorSR</v>
      </c>
      <c r="F235" t="str">
        <f ca="1">IFERROR(__xludf.DUMMYFUNCTION("""COMPUTED_VALUE"""),"INTL")</f>
        <v>INTL</v>
      </c>
      <c r="G235" t="str">
        <f ca="1">IFERROR(__xludf.DUMMYFUNCTION("""COMPUTED_VALUE"""),"")</f>
        <v/>
      </c>
    </row>
    <row r="236" spans="1:7" ht="13.2" x14ac:dyDescent="0.25">
      <c r="A236" s="1" t="s">
        <v>18</v>
      </c>
      <c r="B236" t="str">
        <f ca="1">IFERROR(__xludf.DUMMYFUNCTION("""COMPUTED_VALUE"""),"Garcia, Boniek")</f>
        <v>Garcia, Boniek</v>
      </c>
      <c r="C236">
        <f ca="1">IFERROR(__xludf.DUMMYFUNCTION("""COMPUTED_VALUE"""),27)</f>
        <v>27</v>
      </c>
      <c r="D236" t="str">
        <f ca="1">IFERROR(__xludf.DUMMYFUNCTION("""COMPUTED_VALUE"""),"M")</f>
        <v>M</v>
      </c>
      <c r="E236" t="str">
        <f ca="1">IFERROR(__xludf.DUMMYFUNCTION("""COMPUTED_VALUE"""),"SeniorSR")</f>
        <v>SeniorSR</v>
      </c>
      <c r="F236" t="str">
        <f ca="1">IFERROR(__xludf.DUMMYFUNCTION("""COMPUTED_VALUE"""),"")</f>
        <v/>
      </c>
      <c r="G236" t="str">
        <f ca="1">IFERROR(__xludf.DUMMYFUNCTION("""COMPUTED_VALUE"""),"")</f>
        <v/>
      </c>
    </row>
    <row r="237" spans="1:7" ht="13.2" x14ac:dyDescent="0.25">
      <c r="A237" s="1" t="s">
        <v>18</v>
      </c>
      <c r="B237" t="str">
        <f ca="1">IFERROR(__xludf.DUMMYFUNCTION("""COMPUTED_VALUE"""),"Garcia, Kevin")</f>
        <v>Garcia, Kevin</v>
      </c>
      <c r="C237">
        <f ca="1">IFERROR(__xludf.DUMMYFUNCTION("""COMPUTED_VALUE"""),16)</f>
        <v>16</v>
      </c>
      <c r="D237" t="str">
        <f ca="1">IFERROR(__xludf.DUMMYFUNCTION("""COMPUTED_VALUE"""),"D")</f>
        <v>D</v>
      </c>
      <c r="E237" t="str">
        <f ca="1">IFERROR(__xludf.DUMMYFUNCTION("""COMPUTED_VALUE"""),"SupplementalSUP")</f>
        <v>SupplementalSUP</v>
      </c>
      <c r="F237" t="str">
        <f ca="1">IFERROR(__xludf.DUMMYFUNCTION("""COMPUTED_VALUE"""),"")</f>
        <v/>
      </c>
      <c r="G237" t="str">
        <f ca="1">IFERROR(__xludf.DUMMYFUNCTION("""COMPUTED_VALUE"""),"")</f>
        <v/>
      </c>
    </row>
    <row r="238" spans="1:7" ht="13.2" x14ac:dyDescent="0.25">
      <c r="A238" s="1" t="s">
        <v>18</v>
      </c>
      <c r="B238" t="str">
        <f ca="1">IFERROR(__xludf.DUMMYFUNCTION("""COMPUTED_VALUE"""),"Gil, Luis")</f>
        <v>Gil, Luis</v>
      </c>
      <c r="C238">
        <f ca="1">IFERROR(__xludf.DUMMYFUNCTION("""COMPUTED_VALUE"""),13)</f>
        <v>13</v>
      </c>
      <c r="D238" t="str">
        <f ca="1">IFERROR(__xludf.DUMMYFUNCTION("""COMPUTED_VALUE"""),"M")</f>
        <v>M</v>
      </c>
      <c r="E238" t="str">
        <f ca="1">IFERROR(__xludf.DUMMYFUNCTION("""COMPUTED_VALUE"""),"SeniorSR")</f>
        <v>SeniorSR</v>
      </c>
      <c r="F238" t="str">
        <f ca="1">IFERROR(__xludf.DUMMYFUNCTION("""COMPUTED_VALUE"""),"")</f>
        <v/>
      </c>
      <c r="G238" t="str">
        <f ca="1">IFERROR(__xludf.DUMMYFUNCTION("""COMPUTED_VALUE"""),"")</f>
        <v/>
      </c>
    </row>
    <row r="239" spans="1:7" ht="13.2" x14ac:dyDescent="0.25">
      <c r="A239" s="1" t="s">
        <v>18</v>
      </c>
      <c r="B239" t="str">
        <f ca="1">IFERROR(__xludf.DUMMYFUNCTION("""COMPUTED_VALUE"""),"Leonardo")</f>
        <v>Leonardo</v>
      </c>
      <c r="C239">
        <f ca="1">IFERROR(__xludf.DUMMYFUNCTION("""COMPUTED_VALUE"""),22)</f>
        <v>22</v>
      </c>
      <c r="D239" t="str">
        <f ca="1">IFERROR(__xludf.DUMMYFUNCTION("""COMPUTED_VALUE"""),"D")</f>
        <v>D</v>
      </c>
      <c r="E239" t="str">
        <f ca="1">IFERROR(__xludf.DUMMYFUNCTION("""COMPUTED_VALUE"""),"SeniorSR")</f>
        <v>SeniorSR</v>
      </c>
      <c r="F239" t="str">
        <f ca="1">IFERROR(__xludf.DUMMYFUNCTION("""COMPUTED_VALUE"""),"")</f>
        <v/>
      </c>
      <c r="G239" t="str">
        <f ca="1">IFERROR(__xludf.DUMMYFUNCTION("""COMPUTED_VALUE"""),"")</f>
        <v/>
      </c>
    </row>
    <row r="240" spans="1:7" ht="13.2" x14ac:dyDescent="0.25">
      <c r="A240" s="1" t="s">
        <v>18</v>
      </c>
      <c r="B240" t="str">
        <f ca="1">IFERROR(__xludf.DUMMYFUNCTION("""COMPUTED_VALUE"""),"Lundkvist, Adam")</f>
        <v>Lundkvist, Adam</v>
      </c>
      <c r="C240">
        <f ca="1">IFERROR(__xludf.DUMMYFUNCTION("""COMPUTED_VALUE"""),14)</f>
        <v>14</v>
      </c>
      <c r="D240" t="str">
        <f ca="1">IFERROR(__xludf.DUMMYFUNCTION("""COMPUTED_VALUE"""),"D")</f>
        <v>D</v>
      </c>
      <c r="E240" t="str">
        <f ca="1">IFERROR(__xludf.DUMMYFUNCTION("""COMPUTED_VALUE"""),"SeniorSR")</f>
        <v>SeniorSR</v>
      </c>
      <c r="F240" t="str">
        <f ca="1">IFERROR(__xludf.DUMMYFUNCTION("""COMPUTED_VALUE"""),"INTL")</f>
        <v>INTL</v>
      </c>
      <c r="G240" t="str">
        <f ca="1">IFERROR(__xludf.DUMMYFUNCTION("""COMPUTED_VALUE"""),"")</f>
        <v/>
      </c>
    </row>
    <row r="241" spans="1:7" ht="13.2" x14ac:dyDescent="0.25">
      <c r="A241" s="1" t="s">
        <v>18</v>
      </c>
      <c r="B241" t="str">
        <f ca="1">IFERROR(__xludf.DUMMYFUNCTION("""COMPUTED_VALUE"""),"Machado, Adolfo")</f>
        <v>Machado, Adolfo</v>
      </c>
      <c r="C241">
        <f ca="1">IFERROR(__xludf.DUMMYFUNCTION("""COMPUTED_VALUE"""),3)</f>
        <v>3</v>
      </c>
      <c r="D241" t="str">
        <f ca="1">IFERROR(__xludf.DUMMYFUNCTION("""COMPUTED_VALUE"""),"D")</f>
        <v>D</v>
      </c>
      <c r="E241" t="str">
        <f ca="1">IFERROR(__xludf.DUMMYFUNCTION("""COMPUTED_VALUE"""),"SeniorSR")</f>
        <v>SeniorSR</v>
      </c>
      <c r="F241" t="str">
        <f ca="1">IFERROR(__xludf.DUMMYFUNCTION("""COMPUTED_VALUE"""),"INTL")</f>
        <v>INTL</v>
      </c>
      <c r="G241" t="str">
        <f ca="1">IFERROR(__xludf.DUMMYFUNCTION("""COMPUTED_VALUE"""),"")</f>
        <v/>
      </c>
    </row>
    <row r="242" spans="1:7" ht="13.2" x14ac:dyDescent="0.25">
      <c r="A242" s="1" t="s">
        <v>18</v>
      </c>
      <c r="B242" t="str">
        <f ca="1">IFERROR(__xludf.DUMMYFUNCTION("""COMPUTED_VALUE"""),"Manotas, Mauro")</f>
        <v>Manotas, Mauro</v>
      </c>
      <c r="C242">
        <f ca="1">IFERROR(__xludf.DUMMYFUNCTION("""COMPUTED_VALUE"""),9)</f>
        <v>9</v>
      </c>
      <c r="D242" t="str">
        <f ca="1">IFERROR(__xludf.DUMMYFUNCTION("""COMPUTED_VALUE"""),"F")</f>
        <v>F</v>
      </c>
      <c r="E242" t="str">
        <f ca="1">IFERROR(__xludf.DUMMYFUNCTION("""COMPUTED_VALUE"""),"SeniorSR")</f>
        <v>SeniorSR</v>
      </c>
      <c r="F242" t="str">
        <f ca="1">IFERROR(__xludf.DUMMYFUNCTION("""COMPUTED_VALUE"""),"")</f>
        <v/>
      </c>
      <c r="G242" t="str">
        <f ca="1">IFERROR(__xludf.DUMMYFUNCTION("""COMPUTED_VALUE"""),"")</f>
        <v/>
      </c>
    </row>
    <row r="243" spans="1:7" ht="13.2" x14ac:dyDescent="0.25">
      <c r="A243" s="1" t="s">
        <v>18</v>
      </c>
      <c r="B243" t="str">
        <f ca="1">IFERROR(__xludf.DUMMYFUNCTION("""COMPUTED_VALUE"""),"Martinez, Tomas")</f>
        <v>Martinez, Tomas</v>
      </c>
      <c r="C243">
        <f ca="1">IFERROR(__xludf.DUMMYFUNCTION("""COMPUTED_VALUE"""),10)</f>
        <v>10</v>
      </c>
      <c r="D243" t="str">
        <f ca="1">IFERROR(__xludf.DUMMYFUNCTION("""COMPUTED_VALUE"""),"F")</f>
        <v>F</v>
      </c>
      <c r="E243" t="str">
        <f ca="1">IFERROR(__xludf.DUMMYFUNCTION("""COMPUTED_VALUE"""),"SeniorSR")</f>
        <v>SeniorSR</v>
      </c>
      <c r="F243" t="str">
        <f ca="1">IFERROR(__xludf.DUMMYFUNCTION("""COMPUTED_VALUE"""),"Young DPYDP, INTL")</f>
        <v>Young DPYDP, INTL</v>
      </c>
      <c r="G243" t="str">
        <f ca="1">IFERROR(__xludf.DUMMYFUNCTION("""COMPUTED_VALUE"""),"")</f>
        <v/>
      </c>
    </row>
    <row r="244" spans="1:7" ht="13.2" x14ac:dyDescent="0.25">
      <c r="A244" s="1" t="s">
        <v>18</v>
      </c>
      <c r="B244" t="str">
        <f ca="1">IFERROR(__xludf.DUMMYFUNCTION("""COMPUTED_VALUE"""),"Nelson, Michael")</f>
        <v>Nelson, Michael</v>
      </c>
      <c r="C244">
        <f ca="1">IFERROR(__xludf.DUMMYFUNCTION("""COMPUTED_VALUE"""),26)</f>
        <v>26</v>
      </c>
      <c r="D244" t="str">
        <f ca="1">IFERROR(__xludf.DUMMYFUNCTION("""COMPUTED_VALUE"""),"GK")</f>
        <v>GK</v>
      </c>
      <c r="E244" t="str">
        <f ca="1">IFERROR(__xludf.DUMMYFUNCTION("""COMPUTED_VALUE"""),"ReserveRES")</f>
        <v>ReserveRES</v>
      </c>
      <c r="F244" t="str">
        <f ca="1">IFERROR(__xludf.DUMMYFUNCTION("""COMPUTED_VALUE"""),"")</f>
        <v/>
      </c>
      <c r="G244" t="str">
        <f ca="1">IFERROR(__xludf.DUMMYFUNCTION("""COMPUTED_VALUE"""),"")</f>
        <v/>
      </c>
    </row>
    <row r="245" spans="1:7" ht="13.2" x14ac:dyDescent="0.25">
      <c r="A245" s="1" t="s">
        <v>18</v>
      </c>
      <c r="B245" t="str">
        <f ca="1">IFERROR(__xludf.DUMMYFUNCTION("""COMPUTED_VALUE"""),"Pena, Ronaldo")</f>
        <v>Pena, Ronaldo</v>
      </c>
      <c r="C245" t="str">
        <f ca="1">IFERROR(__xludf.DUMMYFUNCTION("""COMPUTED_VALUE"""),"")</f>
        <v/>
      </c>
      <c r="D245" t="str">
        <f ca="1">IFERROR(__xludf.DUMMYFUNCTION("""COMPUTED_VALUE"""),"F")</f>
        <v>F</v>
      </c>
      <c r="E245" t="str">
        <f ca="1">IFERROR(__xludf.DUMMYFUNCTION("""COMPUTED_VALUE"""),"SeniorSR")</f>
        <v>SeniorSR</v>
      </c>
      <c r="F245" t="str">
        <f ca="1">IFERROR(__xludf.DUMMYFUNCTION("""COMPUTED_VALUE"""),"INTL")</f>
        <v>INTL</v>
      </c>
      <c r="G245" t="str">
        <f ca="1">IFERROR(__xludf.DUMMYFUNCTION("""COMPUTED_VALUE"""),"")</f>
        <v/>
      </c>
    </row>
    <row r="246" spans="1:7" ht="13.2" x14ac:dyDescent="0.25">
      <c r="A246" s="1" t="s">
        <v>18</v>
      </c>
      <c r="B246" t="str">
        <f ca="1">IFERROR(__xludf.DUMMYFUNCTION("""COMPUTED_VALUE"""),"Quioto, Romell")</f>
        <v>Quioto, Romell</v>
      </c>
      <c r="C246">
        <f ca="1">IFERROR(__xludf.DUMMYFUNCTION("""COMPUTED_VALUE"""),31)</f>
        <v>31</v>
      </c>
      <c r="D246" t="str">
        <f ca="1">IFERROR(__xludf.DUMMYFUNCTION("""COMPUTED_VALUE"""),"F")</f>
        <v>F</v>
      </c>
      <c r="E246" t="str">
        <f ca="1">IFERROR(__xludf.DUMMYFUNCTION("""COMPUTED_VALUE"""),"SeniorSR")</f>
        <v>SeniorSR</v>
      </c>
      <c r="F246" t="str">
        <f ca="1">IFERROR(__xludf.DUMMYFUNCTION("""COMPUTED_VALUE"""),"")</f>
        <v/>
      </c>
      <c r="G246" t="str">
        <f ca="1">IFERROR(__xludf.DUMMYFUNCTION("""COMPUTED_VALUE"""),"")</f>
        <v/>
      </c>
    </row>
    <row r="247" spans="1:7" ht="13.2" x14ac:dyDescent="0.25">
      <c r="A247" s="1" t="s">
        <v>18</v>
      </c>
      <c r="B247" t="str">
        <f ca="1">IFERROR(__xludf.DUMMYFUNCTION("""COMPUTED_VALUE"""),"Remick, Dylan")</f>
        <v>Remick, Dylan</v>
      </c>
      <c r="C247">
        <f ca="1">IFERROR(__xludf.DUMMYFUNCTION("""COMPUTED_VALUE"""),15)</f>
        <v>15</v>
      </c>
      <c r="D247" t="str">
        <f ca="1">IFERROR(__xludf.DUMMYFUNCTION("""COMPUTED_VALUE"""),"D")</f>
        <v>D</v>
      </c>
      <c r="E247" t="str">
        <f ca="1">IFERROR(__xludf.DUMMYFUNCTION("""COMPUTED_VALUE"""),"SeniorSR, Season-Ending InjurySEI")</f>
        <v>SeniorSR, Season-Ending InjurySEI</v>
      </c>
      <c r="F247" t="str">
        <f ca="1">IFERROR(__xludf.DUMMYFUNCTION("""COMPUTED_VALUE"""),"")</f>
        <v/>
      </c>
      <c r="G247" t="str">
        <f ca="1">IFERROR(__xludf.DUMMYFUNCTION("""COMPUTED_VALUE"""),"*Season-Ending InjurySEI*")</f>
        <v>*Season-Ending InjurySEI*</v>
      </c>
    </row>
    <row r="248" spans="1:7" ht="13.2" x14ac:dyDescent="0.25">
      <c r="A248" s="1" t="s">
        <v>18</v>
      </c>
      <c r="B248" t="str">
        <f ca="1">IFERROR(__xludf.DUMMYFUNCTION("""COMPUTED_VALUE"""),"Rodriguez, Memo")</f>
        <v>Rodriguez, Memo</v>
      </c>
      <c r="C248">
        <f ca="1">IFERROR(__xludf.DUMMYFUNCTION("""COMPUTED_VALUE"""),8)</f>
        <v>8</v>
      </c>
      <c r="D248" t="str">
        <f ca="1">IFERROR(__xludf.DUMMYFUNCTION("""COMPUTED_VALUE"""),"M")</f>
        <v>M</v>
      </c>
      <c r="E248" t="str">
        <f ca="1">IFERROR(__xludf.DUMMYFUNCTION("""COMPUTED_VALUE"""),"ReserveRES")</f>
        <v>ReserveRES</v>
      </c>
      <c r="F248" t="str">
        <f ca="1">IFERROR(__xludf.DUMMYFUNCTION("""COMPUTED_VALUE"""),"HG")</f>
        <v>HG</v>
      </c>
      <c r="G248" t="str">
        <f ca="1">IFERROR(__xludf.DUMMYFUNCTION("""COMPUTED_VALUE"""),"")</f>
        <v/>
      </c>
    </row>
    <row r="249" spans="1:7" ht="13.2" x14ac:dyDescent="0.25">
      <c r="A249" s="1" t="s">
        <v>18</v>
      </c>
      <c r="B249" t="str">
        <f ca="1">IFERROR(__xludf.DUMMYFUNCTION("""COMPUTED_VALUE"""),"Seitz, Chris")</f>
        <v>Seitz, Chris</v>
      </c>
      <c r="C249">
        <f ca="1">IFERROR(__xludf.DUMMYFUNCTION("""COMPUTED_VALUE"""),18)</f>
        <v>18</v>
      </c>
      <c r="D249" t="str">
        <f ca="1">IFERROR(__xludf.DUMMYFUNCTION("""COMPUTED_VALUE"""),"GK")</f>
        <v>GK</v>
      </c>
      <c r="E249" t="str">
        <f ca="1">IFERROR(__xludf.DUMMYFUNCTION("""COMPUTED_VALUE"""),"SeniorSR")</f>
        <v>SeniorSR</v>
      </c>
      <c r="F249" t="str">
        <f ca="1">IFERROR(__xludf.DUMMYFUNCTION("""COMPUTED_VALUE"""),"")</f>
        <v/>
      </c>
      <c r="G249" t="str">
        <f ca="1">IFERROR(__xludf.DUMMYFUNCTION("""COMPUTED_VALUE"""),"")</f>
        <v/>
      </c>
    </row>
    <row r="250" spans="1:7" ht="13.2" x14ac:dyDescent="0.25">
      <c r="A250" s="1" t="s">
        <v>18</v>
      </c>
      <c r="B250" t="str">
        <f ca="1">IFERROR(__xludf.DUMMYFUNCTION("""COMPUTED_VALUE"""),"Senderos, Philippe")</f>
        <v>Senderos, Philippe</v>
      </c>
      <c r="C250">
        <f ca="1">IFERROR(__xludf.DUMMYFUNCTION("""COMPUTED_VALUE"""),4)</f>
        <v>4</v>
      </c>
      <c r="D250" t="str">
        <f ca="1">IFERROR(__xludf.DUMMYFUNCTION("""COMPUTED_VALUE"""),"D")</f>
        <v>D</v>
      </c>
      <c r="E250" t="str">
        <f ca="1">IFERROR(__xludf.DUMMYFUNCTION("""COMPUTED_VALUE"""),"SeniorSR")</f>
        <v>SeniorSR</v>
      </c>
      <c r="F250" t="str">
        <f ca="1">IFERROR(__xludf.DUMMYFUNCTION("""COMPUTED_VALUE"""),"INTL")</f>
        <v>INTL</v>
      </c>
      <c r="G250" t="str">
        <f ca="1">IFERROR(__xludf.DUMMYFUNCTION("""COMPUTED_VALUE"""),"")</f>
        <v/>
      </c>
    </row>
    <row r="251" spans="1:7" ht="13.2" x14ac:dyDescent="0.25">
      <c r="A251" s="1" t="s">
        <v>18</v>
      </c>
      <c r="B251" t="str">
        <f ca="1">IFERROR(__xludf.DUMMYFUNCTION("""COMPUTED_VALUE"""),"Steeves, Mac")</f>
        <v>Steeves, Mac</v>
      </c>
      <c r="C251">
        <f ca="1">IFERROR(__xludf.DUMMYFUNCTION("""COMPUTED_VALUE"""),19)</f>
        <v>19</v>
      </c>
      <c r="D251" t="str">
        <f ca="1">IFERROR(__xludf.DUMMYFUNCTION("""COMPUTED_VALUE"""),"F")</f>
        <v>F</v>
      </c>
      <c r="E251" t="str">
        <f ca="1">IFERROR(__xludf.DUMMYFUNCTION("""COMPUTED_VALUE"""),"ReserveRES, Season-Ending InjurySEI")</f>
        <v>ReserveRES, Season-Ending InjurySEI</v>
      </c>
      <c r="F251" t="str">
        <f ca="1">IFERROR(__xludf.DUMMYFUNCTION("""COMPUTED_VALUE"""),"")</f>
        <v/>
      </c>
      <c r="G251" t="str">
        <f ca="1">IFERROR(__xludf.DUMMYFUNCTION("""COMPUTED_VALUE"""),"*Season-Ending InjurySEI*")</f>
        <v>*Season-Ending InjurySEI*</v>
      </c>
    </row>
    <row r="252" spans="1:7" ht="13.2" x14ac:dyDescent="0.25">
      <c r="A252" s="1" t="s">
        <v>18</v>
      </c>
      <c r="B252" t="str">
        <f ca="1">IFERROR(__xludf.DUMMYFUNCTION("""COMPUTED_VALUE"""),"Watts, Jared")</f>
        <v>Watts, Jared</v>
      </c>
      <c r="C252">
        <f ca="1">IFERROR(__xludf.DUMMYFUNCTION("""COMPUTED_VALUE"""),33)</f>
        <v>33</v>
      </c>
      <c r="D252" t="str">
        <f ca="1">IFERROR(__xludf.DUMMYFUNCTION("""COMPUTED_VALUE"""),"D")</f>
        <v>D</v>
      </c>
      <c r="E252" t="str">
        <f ca="1">IFERROR(__xludf.DUMMYFUNCTION("""COMPUTED_VALUE"""),"SupplementalSUP")</f>
        <v>SupplementalSUP</v>
      </c>
      <c r="F252" t="str">
        <f ca="1">IFERROR(__xludf.DUMMYFUNCTION("""COMPUTED_VALUE"""),"")</f>
        <v/>
      </c>
      <c r="G252" t="str">
        <f ca="1">IFERROR(__xludf.DUMMYFUNCTION("""COMPUTED_VALUE"""),"")</f>
        <v/>
      </c>
    </row>
    <row r="253" spans="1:7" ht="13.2" x14ac:dyDescent="0.25">
      <c r="A253" s="1" t="s">
        <v>18</v>
      </c>
      <c r="B253" t="str">
        <f ca="1">IFERROR(__xludf.DUMMYFUNCTION("""COMPUTED_VALUE"""),"Wenger, Andrew")</f>
        <v>Wenger, Andrew</v>
      </c>
      <c r="C253">
        <f ca="1">IFERROR(__xludf.DUMMYFUNCTION("""COMPUTED_VALUE"""),11)</f>
        <v>11</v>
      </c>
      <c r="D253" t="str">
        <f ca="1">IFERROR(__xludf.DUMMYFUNCTION("""COMPUTED_VALUE"""),"M")</f>
        <v>M</v>
      </c>
      <c r="E253" t="str">
        <f ca="1">IFERROR(__xludf.DUMMYFUNCTION("""COMPUTED_VALUE"""),"SeniorSR")</f>
        <v>SeniorSR</v>
      </c>
      <c r="F253" t="str">
        <f ca="1">IFERROR(__xludf.DUMMYFUNCTION("""COMPUTED_VALUE"""),"")</f>
        <v/>
      </c>
      <c r="G253" t="str">
        <f ca="1">IFERROR(__xludf.DUMMYFUNCTION("""COMPUTED_VALUE"""),"")</f>
        <v/>
      </c>
    </row>
    <row r="254" spans="1:7" ht="13.2" x14ac:dyDescent="0.25">
      <c r="A254" s="1" t="s">
        <v>18</v>
      </c>
      <c r="B254" t="str">
        <f ca="1">IFERROR(__xludf.DUMMYFUNCTION("""COMPUTED_VALUE"""),"Willis, Joe")</f>
        <v>Willis, Joe</v>
      </c>
      <c r="C254">
        <f ca="1">IFERROR(__xludf.DUMMYFUNCTION("""COMPUTED_VALUE"""),23)</f>
        <v>23</v>
      </c>
      <c r="D254" t="str">
        <f ca="1">IFERROR(__xludf.DUMMYFUNCTION("""COMPUTED_VALUE"""),"GK")</f>
        <v>GK</v>
      </c>
      <c r="E254" t="str">
        <f ca="1">IFERROR(__xludf.DUMMYFUNCTION("""COMPUTED_VALUE"""),"SeniorSR")</f>
        <v>SeniorSR</v>
      </c>
      <c r="F254" t="str">
        <f ca="1">IFERROR(__xludf.DUMMYFUNCTION("""COMPUTED_VALUE"""),"")</f>
        <v/>
      </c>
      <c r="G254" t="str">
        <f ca="1">IFERROR(__xludf.DUMMYFUNCTION("""COMPUTED_VALUE"""),"")</f>
        <v/>
      </c>
    </row>
    <row r="255" spans="1:7" ht="13.2" x14ac:dyDescent="0.25">
      <c r="A255" s="1" t="s">
        <v>18</v>
      </c>
      <c r="B255" t="str">
        <f ca="1">IFERROR(__xludf.DUMMYFUNCTION("""COMPUTED_VALUE"""),"30 of 30 spots filled")</f>
        <v>30 of 30 spots filled</v>
      </c>
      <c r="C255" t="str">
        <f ca="1">IFERROR(__xludf.DUMMYFUNCTION("""COMPUTED_VALUE"""),"")</f>
        <v/>
      </c>
      <c r="D255" t="str">
        <f ca="1">IFERROR(__xludf.DUMMYFUNCTION("""COMPUTED_VALUE"""),"")</f>
        <v/>
      </c>
      <c r="E255" t="str">
        <f ca="1">IFERROR(__xludf.DUMMYFUNCTION("""COMPUTED_VALUE"""),"")</f>
        <v/>
      </c>
      <c r="F255" t="str">
        <f ca="1">IFERROR(__xludf.DUMMYFUNCTION("""COMPUTED_VALUE"""),"")</f>
        <v/>
      </c>
      <c r="G255" t="str">
        <f ca="1">IFERROR(__xludf.DUMMYFUNCTION("""COMPUTED_VALUE"""),"")</f>
        <v/>
      </c>
    </row>
    <row r="256" spans="1:7" ht="13.2" x14ac:dyDescent="0.25">
      <c r="A256" s="1" t="s">
        <v>18</v>
      </c>
    </row>
    <row r="257" spans="1:7" ht="13.2" x14ac:dyDescent="0.25">
      <c r="A257" s="1" t="s">
        <v>18</v>
      </c>
    </row>
    <row r="258" spans="1:7" ht="13.2" x14ac:dyDescent="0.25">
      <c r="A258" s="1" t="s">
        <v>18</v>
      </c>
    </row>
    <row r="259" spans="1:7" ht="13.2" x14ac:dyDescent="0.25">
      <c r="A259" s="1" t="s">
        <v>18</v>
      </c>
    </row>
    <row r="260" spans="1:7" ht="13.2" x14ac:dyDescent="0.25">
      <c r="A260" s="1" t="s">
        <v>18</v>
      </c>
    </row>
    <row r="262" spans="1:7" ht="13.2" x14ac:dyDescent="0.25">
      <c r="B262" t="str">
        <f ca="1">IFERROR(__xludf.DUMMYFUNCTION("IMPORTHTML(""http://www.mlssoccer.com/rosters/2018/la-galaxy"", ""table"", 1)"),"30-man Active Roster (Spots 1-30)")</f>
        <v>30-man Active Roster (Spots 1-30)</v>
      </c>
      <c r="C262" t="str">
        <f ca="1">IFERROR(__xludf.DUMMYFUNCTION("""COMPUTED_VALUE"""),"#")</f>
        <v>#</v>
      </c>
      <c r="D262" t="str">
        <f ca="1">IFERROR(__xludf.DUMMYFUNCTION("""COMPUTED_VALUE"""),"POS")</f>
        <v>POS</v>
      </c>
      <c r="E262" t="str">
        <f ca="1">IFERROR(__xludf.DUMMYFUNCTION("""COMPUTED_VALUE"""),"ROSTER STATUSR.S.")</f>
        <v>ROSTER STATUSR.S.</v>
      </c>
      <c r="F262" t="str">
        <f ca="1">IFERROR(__xludf.DUMMYFUNCTION("""COMPUTED_VALUE"""),"PLAYER CATEGORYCAT.")</f>
        <v>PLAYER CATEGORYCAT.</v>
      </c>
      <c r="G262" t="str">
        <f ca="1">IFERROR(__xludf.DUMMYFUNCTION("""COMPUTED_VALUE"""),"*NOTE*")</f>
        <v>*NOTE*</v>
      </c>
    </row>
    <row r="263" spans="1:7" ht="13.2" x14ac:dyDescent="0.25">
      <c r="A263" s="1" t="s">
        <v>19</v>
      </c>
      <c r="B263" t="str">
        <f ca="1">IFERROR(__xludf.DUMMYFUNCTION("""COMPUTED_VALUE"""),"Alessandrini, Romain")</f>
        <v>Alessandrini, Romain</v>
      </c>
      <c r="C263">
        <f ca="1">IFERROR(__xludf.DUMMYFUNCTION("""COMPUTED_VALUE"""),7)</f>
        <v>7</v>
      </c>
      <c r="D263" t="str">
        <f ca="1">IFERROR(__xludf.DUMMYFUNCTION("""COMPUTED_VALUE"""),"M")</f>
        <v>M</v>
      </c>
      <c r="E263" t="str">
        <f ca="1">IFERROR(__xludf.DUMMYFUNCTION("""COMPUTED_VALUE"""),"SeniorSR")</f>
        <v>SeniorSR</v>
      </c>
      <c r="F263" t="str">
        <f ca="1">IFERROR(__xludf.DUMMYFUNCTION("""COMPUTED_VALUE"""),"DP, INTL")</f>
        <v>DP, INTL</v>
      </c>
      <c r="G263" t="str">
        <f ca="1">IFERROR(__xludf.DUMMYFUNCTION("""COMPUTED_VALUE"""),"")</f>
        <v/>
      </c>
    </row>
    <row r="264" spans="1:7" ht="13.2" x14ac:dyDescent="0.25">
      <c r="A264" s="1" t="s">
        <v>19</v>
      </c>
      <c r="B264" t="str">
        <f ca="1">IFERROR(__xludf.DUMMYFUNCTION("""COMPUTED_VALUE"""),"Arellano, Hugo")</f>
        <v>Arellano, Hugo</v>
      </c>
      <c r="C264">
        <f ca="1">IFERROR(__xludf.DUMMYFUNCTION("""COMPUTED_VALUE"""),21)</f>
        <v>21</v>
      </c>
      <c r="D264" t="str">
        <f ca="1">IFERROR(__xludf.DUMMYFUNCTION("""COMPUTED_VALUE"""),"D")</f>
        <v>D</v>
      </c>
      <c r="E264" t="str">
        <f ca="1">IFERROR(__xludf.DUMMYFUNCTION("""COMPUTED_VALUE"""),"ReserveRES")</f>
        <v>ReserveRES</v>
      </c>
      <c r="F264" t="str">
        <f ca="1">IFERROR(__xludf.DUMMYFUNCTION("""COMPUTED_VALUE"""),"HG")</f>
        <v>HG</v>
      </c>
      <c r="G264" t="str">
        <f ca="1">IFERROR(__xludf.DUMMYFUNCTION("""COMPUTED_VALUE"""),"")</f>
        <v/>
      </c>
    </row>
    <row r="265" spans="1:7" ht="13.2" x14ac:dyDescent="0.25">
      <c r="A265" s="1" t="s">
        <v>19</v>
      </c>
      <c r="B265" t="str">
        <f ca="1">IFERROR(__xludf.DUMMYFUNCTION("""COMPUTED_VALUE"""),"Bingham, David")</f>
        <v>Bingham, David</v>
      </c>
      <c r="C265">
        <f ca="1">IFERROR(__xludf.DUMMYFUNCTION("""COMPUTED_VALUE"""),1)</f>
        <v>1</v>
      </c>
      <c r="D265" t="str">
        <f ca="1">IFERROR(__xludf.DUMMYFUNCTION("""COMPUTED_VALUE"""),"GK")</f>
        <v>GK</v>
      </c>
      <c r="E265" t="str">
        <f ca="1">IFERROR(__xludf.DUMMYFUNCTION("""COMPUTED_VALUE"""),"SeniorSR")</f>
        <v>SeniorSR</v>
      </c>
      <c r="F265" t="str">
        <f ca="1">IFERROR(__xludf.DUMMYFUNCTION("""COMPUTED_VALUE"""),"")</f>
        <v/>
      </c>
      <c r="G265" t="str">
        <f ca="1">IFERROR(__xludf.DUMMYFUNCTION("""COMPUTED_VALUE"""),"")</f>
        <v/>
      </c>
    </row>
    <row r="266" spans="1:7" ht="13.2" x14ac:dyDescent="0.25">
      <c r="A266" s="1" t="s">
        <v>19</v>
      </c>
      <c r="B266" t="str">
        <f ca="1">IFERROR(__xludf.DUMMYFUNCTION("""COMPUTED_VALUE"""),"Boateng, Emmanuel")</f>
        <v>Boateng, Emmanuel</v>
      </c>
      <c r="C266">
        <f ca="1">IFERROR(__xludf.DUMMYFUNCTION("""COMPUTED_VALUE"""),24)</f>
        <v>24</v>
      </c>
      <c r="D266" t="str">
        <f ca="1">IFERROR(__xludf.DUMMYFUNCTION("""COMPUTED_VALUE"""),"M")</f>
        <v>M</v>
      </c>
      <c r="E266" t="str">
        <f ca="1">IFERROR(__xludf.DUMMYFUNCTION("""COMPUTED_VALUE"""),"SeniorSR")</f>
        <v>SeniorSR</v>
      </c>
      <c r="F266" t="str">
        <f ca="1">IFERROR(__xludf.DUMMYFUNCTION("""COMPUTED_VALUE"""),"")</f>
        <v/>
      </c>
      <c r="G266" t="str">
        <f ca="1">IFERROR(__xludf.DUMMYFUNCTION("""COMPUTED_VALUE"""),"")</f>
        <v/>
      </c>
    </row>
    <row r="267" spans="1:7" ht="13.2" x14ac:dyDescent="0.25">
      <c r="A267" s="1" t="s">
        <v>19</v>
      </c>
      <c r="B267" t="str">
        <f ca="1">IFERROR(__xludf.DUMMYFUNCTION("""COMPUTED_VALUE"""),"Carrasco, Servando")</f>
        <v>Carrasco, Servando</v>
      </c>
      <c r="C267">
        <f ca="1">IFERROR(__xludf.DUMMYFUNCTION("""COMPUTED_VALUE"""),14)</f>
        <v>14</v>
      </c>
      <c r="D267" t="str">
        <f ca="1">IFERROR(__xludf.DUMMYFUNCTION("""COMPUTED_VALUE"""),"M")</f>
        <v>M</v>
      </c>
      <c r="E267" t="str">
        <f ca="1">IFERROR(__xludf.DUMMYFUNCTION("""COMPUTED_VALUE"""),"SupplementalSUP")</f>
        <v>SupplementalSUP</v>
      </c>
      <c r="F267" t="str">
        <f ca="1">IFERROR(__xludf.DUMMYFUNCTION("""COMPUTED_VALUE"""),"")</f>
        <v/>
      </c>
      <c r="G267" t="str">
        <f ca="1">IFERROR(__xludf.DUMMYFUNCTION("""COMPUTED_VALUE"""),"")</f>
        <v/>
      </c>
    </row>
    <row r="268" spans="1:7" ht="13.2" x14ac:dyDescent="0.25">
      <c r="A268" s="1" t="s">
        <v>19</v>
      </c>
      <c r="B268" t="str">
        <f ca="1">IFERROR(__xludf.DUMMYFUNCTION("""COMPUTED_VALUE"""),"Ciani, Michael")</f>
        <v>Ciani, Michael</v>
      </c>
      <c r="C268">
        <f ca="1">IFERROR(__xludf.DUMMYFUNCTION("""COMPUTED_VALUE"""),28)</f>
        <v>28</v>
      </c>
      <c r="D268" t="str">
        <f ca="1">IFERROR(__xludf.DUMMYFUNCTION("""COMPUTED_VALUE"""),"D")</f>
        <v>D</v>
      </c>
      <c r="E268" t="str">
        <f ca="1">IFERROR(__xludf.DUMMYFUNCTION("""COMPUTED_VALUE"""),"SeniorSR")</f>
        <v>SeniorSR</v>
      </c>
      <c r="F268" t="str">
        <f ca="1">IFERROR(__xludf.DUMMYFUNCTION("""COMPUTED_VALUE"""),"INTL")</f>
        <v>INTL</v>
      </c>
      <c r="G268" t="str">
        <f ca="1">IFERROR(__xludf.DUMMYFUNCTION("""COMPUTED_VALUE"""),"")</f>
        <v/>
      </c>
    </row>
    <row r="269" spans="1:7" ht="13.2" x14ac:dyDescent="0.25">
      <c r="A269" s="1" t="s">
        <v>19</v>
      </c>
      <c r="B269" t="str">
        <f ca="1">IFERROR(__xludf.DUMMYFUNCTION("""COMPUTED_VALUE"""),"Cole, Ashley")</f>
        <v>Cole, Ashley</v>
      </c>
      <c r="C269">
        <f ca="1">IFERROR(__xludf.DUMMYFUNCTION("""COMPUTED_VALUE"""),3)</f>
        <v>3</v>
      </c>
      <c r="D269" t="str">
        <f ca="1">IFERROR(__xludf.DUMMYFUNCTION("""COMPUTED_VALUE"""),"D")</f>
        <v>D</v>
      </c>
      <c r="E269" t="str">
        <f ca="1">IFERROR(__xludf.DUMMYFUNCTION("""COMPUTED_VALUE"""),"SeniorSR")</f>
        <v>SeniorSR</v>
      </c>
      <c r="F269" t="str">
        <f ca="1">IFERROR(__xludf.DUMMYFUNCTION("""COMPUTED_VALUE"""),"INTL")</f>
        <v>INTL</v>
      </c>
      <c r="G269" t="str">
        <f ca="1">IFERROR(__xludf.DUMMYFUNCTION("""COMPUTED_VALUE"""),"")</f>
        <v/>
      </c>
    </row>
    <row r="270" spans="1:7" ht="13.2" x14ac:dyDescent="0.25">
      <c r="A270" s="1" t="s">
        <v>19</v>
      </c>
      <c r="B270" t="str">
        <f ca="1">IFERROR(__xludf.DUMMYFUNCTION("""COMPUTED_VALUE"""),"dos Santos, Giovani")</f>
        <v>dos Santos, Giovani</v>
      </c>
      <c r="C270">
        <f ca="1">IFERROR(__xludf.DUMMYFUNCTION("""COMPUTED_VALUE"""),10)</f>
        <v>10</v>
      </c>
      <c r="D270" t="str">
        <f ca="1">IFERROR(__xludf.DUMMYFUNCTION("""COMPUTED_VALUE"""),"F")</f>
        <v>F</v>
      </c>
      <c r="E270" t="str">
        <f ca="1">IFERROR(__xludf.DUMMYFUNCTION("""COMPUTED_VALUE"""),"SeniorSR")</f>
        <v>SeniorSR</v>
      </c>
      <c r="F270" t="str">
        <f ca="1">IFERROR(__xludf.DUMMYFUNCTION("""COMPUTED_VALUE"""),"DP, INTL")</f>
        <v>DP, INTL</v>
      </c>
      <c r="G270" t="str">
        <f ca="1">IFERROR(__xludf.DUMMYFUNCTION("""COMPUTED_VALUE"""),"")</f>
        <v/>
      </c>
    </row>
    <row r="271" spans="1:7" ht="13.2" x14ac:dyDescent="0.25">
      <c r="A271" s="1" t="s">
        <v>19</v>
      </c>
      <c r="B271" t="str">
        <f ca="1">IFERROR(__xludf.DUMMYFUNCTION("""COMPUTED_VALUE"""),"dos Santos, Jonathan")</f>
        <v>dos Santos, Jonathan</v>
      </c>
      <c r="C271">
        <f ca="1">IFERROR(__xludf.DUMMYFUNCTION("""COMPUTED_VALUE"""),8)</f>
        <v>8</v>
      </c>
      <c r="D271" t="str">
        <f ca="1">IFERROR(__xludf.DUMMYFUNCTION("""COMPUTED_VALUE"""),"M")</f>
        <v>M</v>
      </c>
      <c r="E271" t="str">
        <f ca="1">IFERROR(__xludf.DUMMYFUNCTION("""COMPUTED_VALUE"""),"SeniorSR")</f>
        <v>SeniorSR</v>
      </c>
      <c r="F271" t="str">
        <f ca="1">IFERROR(__xludf.DUMMYFUNCTION("""COMPUTED_VALUE"""),"DP, INTL")</f>
        <v>DP, INTL</v>
      </c>
      <c r="G271" t="str">
        <f ca="1">IFERROR(__xludf.DUMMYFUNCTION("""COMPUTED_VALUE"""),"")</f>
        <v/>
      </c>
    </row>
    <row r="272" spans="1:7" ht="13.2" x14ac:dyDescent="0.25">
      <c r="A272" s="1" t="s">
        <v>19</v>
      </c>
      <c r="B272" t="str">
        <f ca="1">IFERROR(__xludf.DUMMYFUNCTION("""COMPUTED_VALUE"""),"Feltscher, Rolf")</f>
        <v>Feltscher, Rolf</v>
      </c>
      <c r="C272">
        <f ca="1">IFERROR(__xludf.DUMMYFUNCTION("""COMPUTED_VALUE"""),25)</f>
        <v>25</v>
      </c>
      <c r="D272" t="str">
        <f ca="1">IFERROR(__xludf.DUMMYFUNCTION("""COMPUTED_VALUE"""),"D")</f>
        <v>D</v>
      </c>
      <c r="E272" t="str">
        <f ca="1">IFERROR(__xludf.DUMMYFUNCTION("""COMPUTED_VALUE"""),"SeniorSR")</f>
        <v>SeniorSR</v>
      </c>
      <c r="F272" t="str">
        <f ca="1">IFERROR(__xludf.DUMMYFUNCTION("""COMPUTED_VALUE"""),"INTL")</f>
        <v>INTL</v>
      </c>
      <c r="G272" t="str">
        <f ca="1">IFERROR(__xludf.DUMMYFUNCTION("""COMPUTED_VALUE"""),"")</f>
        <v/>
      </c>
    </row>
    <row r="273" spans="1:7" ht="13.2" x14ac:dyDescent="0.25">
      <c r="A273" s="1" t="s">
        <v>19</v>
      </c>
      <c r="B273" t="str">
        <f ca="1">IFERROR(__xludf.DUMMYFUNCTION("""COMPUTED_VALUE"""),"Hilliard-Arce, Tomas")</f>
        <v>Hilliard-Arce, Tomas</v>
      </c>
      <c r="C273">
        <f ca="1">IFERROR(__xludf.DUMMYFUNCTION("""COMPUTED_VALUE"""),20)</f>
        <v>20</v>
      </c>
      <c r="D273" t="str">
        <f ca="1">IFERROR(__xludf.DUMMYFUNCTION("""COMPUTED_VALUE"""),"D")</f>
        <v>D</v>
      </c>
      <c r="E273" t="str">
        <f ca="1">IFERROR(__xludf.DUMMYFUNCTION("""COMPUTED_VALUE"""),"SupplementalSUP")</f>
        <v>SupplementalSUP</v>
      </c>
      <c r="F273" t="str">
        <f ca="1">IFERROR(__xludf.DUMMYFUNCTION("""COMPUTED_VALUE"""),"")</f>
        <v/>
      </c>
      <c r="G273" t="str">
        <f ca="1">IFERROR(__xludf.DUMMYFUNCTION("""COMPUTED_VALUE"""),"")</f>
        <v/>
      </c>
    </row>
    <row r="274" spans="1:7" ht="13.2" x14ac:dyDescent="0.25">
      <c r="A274" s="1" t="s">
        <v>19</v>
      </c>
      <c r="B274" t="str">
        <f ca="1">IFERROR(__xludf.DUMMYFUNCTION("""COMPUTED_VALUE"""),"Husidic, Baggio")</f>
        <v>Husidic, Baggio</v>
      </c>
      <c r="C274">
        <f ca="1">IFERROR(__xludf.DUMMYFUNCTION("""COMPUTED_VALUE"""),6)</f>
        <v>6</v>
      </c>
      <c r="D274" t="str">
        <f ca="1">IFERROR(__xludf.DUMMYFUNCTION("""COMPUTED_VALUE"""),"M")</f>
        <v>M</v>
      </c>
      <c r="E274" t="str">
        <f ca="1">IFERROR(__xludf.DUMMYFUNCTION("""COMPUTED_VALUE"""),"SeniorSR")</f>
        <v>SeniorSR</v>
      </c>
      <c r="F274" t="str">
        <f ca="1">IFERROR(__xludf.DUMMYFUNCTION("""COMPUTED_VALUE"""),"")</f>
        <v/>
      </c>
      <c r="G274" t="str">
        <f ca="1">IFERROR(__xludf.DUMMYFUNCTION("""COMPUTED_VALUE"""),"")</f>
        <v/>
      </c>
    </row>
    <row r="275" spans="1:7" ht="13.2" x14ac:dyDescent="0.25">
      <c r="A275" s="1" t="s">
        <v>19</v>
      </c>
      <c r="B275" t="str">
        <f ca="1">IFERROR(__xludf.DUMMYFUNCTION("""COMPUTED_VALUE"""),"Ibrahimović, Zlatan")</f>
        <v>Ibrahimović, Zlatan</v>
      </c>
      <c r="C275">
        <f ca="1">IFERROR(__xludf.DUMMYFUNCTION("""COMPUTED_VALUE"""),9)</f>
        <v>9</v>
      </c>
      <c r="D275" t="str">
        <f ca="1">IFERROR(__xludf.DUMMYFUNCTION("""COMPUTED_VALUE"""),"F")</f>
        <v>F</v>
      </c>
      <c r="E275" t="str">
        <f ca="1">IFERROR(__xludf.DUMMYFUNCTION("""COMPUTED_VALUE"""),"SeniorSR")</f>
        <v>SeniorSR</v>
      </c>
      <c r="F275" t="str">
        <f ca="1">IFERROR(__xludf.DUMMYFUNCTION("""COMPUTED_VALUE"""),"INTL")</f>
        <v>INTL</v>
      </c>
      <c r="G275" t="str">
        <f ca="1">IFERROR(__xludf.DUMMYFUNCTION("""COMPUTED_VALUE"""),"")</f>
        <v/>
      </c>
    </row>
    <row r="276" spans="1:7" ht="13.2" x14ac:dyDescent="0.25">
      <c r="A276" s="1" t="s">
        <v>19</v>
      </c>
      <c r="B276" t="str">
        <f ca="1">IFERROR(__xludf.DUMMYFUNCTION("""COMPUTED_VALUE"""),"Jamieson, Bradford")</f>
        <v>Jamieson, Bradford</v>
      </c>
      <c r="C276">
        <f ca="1">IFERROR(__xludf.DUMMYFUNCTION("""COMPUTED_VALUE"""),38)</f>
        <v>38</v>
      </c>
      <c r="D276" t="str">
        <f ca="1">IFERROR(__xludf.DUMMYFUNCTION("""COMPUTED_VALUE"""),"F")</f>
        <v>F</v>
      </c>
      <c r="E276" t="str">
        <f ca="1">IFERROR(__xludf.DUMMYFUNCTION("""COMPUTED_VALUE"""),"ReserveRES")</f>
        <v>ReserveRES</v>
      </c>
      <c r="F276" t="str">
        <f ca="1">IFERROR(__xludf.DUMMYFUNCTION("""COMPUTED_VALUE"""),"HG")</f>
        <v>HG</v>
      </c>
      <c r="G276" t="str">
        <f ca="1">IFERROR(__xludf.DUMMYFUNCTION("""COMPUTED_VALUE"""),"")</f>
        <v/>
      </c>
    </row>
    <row r="277" spans="1:7" ht="13.2" x14ac:dyDescent="0.25">
      <c r="A277" s="1" t="s">
        <v>19</v>
      </c>
      <c r="B277" t="str">
        <f ca="1">IFERROR(__xludf.DUMMYFUNCTION("""COMPUTED_VALUE"""),"Kamara, Ola")</f>
        <v>Kamara, Ola</v>
      </c>
      <c r="C277">
        <f ca="1">IFERROR(__xludf.DUMMYFUNCTION("""COMPUTED_VALUE"""),11)</f>
        <v>11</v>
      </c>
      <c r="D277" t="str">
        <f ca="1">IFERROR(__xludf.DUMMYFUNCTION("""COMPUTED_VALUE"""),"F")</f>
        <v>F</v>
      </c>
      <c r="E277" t="str">
        <f ca="1">IFERROR(__xludf.DUMMYFUNCTION("""COMPUTED_VALUE"""),"SeniorSR")</f>
        <v>SeniorSR</v>
      </c>
      <c r="F277" t="str">
        <f ca="1">IFERROR(__xludf.DUMMYFUNCTION("""COMPUTED_VALUE"""),"")</f>
        <v/>
      </c>
      <c r="G277" t="str">
        <f ca="1">IFERROR(__xludf.DUMMYFUNCTION("""COMPUTED_VALUE"""),"")</f>
        <v/>
      </c>
    </row>
    <row r="278" spans="1:7" ht="13.2" x14ac:dyDescent="0.25">
      <c r="A278" s="1" t="s">
        <v>19</v>
      </c>
      <c r="B278" t="str">
        <f ca="1">IFERROR(__xludf.DUMMYFUNCTION("""COMPUTED_VALUE"""),"Kitchen, Perry")</f>
        <v>Kitchen, Perry</v>
      </c>
      <c r="C278">
        <f ca="1">IFERROR(__xludf.DUMMYFUNCTION("""COMPUTED_VALUE"""),2)</f>
        <v>2</v>
      </c>
      <c r="D278" t="str">
        <f ca="1">IFERROR(__xludf.DUMMYFUNCTION("""COMPUTED_VALUE"""),"M")</f>
        <v>M</v>
      </c>
      <c r="E278" t="str">
        <f ca="1">IFERROR(__xludf.DUMMYFUNCTION("""COMPUTED_VALUE"""),"SeniorSR")</f>
        <v>SeniorSR</v>
      </c>
      <c r="F278" t="str">
        <f ca="1">IFERROR(__xludf.DUMMYFUNCTION("""COMPUTED_VALUE"""),"")</f>
        <v/>
      </c>
      <c r="G278" t="str">
        <f ca="1">IFERROR(__xludf.DUMMYFUNCTION("""COMPUTED_VALUE"""),"")</f>
        <v/>
      </c>
    </row>
    <row r="279" spans="1:7" ht="13.2" x14ac:dyDescent="0.25">
      <c r="A279" s="1" t="s">
        <v>19</v>
      </c>
      <c r="B279" t="str">
        <f ca="1">IFERROR(__xludf.DUMMYFUNCTION("""COMPUTED_VALUE"""),"Lassiter, Ariel")</f>
        <v>Lassiter, Ariel</v>
      </c>
      <c r="C279">
        <f ca="1">IFERROR(__xludf.DUMMYFUNCTION("""COMPUTED_VALUE"""),15)</f>
        <v>15</v>
      </c>
      <c r="D279" t="str">
        <f ca="1">IFERROR(__xludf.DUMMYFUNCTION("""COMPUTED_VALUE"""),"F")</f>
        <v>F</v>
      </c>
      <c r="E279" t="str">
        <f ca="1">IFERROR(__xludf.DUMMYFUNCTION("""COMPUTED_VALUE"""),"ReserveRES")</f>
        <v>ReserveRES</v>
      </c>
      <c r="F279" t="str">
        <f ca="1">IFERROR(__xludf.DUMMYFUNCTION("""COMPUTED_VALUE"""),"HG")</f>
        <v>HG</v>
      </c>
      <c r="G279" t="str">
        <f ca="1">IFERROR(__xludf.DUMMYFUNCTION("""COMPUTED_VALUE"""),"")</f>
        <v/>
      </c>
    </row>
    <row r="280" spans="1:7" ht="13.2" x14ac:dyDescent="0.25">
      <c r="A280" s="1" t="s">
        <v>19</v>
      </c>
      <c r="B280" t="str">
        <f ca="1">IFERROR(__xludf.DUMMYFUNCTION("""COMPUTED_VALUE"""),"Lletget, Sebastian")</f>
        <v>Lletget, Sebastian</v>
      </c>
      <c r="C280">
        <f ca="1">IFERROR(__xludf.DUMMYFUNCTION("""COMPUTED_VALUE"""),17)</f>
        <v>17</v>
      </c>
      <c r="D280" t="str">
        <f ca="1">IFERROR(__xludf.DUMMYFUNCTION("""COMPUTED_VALUE"""),"M")</f>
        <v>M</v>
      </c>
      <c r="E280" t="str">
        <f ca="1">IFERROR(__xludf.DUMMYFUNCTION("""COMPUTED_VALUE"""),"SeniorSR")</f>
        <v>SeniorSR</v>
      </c>
      <c r="F280" t="str">
        <f ca="1">IFERROR(__xludf.DUMMYFUNCTION("""COMPUTED_VALUE"""),"")</f>
        <v/>
      </c>
      <c r="G280" t="str">
        <f ca="1">IFERROR(__xludf.DUMMYFUNCTION("""COMPUTED_VALUE"""),"")</f>
        <v/>
      </c>
    </row>
    <row r="281" spans="1:7" ht="13.2" x14ac:dyDescent="0.25">
      <c r="A281" s="1" t="s">
        <v>19</v>
      </c>
      <c r="B281" t="str">
        <f ca="1">IFERROR(__xludf.DUMMYFUNCTION("""COMPUTED_VALUE"""),"Pedro, Joao")</f>
        <v>Pedro, Joao</v>
      </c>
      <c r="C281">
        <f ca="1">IFERROR(__xludf.DUMMYFUNCTION("""COMPUTED_VALUE"""),88)</f>
        <v>88</v>
      </c>
      <c r="D281" t="str">
        <f ca="1">IFERROR(__xludf.DUMMYFUNCTION("""COMPUTED_VALUE"""),"M")</f>
        <v>M</v>
      </c>
      <c r="E281" t="str">
        <f ca="1">IFERROR(__xludf.DUMMYFUNCTION("""COMPUTED_VALUE"""),"SeniorSR, On loanOL")</f>
        <v>SeniorSR, On loanOL</v>
      </c>
      <c r="F281" t="str">
        <f ca="1">IFERROR(__xludf.DUMMYFUNCTION("""COMPUTED_VALUE"""),"INTL")</f>
        <v>INTL</v>
      </c>
      <c r="G281" t="str">
        <f ca="1">IFERROR(__xludf.DUMMYFUNCTION("""COMPUTED_VALUE"""),"*On loanOL*")</f>
        <v>*On loanOL*</v>
      </c>
    </row>
    <row r="282" spans="1:7" ht="13.2" x14ac:dyDescent="0.25">
      <c r="A282" s="1" t="s">
        <v>19</v>
      </c>
      <c r="B282" t="str">
        <f ca="1">IFERROR(__xludf.DUMMYFUNCTION("""COMPUTED_VALUE"""),"Pontius, Chris")</f>
        <v>Pontius, Chris</v>
      </c>
      <c r="C282">
        <f ca="1">IFERROR(__xludf.DUMMYFUNCTION("""COMPUTED_VALUE"""),19)</f>
        <v>19</v>
      </c>
      <c r="D282" t="str">
        <f ca="1">IFERROR(__xludf.DUMMYFUNCTION("""COMPUTED_VALUE"""),"F")</f>
        <v>F</v>
      </c>
      <c r="E282" t="str">
        <f ca="1">IFERROR(__xludf.DUMMYFUNCTION("""COMPUTED_VALUE"""),"SeniorSR")</f>
        <v>SeniorSR</v>
      </c>
      <c r="F282" t="str">
        <f ca="1">IFERROR(__xludf.DUMMYFUNCTION("""COMPUTED_VALUE"""),"")</f>
        <v/>
      </c>
      <c r="G282" t="str">
        <f ca="1">IFERROR(__xludf.DUMMYFUNCTION("""COMPUTED_VALUE"""),"")</f>
        <v/>
      </c>
    </row>
    <row r="283" spans="1:7" ht="13.2" x14ac:dyDescent="0.25">
      <c r="A283" s="1" t="s">
        <v>19</v>
      </c>
      <c r="B283" t="str">
        <f ca="1">IFERROR(__xludf.DUMMYFUNCTION("""COMPUTED_VALUE"""),"Romney, Dave")</f>
        <v>Romney, Dave</v>
      </c>
      <c r="C283">
        <f ca="1">IFERROR(__xludf.DUMMYFUNCTION("""COMPUTED_VALUE"""),4)</f>
        <v>4</v>
      </c>
      <c r="D283" t="str">
        <f ca="1">IFERROR(__xludf.DUMMYFUNCTION("""COMPUTED_VALUE"""),"D")</f>
        <v>D</v>
      </c>
      <c r="E283" t="str">
        <f ca="1">IFERROR(__xludf.DUMMYFUNCTION("""COMPUTED_VALUE"""),"SeniorSR")</f>
        <v>SeniorSR</v>
      </c>
      <c r="F283" t="str">
        <f ca="1">IFERROR(__xludf.DUMMYFUNCTION("""COMPUTED_VALUE"""),"")</f>
        <v/>
      </c>
      <c r="G283" t="str">
        <f ca="1">IFERROR(__xludf.DUMMYFUNCTION("""COMPUTED_VALUE"""),"")</f>
        <v/>
      </c>
    </row>
    <row r="284" spans="1:7" ht="13.2" x14ac:dyDescent="0.25">
      <c r="A284" s="1" t="s">
        <v>19</v>
      </c>
      <c r="B284" t="str">
        <f ca="1">IFERROR(__xludf.DUMMYFUNCTION("""COMPUTED_VALUE"""),"Skjelvik, Jorgen")</f>
        <v>Skjelvik, Jorgen</v>
      </c>
      <c r="C284">
        <f ca="1">IFERROR(__xludf.DUMMYFUNCTION("""COMPUTED_VALUE"""),16)</f>
        <v>16</v>
      </c>
      <c r="D284" t="str">
        <f ca="1">IFERROR(__xludf.DUMMYFUNCTION("""COMPUTED_VALUE"""),"D")</f>
        <v>D</v>
      </c>
      <c r="E284" t="str">
        <f ca="1">IFERROR(__xludf.DUMMYFUNCTION("""COMPUTED_VALUE"""),"SeniorSR")</f>
        <v>SeniorSR</v>
      </c>
      <c r="F284" t="str">
        <f ca="1">IFERROR(__xludf.DUMMYFUNCTION("""COMPUTED_VALUE"""),"INTL")</f>
        <v>INTL</v>
      </c>
      <c r="G284" t="str">
        <f ca="1">IFERROR(__xludf.DUMMYFUNCTION("""COMPUTED_VALUE"""),"")</f>
        <v/>
      </c>
    </row>
    <row r="285" spans="1:7" ht="13.2" x14ac:dyDescent="0.25">
      <c r="A285" s="1" t="s">
        <v>19</v>
      </c>
      <c r="B285" t="str">
        <f ca="1">IFERROR(__xludf.DUMMYFUNCTION("""COMPUTED_VALUE"""),"Steres, Daniel")</f>
        <v>Steres, Daniel</v>
      </c>
      <c r="C285">
        <f ca="1">IFERROR(__xludf.DUMMYFUNCTION("""COMPUTED_VALUE"""),5)</f>
        <v>5</v>
      </c>
      <c r="D285" t="str">
        <f ca="1">IFERROR(__xludf.DUMMYFUNCTION("""COMPUTED_VALUE"""),"D")</f>
        <v>D</v>
      </c>
      <c r="E285" t="str">
        <f ca="1">IFERROR(__xludf.DUMMYFUNCTION("""COMPUTED_VALUE"""),"SeniorSR")</f>
        <v>SeniorSR</v>
      </c>
      <c r="F285" t="str">
        <f ca="1">IFERROR(__xludf.DUMMYFUNCTION("""COMPUTED_VALUE"""),"")</f>
        <v/>
      </c>
      <c r="G285" t="str">
        <f ca="1">IFERROR(__xludf.DUMMYFUNCTION("""COMPUTED_VALUE"""),"")</f>
        <v/>
      </c>
    </row>
    <row r="286" spans="1:7" ht="13.2" x14ac:dyDescent="0.25">
      <c r="A286" s="1" t="s">
        <v>19</v>
      </c>
      <c r="B286" t="str">
        <f ca="1">IFERROR(__xludf.DUMMYFUNCTION("""COMPUTED_VALUE"""),"Sylvestre, Brian")</f>
        <v>Sylvestre, Brian</v>
      </c>
      <c r="C286">
        <f ca="1">IFERROR(__xludf.DUMMYFUNCTION("""COMPUTED_VALUE"""),12)</f>
        <v>12</v>
      </c>
      <c r="D286" t="str">
        <f ca="1">IFERROR(__xludf.DUMMYFUNCTION("""COMPUTED_VALUE"""),"GK")</f>
        <v>GK</v>
      </c>
      <c r="E286" t="str">
        <f ca="1">IFERROR(__xludf.DUMMYFUNCTION("""COMPUTED_VALUE"""),"SupplementalSUP")</f>
        <v>SupplementalSUP</v>
      </c>
      <c r="F286" t="str">
        <f ca="1">IFERROR(__xludf.DUMMYFUNCTION("""COMPUTED_VALUE"""),"")</f>
        <v/>
      </c>
      <c r="G286" t="str">
        <f ca="1">IFERROR(__xludf.DUMMYFUNCTION("""COMPUTED_VALUE"""),"")</f>
        <v/>
      </c>
    </row>
    <row r="287" spans="1:7" ht="13.2" x14ac:dyDescent="0.25">
      <c r="A287" s="1" t="s">
        <v>19</v>
      </c>
      <c r="B287" t="str">
        <f ca="1">IFERROR(__xludf.DUMMYFUNCTION("""COMPUTED_VALUE"""),"Vom Steeg, Justin")</f>
        <v>Vom Steeg, Justin</v>
      </c>
      <c r="C287">
        <f ca="1">IFERROR(__xludf.DUMMYFUNCTION("""COMPUTED_VALUE"""),41)</f>
        <v>41</v>
      </c>
      <c r="D287" t="str">
        <f ca="1">IFERROR(__xludf.DUMMYFUNCTION("""COMPUTED_VALUE"""),"GK")</f>
        <v>GK</v>
      </c>
      <c r="E287" t="str">
        <f ca="1">IFERROR(__xludf.DUMMYFUNCTION("""COMPUTED_VALUE"""),"ReserveRES")</f>
        <v>ReserveRES</v>
      </c>
      <c r="F287" t="str">
        <f ca="1">IFERROR(__xludf.DUMMYFUNCTION("""COMPUTED_VALUE"""),"")</f>
        <v/>
      </c>
      <c r="G287" t="str">
        <f ca="1">IFERROR(__xludf.DUMMYFUNCTION("""COMPUTED_VALUE"""),"")</f>
        <v/>
      </c>
    </row>
    <row r="288" spans="1:7" ht="13.2" x14ac:dyDescent="0.25">
      <c r="A288" s="1" t="s">
        <v>19</v>
      </c>
      <c r="B288" t="str">
        <f ca="1">IFERROR(__xludf.DUMMYFUNCTION("""COMPUTED_VALUE"""),"Williams, Sheanon")</f>
        <v>Williams, Sheanon</v>
      </c>
      <c r="C288" t="str">
        <f ca="1">IFERROR(__xludf.DUMMYFUNCTION("""COMPUTED_VALUE"""),"")</f>
        <v/>
      </c>
      <c r="D288" t="str">
        <f ca="1">IFERROR(__xludf.DUMMYFUNCTION("""COMPUTED_VALUE"""),"")</f>
        <v/>
      </c>
      <c r="E288" t="str">
        <f ca="1">IFERROR(__xludf.DUMMYFUNCTION("""COMPUTED_VALUE"""),"SupplementalSUP")</f>
        <v>SupplementalSUP</v>
      </c>
      <c r="F288" t="str">
        <f ca="1">IFERROR(__xludf.DUMMYFUNCTION("""COMPUTED_VALUE"""),"")</f>
        <v/>
      </c>
      <c r="G288" t="str">
        <f ca="1">IFERROR(__xludf.DUMMYFUNCTION("""COMPUTED_VALUE"""),"")</f>
        <v/>
      </c>
    </row>
    <row r="289" spans="1:7" ht="13.2" x14ac:dyDescent="0.25">
      <c r="A289" s="1" t="s">
        <v>19</v>
      </c>
      <c r="B289" t="str">
        <f ca="1">IFERROR(__xludf.DUMMYFUNCTION("""COMPUTED_VALUE"""),"")</f>
        <v/>
      </c>
      <c r="C289" t="str">
        <f ca="1">IFERROR(__xludf.DUMMYFUNCTION("""COMPUTED_VALUE"""),"")</f>
        <v/>
      </c>
      <c r="D289" t="str">
        <f ca="1">IFERROR(__xludf.DUMMYFUNCTION("""COMPUTED_VALUE"""),"")</f>
        <v/>
      </c>
      <c r="E289" t="str">
        <f ca="1">IFERROR(__xludf.DUMMYFUNCTION("""COMPUTED_VALUE"""),"")</f>
        <v/>
      </c>
      <c r="F289" t="str">
        <f ca="1">IFERROR(__xludf.DUMMYFUNCTION("""COMPUTED_VALUE"""),"")</f>
        <v/>
      </c>
      <c r="G289" t="str">
        <f ca="1">IFERROR(__xludf.DUMMYFUNCTION("""COMPUTED_VALUE"""),"")</f>
        <v/>
      </c>
    </row>
    <row r="290" spans="1:7" ht="13.2" x14ac:dyDescent="0.25">
      <c r="A290" s="1" t="s">
        <v>19</v>
      </c>
      <c r="B290" t="str">
        <f ca="1">IFERROR(__xludf.DUMMYFUNCTION("""COMPUTED_VALUE"""),"")</f>
        <v/>
      </c>
      <c r="C290" t="str">
        <f ca="1">IFERROR(__xludf.DUMMYFUNCTION("""COMPUTED_VALUE"""),"")</f>
        <v/>
      </c>
      <c r="D290" t="str">
        <f ca="1">IFERROR(__xludf.DUMMYFUNCTION("""COMPUTED_VALUE"""),"")</f>
        <v/>
      </c>
      <c r="E290" t="str">
        <f ca="1">IFERROR(__xludf.DUMMYFUNCTION("""COMPUTED_VALUE"""),"")</f>
        <v/>
      </c>
      <c r="F290" t="str">
        <f ca="1">IFERROR(__xludf.DUMMYFUNCTION("""COMPUTED_VALUE"""),"")</f>
        <v/>
      </c>
      <c r="G290" t="str">
        <f ca="1">IFERROR(__xludf.DUMMYFUNCTION("""COMPUTED_VALUE"""),"")</f>
        <v/>
      </c>
    </row>
    <row r="291" spans="1:7" ht="13.2" x14ac:dyDescent="0.25">
      <c r="A291" s="1" t="s">
        <v>19</v>
      </c>
      <c r="B291" t="str">
        <f ca="1">IFERROR(__xludf.DUMMYFUNCTION("""COMPUTED_VALUE"""),"")</f>
        <v/>
      </c>
      <c r="C291" t="str">
        <f ca="1">IFERROR(__xludf.DUMMYFUNCTION("""COMPUTED_VALUE"""),"")</f>
        <v/>
      </c>
      <c r="D291" t="str">
        <f ca="1">IFERROR(__xludf.DUMMYFUNCTION("""COMPUTED_VALUE"""),"")</f>
        <v/>
      </c>
      <c r="E291" t="str">
        <f ca="1">IFERROR(__xludf.DUMMYFUNCTION("""COMPUTED_VALUE"""),"")</f>
        <v/>
      </c>
      <c r="F291" t="str">
        <f ca="1">IFERROR(__xludf.DUMMYFUNCTION("""COMPUTED_VALUE"""),"")</f>
        <v/>
      </c>
      <c r="G291" t="str">
        <f ca="1">IFERROR(__xludf.DUMMYFUNCTION("""COMPUTED_VALUE"""),"")</f>
        <v/>
      </c>
    </row>
    <row r="292" spans="1:7" ht="13.2" x14ac:dyDescent="0.25">
      <c r="A292" s="1" t="s">
        <v>19</v>
      </c>
      <c r="B292" t="str">
        <f ca="1">IFERROR(__xludf.DUMMYFUNCTION("""COMPUTED_VALUE"""),"")</f>
        <v/>
      </c>
      <c r="C292" t="str">
        <f ca="1">IFERROR(__xludf.DUMMYFUNCTION("""COMPUTED_VALUE"""),"")</f>
        <v/>
      </c>
      <c r="D292" t="str">
        <f ca="1">IFERROR(__xludf.DUMMYFUNCTION("""COMPUTED_VALUE"""),"")</f>
        <v/>
      </c>
      <c r="E292" t="str">
        <f ca="1">IFERROR(__xludf.DUMMYFUNCTION("""COMPUTED_VALUE"""),"")</f>
        <v/>
      </c>
      <c r="F292" t="str">
        <f ca="1">IFERROR(__xludf.DUMMYFUNCTION("""COMPUTED_VALUE"""),"")</f>
        <v/>
      </c>
      <c r="G292" t="str">
        <f ca="1">IFERROR(__xludf.DUMMYFUNCTION("""COMPUTED_VALUE"""),"")</f>
        <v/>
      </c>
    </row>
    <row r="293" spans="1:7" ht="13.2" x14ac:dyDescent="0.25">
      <c r="A293" s="1" t="s">
        <v>19</v>
      </c>
      <c r="B293" t="str">
        <f ca="1">IFERROR(__xludf.DUMMYFUNCTION("""COMPUTED_VALUE"""),"26 of 30 spots filled")</f>
        <v>26 of 30 spots filled</v>
      </c>
      <c r="C293" t="str">
        <f ca="1">IFERROR(__xludf.DUMMYFUNCTION("""COMPUTED_VALUE"""),"")</f>
        <v/>
      </c>
      <c r="D293" t="str">
        <f ca="1">IFERROR(__xludf.DUMMYFUNCTION("""COMPUTED_VALUE"""),"")</f>
        <v/>
      </c>
      <c r="E293" t="str">
        <f ca="1">IFERROR(__xludf.DUMMYFUNCTION("""COMPUTED_VALUE"""),"")</f>
        <v/>
      </c>
      <c r="F293" t="str">
        <f ca="1">IFERROR(__xludf.DUMMYFUNCTION("""COMPUTED_VALUE"""),"")</f>
        <v/>
      </c>
      <c r="G293" t="str">
        <f ca="1">IFERROR(__xludf.DUMMYFUNCTION("""COMPUTED_VALUE"""),"")</f>
        <v/>
      </c>
    </row>
    <row r="294" spans="1:7" ht="13.2" x14ac:dyDescent="0.25">
      <c r="A294" s="1" t="s">
        <v>19</v>
      </c>
      <c r="B294" t="str">
        <f ca="1">IFERROR(__xludf.DUMMYFUNCTION("""COMPUTED_VALUE"""),"*Players that do not count against the 30-man active roster*")</f>
        <v>*Players that do not count against the 30-man active roster*</v>
      </c>
      <c r="C294" t="str">
        <f ca="1">IFERROR(__xludf.DUMMYFUNCTION("""COMPUTED_VALUE"""),"")</f>
        <v/>
      </c>
      <c r="D294" t="str">
        <f ca="1">IFERROR(__xludf.DUMMYFUNCTION("""COMPUTED_VALUE"""),"")</f>
        <v/>
      </c>
      <c r="E294" t="str">
        <f ca="1">IFERROR(__xludf.DUMMYFUNCTION("""COMPUTED_VALUE"""),"")</f>
        <v/>
      </c>
      <c r="F294" t="str">
        <f ca="1">IFERROR(__xludf.DUMMYFUNCTION("""COMPUTED_VALUE"""),"")</f>
        <v/>
      </c>
      <c r="G294" t="str">
        <f ca="1">IFERROR(__xludf.DUMMYFUNCTION("""COMPUTED_VALUE"""),"")</f>
        <v/>
      </c>
    </row>
    <row r="295" spans="1:7" ht="13.2" x14ac:dyDescent="0.25">
      <c r="A295" s="1" t="s">
        <v>19</v>
      </c>
      <c r="B295" t="str">
        <f ca="1">IFERROR(__xludf.DUMMYFUNCTION("""COMPUTED_VALUE"""),"Alvarez, Efrain")</f>
        <v>Alvarez, Efrain</v>
      </c>
      <c r="C295" t="str">
        <f ca="1">IFERROR(__xludf.DUMMYFUNCTION("""COMPUTED_VALUE"""),"")</f>
        <v/>
      </c>
      <c r="D295" t="str">
        <f ca="1">IFERROR(__xludf.DUMMYFUNCTION("""COMPUTED_VALUE"""),"")</f>
        <v/>
      </c>
      <c r="E295" t="str">
        <f ca="1">IFERROR(__xludf.DUMMYFUNCTION("""COMPUTED_VALUE"""),"ReserveRES, On loanOL")</f>
        <v>ReserveRES, On loanOL</v>
      </c>
      <c r="F295" t="str">
        <f ca="1">IFERROR(__xludf.DUMMYFUNCTION("""COMPUTED_VALUE"""),"*Loaned to: USLOL: USL*")</f>
        <v>*Loaned to: USLOL: USL*</v>
      </c>
      <c r="G295" t="str">
        <f ca="1">IFERROR(__xludf.DUMMYFUNCTION("""COMPUTED_VALUE"""),"")</f>
        <v/>
      </c>
    </row>
    <row r="296" spans="1:7" ht="13.2" x14ac:dyDescent="0.25">
      <c r="A296" s="1" t="s">
        <v>19</v>
      </c>
    </row>
    <row r="297" spans="1:7" ht="13.2" x14ac:dyDescent="0.25">
      <c r="A297" s="1" t="s">
        <v>19</v>
      </c>
    </row>
    <row r="298" spans="1:7" ht="13.2" x14ac:dyDescent="0.25">
      <c r="A298" s="1" t="s">
        <v>19</v>
      </c>
    </row>
    <row r="300" spans="1:7" ht="13.2" x14ac:dyDescent="0.25">
      <c r="B300" t="str">
        <f ca="1">IFERROR(__xludf.DUMMYFUNCTION("IMPORTHTML(""http://www.mlssoccer.com/rosters/2018/minnesota-united"", ""table"", 1)"),"30-man Active Roster (Spots 1-30)")</f>
        <v>30-man Active Roster (Spots 1-30)</v>
      </c>
      <c r="C300" t="str">
        <f ca="1">IFERROR(__xludf.DUMMYFUNCTION("""COMPUTED_VALUE"""),"#")</f>
        <v>#</v>
      </c>
      <c r="D300" t="str">
        <f ca="1">IFERROR(__xludf.DUMMYFUNCTION("""COMPUTED_VALUE"""),"POS")</f>
        <v>POS</v>
      </c>
      <c r="E300" t="str">
        <f ca="1">IFERROR(__xludf.DUMMYFUNCTION("""COMPUTED_VALUE"""),"ROSTER STATUSR.S.")</f>
        <v>ROSTER STATUSR.S.</v>
      </c>
      <c r="F300" t="str">
        <f ca="1">IFERROR(__xludf.DUMMYFUNCTION("""COMPUTED_VALUE"""),"PLAYER CATEGORYCAT.")</f>
        <v>PLAYER CATEGORYCAT.</v>
      </c>
      <c r="G300" t="str">
        <f ca="1">IFERROR(__xludf.DUMMYFUNCTION("""COMPUTED_VALUE"""),"*NOTE*")</f>
        <v>*NOTE*</v>
      </c>
    </row>
    <row r="301" spans="1:7" ht="13.2" x14ac:dyDescent="0.25">
      <c r="A301" s="1" t="s">
        <v>20</v>
      </c>
      <c r="B301" t="str">
        <f ca="1">IFERROR(__xludf.DUMMYFUNCTION("""COMPUTED_VALUE"""),"Boxall, Michael")</f>
        <v>Boxall, Michael</v>
      </c>
      <c r="C301">
        <f ca="1">IFERROR(__xludf.DUMMYFUNCTION("""COMPUTED_VALUE"""),25)</f>
        <v>25</v>
      </c>
      <c r="D301" t="str">
        <f ca="1">IFERROR(__xludf.DUMMYFUNCTION("""COMPUTED_VALUE"""),"D")</f>
        <v>D</v>
      </c>
      <c r="E301" t="str">
        <f ca="1">IFERROR(__xludf.DUMMYFUNCTION("""COMPUTED_VALUE"""),"SeniorSR")</f>
        <v>SeniorSR</v>
      </c>
      <c r="F301" t="str">
        <f ca="1">IFERROR(__xludf.DUMMYFUNCTION("""COMPUTED_VALUE"""),"INTL")</f>
        <v>INTL</v>
      </c>
      <c r="G301" t="str">
        <f ca="1">IFERROR(__xludf.DUMMYFUNCTION("""COMPUTED_VALUE"""),"")</f>
        <v/>
      </c>
    </row>
    <row r="302" spans="1:7" ht="13.2" x14ac:dyDescent="0.25">
      <c r="A302" s="1" t="s">
        <v>20</v>
      </c>
      <c r="B302" t="str">
        <f ca="1">IFERROR(__xludf.DUMMYFUNCTION("""COMPUTED_VALUE"""),"Burch, Marc")</f>
        <v>Burch, Marc</v>
      </c>
      <c r="C302">
        <f ca="1">IFERROR(__xludf.DUMMYFUNCTION("""COMPUTED_VALUE"""),8)</f>
        <v>8</v>
      </c>
      <c r="D302" t="str">
        <f ca="1">IFERROR(__xludf.DUMMYFUNCTION("""COMPUTED_VALUE"""),"D")</f>
        <v>D</v>
      </c>
      <c r="E302" t="str">
        <f ca="1">IFERROR(__xludf.DUMMYFUNCTION("""COMPUTED_VALUE"""),"SeniorSR")</f>
        <v>SeniorSR</v>
      </c>
      <c r="F302" t="str">
        <f ca="1">IFERROR(__xludf.DUMMYFUNCTION("""COMPUTED_VALUE"""),"")</f>
        <v/>
      </c>
      <c r="G302" t="str">
        <f ca="1">IFERROR(__xludf.DUMMYFUNCTION("""COMPUTED_VALUE"""),"")</f>
        <v/>
      </c>
    </row>
    <row r="303" spans="1:7" ht="13.2" x14ac:dyDescent="0.25">
      <c r="A303" s="1" t="s">
        <v>20</v>
      </c>
      <c r="B303" t="str">
        <f ca="1">IFERROR(__xludf.DUMMYFUNCTION("""COMPUTED_VALUE"""),"Calvo, Francisco")</f>
        <v>Calvo, Francisco</v>
      </c>
      <c r="C303">
        <f ca="1">IFERROR(__xludf.DUMMYFUNCTION("""COMPUTED_VALUE"""),5)</f>
        <v>5</v>
      </c>
      <c r="D303" t="str">
        <f ca="1">IFERROR(__xludf.DUMMYFUNCTION("""COMPUTED_VALUE"""),"D")</f>
        <v>D</v>
      </c>
      <c r="E303" t="str">
        <f ca="1">IFERROR(__xludf.DUMMYFUNCTION("""COMPUTED_VALUE"""),"SeniorSR")</f>
        <v>SeniorSR</v>
      </c>
      <c r="F303" t="str">
        <f ca="1">IFERROR(__xludf.DUMMYFUNCTION("""COMPUTED_VALUE"""),"")</f>
        <v/>
      </c>
      <c r="G303" t="str">
        <f ca="1">IFERROR(__xludf.DUMMYFUNCTION("""COMPUTED_VALUE"""),"")</f>
        <v/>
      </c>
    </row>
    <row r="304" spans="1:7" ht="13.2" x14ac:dyDescent="0.25">
      <c r="A304" s="1" t="s">
        <v>20</v>
      </c>
      <c r="B304" t="str">
        <f ca="1">IFERROR(__xludf.DUMMYFUNCTION("""COMPUTED_VALUE"""),"Cronin, Sam")</f>
        <v>Cronin, Sam</v>
      </c>
      <c r="C304">
        <f ca="1">IFERROR(__xludf.DUMMYFUNCTION("""COMPUTED_VALUE"""),6)</f>
        <v>6</v>
      </c>
      <c r="D304" t="str">
        <f ca="1">IFERROR(__xludf.DUMMYFUNCTION("""COMPUTED_VALUE"""),"M")</f>
        <v>M</v>
      </c>
      <c r="E304" t="str">
        <f ca="1">IFERROR(__xludf.DUMMYFUNCTION("""COMPUTED_VALUE"""),"SeniorSR")</f>
        <v>SeniorSR</v>
      </c>
      <c r="F304" t="str">
        <f ca="1">IFERROR(__xludf.DUMMYFUNCTION("""COMPUTED_VALUE"""),"")</f>
        <v/>
      </c>
      <c r="G304" t="str">
        <f ca="1">IFERROR(__xludf.DUMMYFUNCTION("""COMPUTED_VALUE"""),"")</f>
        <v/>
      </c>
    </row>
    <row r="305" spans="1:7" ht="13.2" x14ac:dyDescent="0.25">
      <c r="A305" s="1" t="s">
        <v>20</v>
      </c>
      <c r="B305" t="str">
        <f ca="1">IFERROR(__xludf.DUMMYFUNCTION("""COMPUTED_VALUE"""),"Danladi, Abu")</f>
        <v>Danladi, Abu</v>
      </c>
      <c r="C305">
        <f ca="1">IFERROR(__xludf.DUMMYFUNCTION("""COMPUTED_VALUE"""),9)</f>
        <v>9</v>
      </c>
      <c r="D305" t="str">
        <f ca="1">IFERROR(__xludf.DUMMYFUNCTION("""COMPUTED_VALUE"""),"F")</f>
        <v>F</v>
      </c>
      <c r="E305" t="str">
        <f ca="1">IFERROR(__xludf.DUMMYFUNCTION("""COMPUTED_VALUE"""),"SupplementalSUP")</f>
        <v>SupplementalSUP</v>
      </c>
      <c r="F305" t="str">
        <f ca="1">IFERROR(__xludf.DUMMYFUNCTION("""COMPUTED_VALUE"""),"GA")</f>
        <v>GA</v>
      </c>
      <c r="G305" t="str">
        <f ca="1">IFERROR(__xludf.DUMMYFUNCTION("""COMPUTED_VALUE"""),"")</f>
        <v/>
      </c>
    </row>
    <row r="306" spans="1:7" ht="13.2" x14ac:dyDescent="0.25">
      <c r="A306" s="1" t="s">
        <v>20</v>
      </c>
      <c r="B306" t="str">
        <f ca="1">IFERROR(__xludf.DUMMYFUNCTION("""COMPUTED_VALUE"""),"Gomez, Alexi")</f>
        <v>Gomez, Alexi</v>
      </c>
      <c r="C306">
        <f ca="1">IFERROR(__xludf.DUMMYFUNCTION("""COMPUTED_VALUE"""),32)</f>
        <v>32</v>
      </c>
      <c r="D306" t="str">
        <f ca="1">IFERROR(__xludf.DUMMYFUNCTION("""COMPUTED_VALUE"""),"M/D")</f>
        <v>M/D</v>
      </c>
      <c r="E306" t="str">
        <f ca="1">IFERROR(__xludf.DUMMYFUNCTION("""COMPUTED_VALUE"""),"SeniorSR")</f>
        <v>SeniorSR</v>
      </c>
      <c r="F306" t="str">
        <f ca="1">IFERROR(__xludf.DUMMYFUNCTION("""COMPUTED_VALUE"""),"INTL")</f>
        <v>INTL</v>
      </c>
      <c r="G306" t="str">
        <f ca="1">IFERROR(__xludf.DUMMYFUNCTION("""COMPUTED_VALUE"""),"")</f>
        <v/>
      </c>
    </row>
    <row r="307" spans="1:7" ht="13.2" x14ac:dyDescent="0.25">
      <c r="A307" s="1" t="s">
        <v>20</v>
      </c>
      <c r="B307" t="str">
        <f ca="1">IFERROR(__xludf.DUMMYFUNCTION("""COMPUTED_VALUE"""),"Heath, Harrison")</f>
        <v>Heath, Harrison</v>
      </c>
      <c r="C307">
        <f ca="1">IFERROR(__xludf.DUMMYFUNCTION("""COMPUTED_VALUE"""),16)</f>
        <v>16</v>
      </c>
      <c r="D307" t="str">
        <f ca="1">IFERROR(__xludf.DUMMYFUNCTION("""COMPUTED_VALUE"""),"M")</f>
        <v>M</v>
      </c>
      <c r="E307" t="str">
        <f ca="1">IFERROR(__xludf.DUMMYFUNCTION("""COMPUTED_VALUE"""),"ReserveRES")</f>
        <v>ReserveRES</v>
      </c>
      <c r="F307" t="str">
        <f ca="1">IFERROR(__xludf.DUMMYFUNCTION("""COMPUTED_VALUE"""),"HG")</f>
        <v>HG</v>
      </c>
      <c r="G307" t="str">
        <f ca="1">IFERROR(__xludf.DUMMYFUNCTION("""COMPUTED_VALUE"""),"")</f>
        <v/>
      </c>
    </row>
    <row r="308" spans="1:7" ht="13.2" x14ac:dyDescent="0.25">
      <c r="A308" s="1" t="s">
        <v>20</v>
      </c>
      <c r="B308" t="str">
        <f ca="1">IFERROR(__xludf.DUMMYFUNCTION("""COMPUTED_VALUE"""),"Ibarra, Miguel")</f>
        <v>Ibarra, Miguel</v>
      </c>
      <c r="C308">
        <f ca="1">IFERROR(__xludf.DUMMYFUNCTION("""COMPUTED_VALUE"""),10)</f>
        <v>10</v>
      </c>
      <c r="D308" t="str">
        <f ca="1">IFERROR(__xludf.DUMMYFUNCTION("""COMPUTED_VALUE"""),"M")</f>
        <v>M</v>
      </c>
      <c r="E308" t="str">
        <f ca="1">IFERROR(__xludf.DUMMYFUNCTION("""COMPUTED_VALUE"""),"SeniorSR")</f>
        <v>SeniorSR</v>
      </c>
      <c r="F308" t="str">
        <f ca="1">IFERROR(__xludf.DUMMYFUNCTION("""COMPUTED_VALUE"""),"")</f>
        <v/>
      </c>
      <c r="G308" t="str">
        <f ca="1">IFERROR(__xludf.DUMMYFUNCTION("""COMPUTED_VALUE"""),"")</f>
        <v/>
      </c>
    </row>
    <row r="309" spans="1:7" ht="13.2" x14ac:dyDescent="0.25">
      <c r="A309" s="1" t="s">
        <v>20</v>
      </c>
      <c r="B309" t="str">
        <f ca="1">IFERROR(__xludf.DUMMYFUNCTION("""COMPUTED_VALUE"""),"Ibarra, Romario")</f>
        <v>Ibarra, Romario</v>
      </c>
      <c r="C309">
        <f ca="1">IFERROR(__xludf.DUMMYFUNCTION("""COMPUTED_VALUE"""),11)</f>
        <v>11</v>
      </c>
      <c r="D309" t="str">
        <f ca="1">IFERROR(__xludf.DUMMYFUNCTION("""COMPUTED_VALUE"""),"M")</f>
        <v>M</v>
      </c>
      <c r="E309" t="str">
        <f ca="1">IFERROR(__xludf.DUMMYFUNCTION("""COMPUTED_VALUE"""),"SeniorSR")</f>
        <v>SeniorSR</v>
      </c>
      <c r="F309" t="str">
        <f ca="1">IFERROR(__xludf.DUMMYFUNCTION("""COMPUTED_VALUE"""),"INTL")</f>
        <v>INTL</v>
      </c>
      <c r="G309" t="str">
        <f ca="1">IFERROR(__xludf.DUMMYFUNCTION("""COMPUTED_VALUE"""),"")</f>
        <v/>
      </c>
    </row>
    <row r="310" spans="1:7" ht="13.2" x14ac:dyDescent="0.25">
      <c r="A310" s="1" t="s">
        <v>20</v>
      </c>
      <c r="B310" t="str">
        <f ca="1">IFERROR(__xludf.DUMMYFUNCTION("""COMPUTED_VALUE"""),"Ibson")</f>
        <v>Ibson</v>
      </c>
      <c r="C310">
        <f ca="1">IFERROR(__xludf.DUMMYFUNCTION("""COMPUTED_VALUE"""),7)</f>
        <v>7</v>
      </c>
      <c r="D310" t="str">
        <f ca="1">IFERROR(__xludf.DUMMYFUNCTION("""COMPUTED_VALUE"""),"M")</f>
        <v>M</v>
      </c>
      <c r="E310" t="str">
        <f ca="1">IFERROR(__xludf.DUMMYFUNCTION("""COMPUTED_VALUE"""),"SeniorSR")</f>
        <v>SeniorSR</v>
      </c>
      <c r="F310" t="str">
        <f ca="1">IFERROR(__xludf.DUMMYFUNCTION("""COMPUTED_VALUE"""),"")</f>
        <v/>
      </c>
      <c r="G310" t="str">
        <f ca="1">IFERROR(__xludf.DUMMYFUNCTION("""COMPUTED_VALUE"""),"")</f>
        <v/>
      </c>
    </row>
    <row r="311" spans="1:7" ht="13.2" x14ac:dyDescent="0.25">
      <c r="A311" s="1" t="s">
        <v>20</v>
      </c>
      <c r="B311" t="str">
        <f ca="1">IFERROR(__xludf.DUMMYFUNCTION("""COMPUTED_VALUE"""),"Kallman, Brent")</f>
        <v>Kallman, Brent</v>
      </c>
      <c r="C311">
        <f ca="1">IFERROR(__xludf.DUMMYFUNCTION("""COMPUTED_VALUE"""),14)</f>
        <v>14</v>
      </c>
      <c r="D311" t="str">
        <f ca="1">IFERROR(__xludf.DUMMYFUNCTION("""COMPUTED_VALUE"""),"D")</f>
        <v>D</v>
      </c>
      <c r="E311" t="str">
        <f ca="1">IFERROR(__xludf.DUMMYFUNCTION("""COMPUTED_VALUE"""),"SeniorSR")</f>
        <v>SeniorSR</v>
      </c>
      <c r="F311" t="str">
        <f ca="1">IFERROR(__xludf.DUMMYFUNCTION("""COMPUTED_VALUE"""),"")</f>
        <v/>
      </c>
      <c r="G311" t="str">
        <f ca="1">IFERROR(__xludf.DUMMYFUNCTION("""COMPUTED_VALUE"""),"")</f>
        <v/>
      </c>
    </row>
    <row r="312" spans="1:7" ht="13.2" x14ac:dyDescent="0.25">
      <c r="A312" s="1" t="s">
        <v>20</v>
      </c>
      <c r="B312" t="str">
        <f ca="1">IFERROR(__xludf.DUMMYFUNCTION("""COMPUTED_VALUE"""),"Kapp, Alex")</f>
        <v>Kapp, Alex</v>
      </c>
      <c r="C312">
        <f ca="1">IFERROR(__xludf.DUMMYFUNCTION("""COMPUTED_VALUE"""),24)</f>
        <v>24</v>
      </c>
      <c r="D312" t="str">
        <f ca="1">IFERROR(__xludf.DUMMYFUNCTION("""COMPUTED_VALUE"""),"D")</f>
        <v>D</v>
      </c>
      <c r="E312" t="str">
        <f ca="1">IFERROR(__xludf.DUMMYFUNCTION("""COMPUTED_VALUE"""),"ReserveRES")</f>
        <v>ReserveRES</v>
      </c>
      <c r="F312" t="str">
        <f ca="1">IFERROR(__xludf.DUMMYFUNCTION("""COMPUTED_VALUE"""),"")</f>
        <v/>
      </c>
      <c r="G312" t="str">
        <f ca="1">IFERROR(__xludf.DUMMYFUNCTION("""COMPUTED_VALUE"""),"")</f>
        <v/>
      </c>
    </row>
    <row r="313" spans="1:7" ht="13.2" x14ac:dyDescent="0.25">
      <c r="A313" s="1" t="s">
        <v>20</v>
      </c>
      <c r="B313" t="str">
        <f ca="1">IFERROR(__xludf.DUMMYFUNCTION("""COMPUTED_VALUE"""),"Lampson, Matt")</f>
        <v>Lampson, Matt</v>
      </c>
      <c r="C313">
        <f ca="1">IFERROR(__xludf.DUMMYFUNCTION("""COMPUTED_VALUE"""),28)</f>
        <v>28</v>
      </c>
      <c r="D313" t="str">
        <f ca="1">IFERROR(__xludf.DUMMYFUNCTION("""COMPUTED_VALUE"""),"GK")</f>
        <v>GK</v>
      </c>
      <c r="E313" t="str">
        <f ca="1">IFERROR(__xludf.DUMMYFUNCTION("""COMPUTED_VALUE"""),"SeniorSR")</f>
        <v>SeniorSR</v>
      </c>
      <c r="F313" t="str">
        <f ca="1">IFERROR(__xludf.DUMMYFUNCTION("""COMPUTED_VALUE"""),"")</f>
        <v/>
      </c>
      <c r="G313" t="str">
        <f ca="1">IFERROR(__xludf.DUMMYFUNCTION("""COMPUTED_VALUE"""),"")</f>
        <v/>
      </c>
    </row>
    <row r="314" spans="1:7" ht="13.2" x14ac:dyDescent="0.25">
      <c r="A314" s="1" t="s">
        <v>20</v>
      </c>
      <c r="B314" t="str">
        <f ca="1">IFERROR(__xludf.DUMMYFUNCTION("""COMPUTED_VALUE"""),"Manley, Carter")</f>
        <v>Manley, Carter</v>
      </c>
      <c r="C314">
        <f ca="1">IFERROR(__xludf.DUMMYFUNCTION("""COMPUTED_VALUE"""),2)</f>
        <v>2</v>
      </c>
      <c r="D314" t="str">
        <f ca="1">IFERROR(__xludf.DUMMYFUNCTION("""COMPUTED_VALUE"""),"D")</f>
        <v>D</v>
      </c>
      <c r="E314" t="str">
        <f ca="1">IFERROR(__xludf.DUMMYFUNCTION("""COMPUTED_VALUE"""),"ReserveRES")</f>
        <v>ReserveRES</v>
      </c>
      <c r="F314" t="str">
        <f ca="1">IFERROR(__xludf.DUMMYFUNCTION("""COMPUTED_VALUE"""),"")</f>
        <v/>
      </c>
      <c r="G314" t="str">
        <f ca="1">IFERROR(__xludf.DUMMYFUNCTION("""COMPUTED_VALUE"""),"")</f>
        <v/>
      </c>
    </row>
    <row r="315" spans="1:7" ht="13.2" x14ac:dyDescent="0.25">
      <c r="A315" s="1" t="s">
        <v>20</v>
      </c>
      <c r="B315" t="str">
        <f ca="1">IFERROR(__xludf.DUMMYFUNCTION("""COMPUTED_VALUE"""),"Martin, Collin")</f>
        <v>Martin, Collin</v>
      </c>
      <c r="C315">
        <f ca="1">IFERROR(__xludf.DUMMYFUNCTION("""COMPUTED_VALUE"""),17)</f>
        <v>17</v>
      </c>
      <c r="D315" t="str">
        <f ca="1">IFERROR(__xludf.DUMMYFUNCTION("""COMPUTED_VALUE"""),"M")</f>
        <v>M</v>
      </c>
      <c r="E315" t="str">
        <f ca="1">IFERROR(__xludf.DUMMYFUNCTION("""COMPUTED_VALUE"""),"ReserveRES")</f>
        <v>ReserveRES</v>
      </c>
      <c r="F315" t="str">
        <f ca="1">IFERROR(__xludf.DUMMYFUNCTION("""COMPUTED_VALUE"""),"HG")</f>
        <v>HG</v>
      </c>
      <c r="G315" t="str">
        <f ca="1">IFERROR(__xludf.DUMMYFUNCTION("""COMPUTED_VALUE"""),"")</f>
        <v/>
      </c>
    </row>
    <row r="316" spans="1:7" ht="13.2" x14ac:dyDescent="0.25">
      <c r="A316" s="1" t="s">
        <v>20</v>
      </c>
      <c r="B316" t="str">
        <f ca="1">IFERROR(__xludf.DUMMYFUNCTION("""COMPUTED_VALUE"""),"Maximiano")</f>
        <v>Maximiano</v>
      </c>
      <c r="C316">
        <f ca="1">IFERROR(__xludf.DUMMYFUNCTION("""COMPUTED_VALUE"""),31)</f>
        <v>31</v>
      </c>
      <c r="D316" t="str">
        <f ca="1">IFERROR(__xludf.DUMMYFUNCTION("""COMPUTED_VALUE"""),"M")</f>
        <v>M</v>
      </c>
      <c r="E316" t="str">
        <f ca="1">IFERROR(__xludf.DUMMYFUNCTION("""COMPUTED_VALUE"""),"SeniorSR")</f>
        <v>SeniorSR</v>
      </c>
      <c r="F316" t="str">
        <f ca="1">IFERROR(__xludf.DUMMYFUNCTION("""COMPUTED_VALUE"""),"INTL")</f>
        <v>INTL</v>
      </c>
      <c r="G316" t="str">
        <f ca="1">IFERROR(__xludf.DUMMYFUNCTION("""COMPUTED_VALUE"""),"")</f>
        <v/>
      </c>
    </row>
    <row r="317" spans="1:7" ht="13.2" x14ac:dyDescent="0.25">
      <c r="A317" s="1" t="s">
        <v>20</v>
      </c>
      <c r="B317" t="str">
        <f ca="1">IFERROR(__xludf.DUMMYFUNCTION("""COMPUTED_VALUE"""),"Mears, Tyrone")</f>
        <v>Mears, Tyrone</v>
      </c>
      <c r="C317">
        <f ca="1">IFERROR(__xludf.DUMMYFUNCTION("""COMPUTED_VALUE"""),4)</f>
        <v>4</v>
      </c>
      <c r="D317" t="str">
        <f ca="1">IFERROR(__xludf.DUMMYFUNCTION("""COMPUTED_VALUE"""),"D")</f>
        <v>D</v>
      </c>
      <c r="E317" t="str">
        <f ca="1">IFERROR(__xludf.DUMMYFUNCTION("""COMPUTED_VALUE"""),"SeniorSR")</f>
        <v>SeniorSR</v>
      </c>
      <c r="F317" t="str">
        <f ca="1">IFERROR(__xludf.DUMMYFUNCTION("""COMPUTED_VALUE"""),"")</f>
        <v/>
      </c>
      <c r="G317" t="str">
        <f ca="1">IFERROR(__xludf.DUMMYFUNCTION("""COMPUTED_VALUE"""),"")</f>
        <v/>
      </c>
    </row>
    <row r="318" spans="1:7" ht="13.2" x14ac:dyDescent="0.25">
      <c r="A318" s="1" t="s">
        <v>20</v>
      </c>
      <c r="B318" t="str">
        <f ca="1">IFERROR(__xludf.DUMMYFUNCTION("""COMPUTED_VALUE"""),"Miller, Eric")</f>
        <v>Miller, Eric</v>
      </c>
      <c r="C318">
        <f ca="1">IFERROR(__xludf.DUMMYFUNCTION("""COMPUTED_VALUE"""),30)</f>
        <v>30</v>
      </c>
      <c r="D318" t="str">
        <f ca="1">IFERROR(__xludf.DUMMYFUNCTION("""COMPUTED_VALUE"""),"D")</f>
        <v>D</v>
      </c>
      <c r="E318" t="str">
        <f ca="1">IFERROR(__xludf.DUMMYFUNCTION("""COMPUTED_VALUE"""),"SeniorSR")</f>
        <v>SeniorSR</v>
      </c>
      <c r="F318" t="str">
        <f ca="1">IFERROR(__xludf.DUMMYFUNCTION("""COMPUTED_VALUE"""),"")</f>
        <v/>
      </c>
      <c r="G318" t="str">
        <f ca="1">IFERROR(__xludf.DUMMYFUNCTION("""COMPUTED_VALUE"""),"")</f>
        <v/>
      </c>
    </row>
    <row r="319" spans="1:7" ht="13.2" x14ac:dyDescent="0.25">
      <c r="A319" s="1" t="s">
        <v>20</v>
      </c>
      <c r="B319" t="str">
        <f ca="1">IFERROR(__xludf.DUMMYFUNCTION("""COMPUTED_VALUE"""),"Omsberg, Wyatt")</f>
        <v>Omsberg, Wyatt</v>
      </c>
      <c r="C319">
        <f ca="1">IFERROR(__xludf.DUMMYFUNCTION("""COMPUTED_VALUE"""),22)</f>
        <v>22</v>
      </c>
      <c r="D319" t="str">
        <f ca="1">IFERROR(__xludf.DUMMYFUNCTION("""COMPUTED_VALUE"""),"D")</f>
        <v>D</v>
      </c>
      <c r="E319" t="str">
        <f ca="1">IFERROR(__xludf.DUMMYFUNCTION("""COMPUTED_VALUE"""),"ReserveRES")</f>
        <v>ReserveRES</v>
      </c>
      <c r="F319" t="str">
        <f ca="1">IFERROR(__xludf.DUMMYFUNCTION("""COMPUTED_VALUE"""),"")</f>
        <v/>
      </c>
      <c r="G319" t="str">
        <f ca="1">IFERROR(__xludf.DUMMYFUNCTION("""COMPUTED_VALUE"""),"")</f>
        <v/>
      </c>
    </row>
    <row r="320" spans="1:7" ht="13.2" x14ac:dyDescent="0.25">
      <c r="A320" s="1" t="s">
        <v>20</v>
      </c>
      <c r="B320" t="str">
        <f ca="1">IFERROR(__xludf.DUMMYFUNCTION("""COMPUTED_VALUE"""),"Owundi Eko, Bertrand")</f>
        <v>Owundi Eko, Bertrand</v>
      </c>
      <c r="C320">
        <f ca="1">IFERROR(__xludf.DUMMYFUNCTION("""COMPUTED_VALUE"""),27)</f>
        <v>27</v>
      </c>
      <c r="D320" t="str">
        <f ca="1">IFERROR(__xludf.DUMMYFUNCTION("""COMPUTED_VALUE"""),"D")</f>
        <v>D</v>
      </c>
      <c r="E320" t="str">
        <f ca="1">IFERROR(__xludf.DUMMYFUNCTION("""COMPUTED_VALUE"""),"SupplementalSUP")</f>
        <v>SupplementalSUP</v>
      </c>
      <c r="F320" t="str">
        <f ca="1">IFERROR(__xludf.DUMMYFUNCTION("""COMPUTED_VALUE"""),"INTL")</f>
        <v>INTL</v>
      </c>
      <c r="G320" t="str">
        <f ca="1">IFERROR(__xludf.DUMMYFUNCTION("""COMPUTED_VALUE"""),"")</f>
        <v/>
      </c>
    </row>
    <row r="321" spans="1:7" ht="13.2" x14ac:dyDescent="0.25">
      <c r="A321" s="1" t="s">
        <v>20</v>
      </c>
      <c r="B321" t="str">
        <f ca="1">IFERROR(__xludf.DUMMYFUNCTION("""COMPUTED_VALUE"""),"Pangop, Frantz")</f>
        <v>Pangop, Frantz</v>
      </c>
      <c r="C321">
        <f ca="1">IFERROR(__xludf.DUMMYFUNCTION("""COMPUTED_VALUE"""),19)</f>
        <v>19</v>
      </c>
      <c r="D321" t="str">
        <f ca="1">IFERROR(__xludf.DUMMYFUNCTION("""COMPUTED_VALUE"""),"M")</f>
        <v>M</v>
      </c>
      <c r="E321" t="str">
        <f ca="1">IFERROR(__xludf.DUMMYFUNCTION("""COMPUTED_VALUE"""),"SupplementalSUP")</f>
        <v>SupplementalSUP</v>
      </c>
      <c r="F321" t="str">
        <f ca="1">IFERROR(__xludf.DUMMYFUNCTION("""COMPUTED_VALUE"""),"INTL")</f>
        <v>INTL</v>
      </c>
      <c r="G321" t="str">
        <f ca="1">IFERROR(__xludf.DUMMYFUNCTION("""COMPUTED_VALUE"""),"")</f>
        <v/>
      </c>
    </row>
    <row r="322" spans="1:7" ht="13.2" x14ac:dyDescent="0.25">
      <c r="A322" s="1" t="s">
        <v>20</v>
      </c>
      <c r="B322" t="str">
        <f ca="1">IFERROR(__xludf.DUMMYFUNCTION("""COMPUTED_VALUE"""),"Quintero, Darwin")</f>
        <v>Quintero, Darwin</v>
      </c>
      <c r="C322">
        <f ca="1">IFERROR(__xludf.DUMMYFUNCTION("""COMPUTED_VALUE"""),25)</f>
        <v>25</v>
      </c>
      <c r="D322" t="str">
        <f ca="1">IFERROR(__xludf.DUMMYFUNCTION("""COMPUTED_VALUE"""),"F")</f>
        <v>F</v>
      </c>
      <c r="E322" t="str">
        <f ca="1">IFERROR(__xludf.DUMMYFUNCTION("""COMPUTED_VALUE"""),"SeniorSR")</f>
        <v>SeniorSR</v>
      </c>
      <c r="F322" t="str">
        <f ca="1">IFERROR(__xludf.DUMMYFUNCTION("""COMPUTED_VALUE"""),"DP, INTL")</f>
        <v>DP, INTL</v>
      </c>
      <c r="G322" t="str">
        <f ca="1">IFERROR(__xludf.DUMMYFUNCTION("""COMPUTED_VALUE"""),"")</f>
        <v/>
      </c>
    </row>
    <row r="323" spans="1:7" ht="13.2" x14ac:dyDescent="0.25">
      <c r="A323" s="1" t="s">
        <v>20</v>
      </c>
      <c r="B323" t="str">
        <f ca="1">IFERROR(__xludf.DUMMYFUNCTION("""COMPUTED_VALUE"""),"Rodriguez, Angelo")</f>
        <v>Rodriguez, Angelo</v>
      </c>
      <c r="C323" t="str">
        <f ca="1">IFERROR(__xludf.DUMMYFUNCTION("""COMPUTED_VALUE"""),"")</f>
        <v/>
      </c>
      <c r="D323" t="str">
        <f ca="1">IFERROR(__xludf.DUMMYFUNCTION("""COMPUTED_VALUE"""),"F")</f>
        <v>F</v>
      </c>
      <c r="E323" t="str">
        <f ca="1">IFERROR(__xludf.DUMMYFUNCTION("""COMPUTED_VALUE"""),"SeniorSR")</f>
        <v>SeniorSR</v>
      </c>
      <c r="F323" t="str">
        <f ca="1">IFERROR(__xludf.DUMMYFUNCTION("""COMPUTED_VALUE"""),"DP, INTL")</f>
        <v>DP, INTL</v>
      </c>
      <c r="G323" t="str">
        <f ca="1">IFERROR(__xludf.DUMMYFUNCTION("""COMPUTED_VALUE"""),"")</f>
        <v/>
      </c>
    </row>
    <row r="324" spans="1:7" ht="13.2" x14ac:dyDescent="0.25">
      <c r="A324" s="1" t="s">
        <v>20</v>
      </c>
      <c r="B324" t="str">
        <f ca="1">IFERROR(__xludf.DUMMYFUNCTION("""COMPUTED_VALUE"""),"Schuller, Rasmus")</f>
        <v>Schuller, Rasmus</v>
      </c>
      <c r="C324">
        <f ca="1">IFERROR(__xludf.DUMMYFUNCTION("""COMPUTED_VALUE"""),20)</f>
        <v>20</v>
      </c>
      <c r="D324" t="str">
        <f ca="1">IFERROR(__xludf.DUMMYFUNCTION("""COMPUTED_VALUE"""),"M")</f>
        <v>M</v>
      </c>
      <c r="E324" t="str">
        <f ca="1">IFERROR(__xludf.DUMMYFUNCTION("""COMPUTED_VALUE"""),"SeniorSR")</f>
        <v>SeniorSR</v>
      </c>
      <c r="F324" t="str">
        <f ca="1">IFERROR(__xludf.DUMMYFUNCTION("""COMPUTED_VALUE"""),"")</f>
        <v/>
      </c>
      <c r="G324" t="str">
        <f ca="1">IFERROR(__xludf.DUMMYFUNCTION("""COMPUTED_VALUE"""),"")</f>
        <v/>
      </c>
    </row>
    <row r="325" spans="1:7" ht="13.2" x14ac:dyDescent="0.25">
      <c r="A325" s="1" t="s">
        <v>20</v>
      </c>
      <c r="B325" t="str">
        <f ca="1">IFERROR(__xludf.DUMMYFUNCTION("""COMPUTED_VALUE"""),"Shuttleworth, Robert")</f>
        <v>Shuttleworth, Robert</v>
      </c>
      <c r="C325">
        <f ca="1">IFERROR(__xludf.DUMMYFUNCTION("""COMPUTED_VALUE"""),33)</f>
        <v>33</v>
      </c>
      <c r="D325" t="str">
        <f ca="1">IFERROR(__xludf.DUMMYFUNCTION("""COMPUTED_VALUE"""),"GK")</f>
        <v>GK</v>
      </c>
      <c r="E325" t="str">
        <f ca="1">IFERROR(__xludf.DUMMYFUNCTION("""COMPUTED_VALUE"""),"SeniorSR")</f>
        <v>SeniorSR</v>
      </c>
      <c r="F325" t="str">
        <f ca="1">IFERROR(__xludf.DUMMYFUNCTION("""COMPUTED_VALUE"""),"")</f>
        <v/>
      </c>
      <c r="G325" t="str">
        <f ca="1">IFERROR(__xludf.DUMMYFUNCTION("""COMPUTED_VALUE"""),"")</f>
        <v/>
      </c>
    </row>
    <row r="326" spans="1:7" ht="13.2" x14ac:dyDescent="0.25">
      <c r="A326" s="1" t="s">
        <v>20</v>
      </c>
      <c r="B326" t="str">
        <f ca="1">IFERROR(__xludf.DUMMYFUNCTION("""COMPUTED_VALUE"""),"Thiesson, Jerome")</f>
        <v>Thiesson, Jerome</v>
      </c>
      <c r="C326">
        <f ca="1">IFERROR(__xludf.DUMMYFUNCTION("""COMPUTED_VALUE"""),3)</f>
        <v>3</v>
      </c>
      <c r="D326" t="str">
        <f ca="1">IFERROR(__xludf.DUMMYFUNCTION("""COMPUTED_VALUE"""),"D")</f>
        <v>D</v>
      </c>
      <c r="E326" t="str">
        <f ca="1">IFERROR(__xludf.DUMMYFUNCTION("""COMPUTED_VALUE"""),"SeniorSR")</f>
        <v>SeniorSR</v>
      </c>
      <c r="F326" t="str">
        <f ca="1">IFERROR(__xludf.DUMMYFUNCTION("""COMPUTED_VALUE"""),"")</f>
        <v/>
      </c>
      <c r="G326" t="str">
        <f ca="1">IFERROR(__xludf.DUMMYFUNCTION("""COMPUTED_VALUE"""),"")</f>
        <v/>
      </c>
    </row>
    <row r="327" spans="1:7" ht="13.2" x14ac:dyDescent="0.25">
      <c r="A327" s="1" t="s">
        <v>20</v>
      </c>
      <c r="B327" t="str">
        <f ca="1">IFERROR(__xludf.DUMMYFUNCTION("""COMPUTED_VALUE"""),"Toye, Mason")</f>
        <v>Toye, Mason</v>
      </c>
      <c r="C327">
        <f ca="1">IFERROR(__xludf.DUMMYFUNCTION("""COMPUTED_VALUE"""),23)</f>
        <v>23</v>
      </c>
      <c r="D327" t="str">
        <f ca="1">IFERROR(__xludf.DUMMYFUNCTION("""COMPUTED_VALUE"""),"F")</f>
        <v>F</v>
      </c>
      <c r="E327" t="str">
        <f ca="1">IFERROR(__xludf.DUMMYFUNCTION("""COMPUTED_VALUE"""),"SupplementalSUP")</f>
        <v>SupplementalSUP</v>
      </c>
      <c r="F327" t="str">
        <f ca="1">IFERROR(__xludf.DUMMYFUNCTION("""COMPUTED_VALUE"""),"GA")</f>
        <v>GA</v>
      </c>
      <c r="G327" t="str">
        <f ca="1">IFERROR(__xludf.DUMMYFUNCTION("""COMPUTED_VALUE"""),"")</f>
        <v/>
      </c>
    </row>
    <row r="328" spans="1:7" ht="13.2" x14ac:dyDescent="0.25">
      <c r="A328" s="1" t="s">
        <v>20</v>
      </c>
      <c r="B328" t="str">
        <f ca="1">IFERROR(__xludf.DUMMYFUNCTION("""COMPUTED_VALUE"""),"Venegas, Johan")</f>
        <v>Venegas, Johan</v>
      </c>
      <c r="C328">
        <f ca="1">IFERROR(__xludf.DUMMYFUNCTION("""COMPUTED_VALUE"""),11)</f>
        <v>11</v>
      </c>
      <c r="D328" t="str">
        <f ca="1">IFERROR(__xludf.DUMMYFUNCTION("""COMPUTED_VALUE"""),"M")</f>
        <v>M</v>
      </c>
      <c r="E328" t="str">
        <f ca="1">IFERROR(__xludf.DUMMYFUNCTION("""COMPUTED_VALUE"""),"SeniorSR, On loanOL")</f>
        <v>SeniorSR, On loanOL</v>
      </c>
      <c r="F328" t="str">
        <f ca="1">IFERROR(__xludf.DUMMYFUNCTION("""COMPUTED_VALUE"""),"INTL")</f>
        <v>INTL</v>
      </c>
      <c r="G328" t="str">
        <f ca="1">IFERROR(__xludf.DUMMYFUNCTION("""COMPUTED_VALUE"""),"*On loanOL*")</f>
        <v>*On loanOL*</v>
      </c>
    </row>
    <row r="329" spans="1:7" ht="13.2" x14ac:dyDescent="0.25">
      <c r="A329" s="1" t="s">
        <v>20</v>
      </c>
      <c r="B329" t="str">
        <f ca="1">IFERROR(__xludf.DUMMYFUNCTION("""COMPUTED_VALUE"""),"Warner, Collen")</f>
        <v>Warner, Collen</v>
      </c>
      <c r="C329">
        <f ca="1">IFERROR(__xludf.DUMMYFUNCTION("""COMPUTED_VALUE"""),26)</f>
        <v>26</v>
      </c>
      <c r="D329" t="str">
        <f ca="1">IFERROR(__xludf.DUMMYFUNCTION("""COMPUTED_VALUE"""),"M")</f>
        <v>M</v>
      </c>
      <c r="E329" t="str">
        <f ca="1">IFERROR(__xludf.DUMMYFUNCTION("""COMPUTED_VALUE"""),"SeniorSR")</f>
        <v>SeniorSR</v>
      </c>
      <c r="F329" t="str">
        <f ca="1">IFERROR(__xludf.DUMMYFUNCTION("""COMPUTED_VALUE"""),"")</f>
        <v/>
      </c>
      <c r="G329" t="str">
        <f ca="1">IFERROR(__xludf.DUMMYFUNCTION("""COMPUTED_VALUE"""),"")</f>
        <v/>
      </c>
    </row>
    <row r="330" spans="1:7" ht="13.2" x14ac:dyDescent="0.25">
      <c r="A330" s="1" t="s">
        <v>20</v>
      </c>
      <c r="B330" t="str">
        <f ca="1">IFERROR(__xludf.DUMMYFUNCTION("""COMPUTED_VALUE"""),"")</f>
        <v/>
      </c>
      <c r="C330" t="str">
        <f ca="1">IFERROR(__xludf.DUMMYFUNCTION("""COMPUTED_VALUE"""),"")</f>
        <v/>
      </c>
      <c r="D330" t="str">
        <f ca="1">IFERROR(__xludf.DUMMYFUNCTION("""COMPUTED_VALUE"""),"")</f>
        <v/>
      </c>
      <c r="E330" t="str">
        <f ca="1">IFERROR(__xludf.DUMMYFUNCTION("""COMPUTED_VALUE"""),"")</f>
        <v/>
      </c>
      <c r="F330" t="str">
        <f ca="1">IFERROR(__xludf.DUMMYFUNCTION("""COMPUTED_VALUE"""),"")</f>
        <v/>
      </c>
      <c r="G330" t="str">
        <f ca="1">IFERROR(__xludf.DUMMYFUNCTION("""COMPUTED_VALUE"""),"")</f>
        <v/>
      </c>
    </row>
    <row r="331" spans="1:7" ht="13.2" x14ac:dyDescent="0.25">
      <c r="A331" s="1" t="s">
        <v>20</v>
      </c>
      <c r="B331" t="str">
        <f ca="1">IFERROR(__xludf.DUMMYFUNCTION("""COMPUTED_VALUE"""),"29 of 30 spots filled")</f>
        <v>29 of 30 spots filled</v>
      </c>
      <c r="C331" t="str">
        <f ca="1">IFERROR(__xludf.DUMMYFUNCTION("""COMPUTED_VALUE"""),"")</f>
        <v/>
      </c>
      <c r="D331" t="str">
        <f ca="1">IFERROR(__xludf.DUMMYFUNCTION("""COMPUTED_VALUE"""),"")</f>
        <v/>
      </c>
      <c r="E331" t="str">
        <f ca="1">IFERROR(__xludf.DUMMYFUNCTION("""COMPUTED_VALUE"""),"")</f>
        <v/>
      </c>
      <c r="F331" t="str">
        <f ca="1">IFERROR(__xludf.DUMMYFUNCTION("""COMPUTED_VALUE"""),"")</f>
        <v/>
      </c>
      <c r="G331" t="str">
        <f ca="1">IFERROR(__xludf.DUMMYFUNCTION("""COMPUTED_VALUE"""),"")</f>
        <v/>
      </c>
    </row>
    <row r="332" spans="1:7" ht="13.2" x14ac:dyDescent="0.25">
      <c r="A332" s="1" t="s">
        <v>20</v>
      </c>
      <c r="B332" t="str">
        <f ca="1">IFERROR(__xludf.DUMMYFUNCTION("""COMPUTED_VALUE"""),"*Players that do not count against the 30-man active roster*")</f>
        <v>*Players that do not count against the 30-man active roster*</v>
      </c>
      <c r="C332" t="str">
        <f ca="1">IFERROR(__xludf.DUMMYFUNCTION("""COMPUTED_VALUE"""),"")</f>
        <v/>
      </c>
      <c r="D332" t="str">
        <f ca="1">IFERROR(__xludf.DUMMYFUNCTION("""COMPUTED_VALUE"""),"")</f>
        <v/>
      </c>
      <c r="E332" t="str">
        <f ca="1">IFERROR(__xludf.DUMMYFUNCTION("""COMPUTED_VALUE"""),"")</f>
        <v/>
      </c>
      <c r="F332" t="str">
        <f ca="1">IFERROR(__xludf.DUMMYFUNCTION("""COMPUTED_VALUE"""),"")</f>
        <v/>
      </c>
      <c r="G332" t="str">
        <f ca="1">IFERROR(__xludf.DUMMYFUNCTION("""COMPUTED_VALUE"""),"")</f>
        <v/>
      </c>
    </row>
    <row r="333" spans="1:7" ht="13.2" x14ac:dyDescent="0.25">
      <c r="A333" s="1" t="s">
        <v>20</v>
      </c>
      <c r="B333" t="str">
        <f ca="1">IFERROR(__xludf.DUMMYFUNCTION("""COMPUTED_VALUE"""),"Molino, Kevin")</f>
        <v>Molino, Kevin</v>
      </c>
      <c r="C333">
        <f ca="1">IFERROR(__xludf.DUMMYFUNCTION("""COMPUTED_VALUE"""),18)</f>
        <v>18</v>
      </c>
      <c r="D333" t="str">
        <f ca="1">IFERROR(__xludf.DUMMYFUNCTION("""COMPUTED_VALUE"""),"M")</f>
        <v>M</v>
      </c>
      <c r="E333" t="str">
        <f ca="1">IFERROR(__xludf.DUMMYFUNCTION("""COMPUTED_VALUE"""),"SeniorSR, Season-Ending InjurySEI")</f>
        <v>SeniorSR, Season-Ending InjurySEI</v>
      </c>
      <c r="F333" t="str">
        <f ca="1">IFERROR(__xludf.DUMMYFUNCTION("""COMPUTED_VALUE"""),"*Season-Ending InjurySEI*")</f>
        <v>*Season-Ending InjurySEI*</v>
      </c>
      <c r="G333" t="str">
        <f ca="1">IFERROR(__xludf.DUMMYFUNCTION("""COMPUTED_VALUE"""),"")</f>
        <v/>
      </c>
    </row>
    <row r="334" spans="1:7" ht="13.2" x14ac:dyDescent="0.25">
      <c r="A334" s="1" t="s">
        <v>20</v>
      </c>
      <c r="B334" t="str">
        <f ca="1">IFERROR(__xludf.DUMMYFUNCTION("""COMPUTED_VALUE"""),"Finlay, Ethan")</f>
        <v>Finlay, Ethan</v>
      </c>
      <c r="C334">
        <f ca="1">IFERROR(__xludf.DUMMYFUNCTION("""COMPUTED_VALUE"""),13)</f>
        <v>13</v>
      </c>
      <c r="D334" t="str">
        <f ca="1">IFERROR(__xludf.DUMMYFUNCTION("""COMPUTED_VALUE"""),"M")</f>
        <v>M</v>
      </c>
      <c r="E334" t="str">
        <f ca="1">IFERROR(__xludf.DUMMYFUNCTION("""COMPUTED_VALUE"""),"SeniorSR, Season-Ending InjurySEI")</f>
        <v>SeniorSR, Season-Ending InjurySEI</v>
      </c>
      <c r="F334" t="str">
        <f ca="1">IFERROR(__xludf.DUMMYFUNCTION("""COMPUTED_VALUE"""),"*Season-Ending InjurySEI*")</f>
        <v>*Season-Ending InjurySEI*</v>
      </c>
      <c r="G334" t="str">
        <f ca="1">IFERROR(__xludf.DUMMYFUNCTION("""COMPUTED_VALUE"""),"")</f>
        <v/>
      </c>
    </row>
    <row r="335" spans="1:7" ht="13.2" x14ac:dyDescent="0.25">
      <c r="A335" s="1" t="s">
        <v>20</v>
      </c>
    </row>
    <row r="338" spans="1:7" ht="13.2" x14ac:dyDescent="0.25">
      <c r="B338" t="str">
        <f ca="1">IFERROR(__xludf.DUMMYFUNCTION("IMPORTHTML(""http://www.mlssoccer.com/rosters/2018/montreal-impact"", ""table"", 1)"),"30-man Active Roster (Spots 1-30)")</f>
        <v>30-man Active Roster (Spots 1-30)</v>
      </c>
      <c r="C338" t="str">
        <f ca="1">IFERROR(__xludf.DUMMYFUNCTION("""COMPUTED_VALUE"""),"#")</f>
        <v>#</v>
      </c>
      <c r="D338" t="str">
        <f ca="1">IFERROR(__xludf.DUMMYFUNCTION("""COMPUTED_VALUE"""),"POS")</f>
        <v>POS</v>
      </c>
      <c r="E338" t="str">
        <f ca="1">IFERROR(__xludf.DUMMYFUNCTION("""COMPUTED_VALUE"""),"ROSTER STATUSR.S.")</f>
        <v>ROSTER STATUSR.S.</v>
      </c>
      <c r="F338" t="str">
        <f ca="1">IFERROR(__xludf.DUMMYFUNCTION("""COMPUTED_VALUE"""),"PLAYER CATEGORYCAT.")</f>
        <v>PLAYER CATEGORYCAT.</v>
      </c>
      <c r="G338" t="str">
        <f ca="1">IFERROR(__xludf.DUMMYFUNCTION("""COMPUTED_VALUE"""),"*NOTE*")</f>
        <v>*NOTE*</v>
      </c>
    </row>
    <row r="339" spans="1:7" ht="13.2" x14ac:dyDescent="0.25">
      <c r="A339" s="1" t="s">
        <v>21</v>
      </c>
      <c r="B339" t="str">
        <f ca="1">IFERROR(__xludf.DUMMYFUNCTION("""COMPUTED_VALUE"""),"Amarikwa, Quincy")</f>
        <v>Amarikwa, Quincy</v>
      </c>
      <c r="C339">
        <f ca="1">IFERROR(__xludf.DUMMYFUNCTION("""COMPUTED_VALUE"""),30)</f>
        <v>30</v>
      </c>
      <c r="D339" t="str">
        <f ca="1">IFERROR(__xludf.DUMMYFUNCTION("""COMPUTED_VALUE"""),"F")</f>
        <v>F</v>
      </c>
      <c r="E339" t="str">
        <f ca="1">IFERROR(__xludf.DUMMYFUNCTION("""COMPUTED_VALUE"""),"SeniorSR")</f>
        <v>SeniorSR</v>
      </c>
      <c r="F339" t="str">
        <f ca="1">IFERROR(__xludf.DUMMYFUNCTION("""COMPUTED_VALUE"""),"")</f>
        <v/>
      </c>
      <c r="G339" t="str">
        <f ca="1">IFERROR(__xludf.DUMMYFUNCTION("""COMPUTED_VALUE"""),"")</f>
        <v/>
      </c>
    </row>
    <row r="340" spans="1:7" ht="13.2" x14ac:dyDescent="0.25">
      <c r="A340" s="1" t="s">
        <v>21</v>
      </c>
      <c r="B340" t="str">
        <f ca="1">IFERROR(__xludf.DUMMYFUNCTION("""COMPUTED_VALUE"""),"Azira, Micheal")</f>
        <v>Azira, Micheal</v>
      </c>
      <c r="C340">
        <f ca="1">IFERROR(__xludf.DUMMYFUNCTION("""COMPUTED_VALUE"""),32)</f>
        <v>32</v>
      </c>
      <c r="D340" t="str">
        <f ca="1">IFERROR(__xludf.DUMMYFUNCTION("""COMPUTED_VALUE"""),"M")</f>
        <v>M</v>
      </c>
      <c r="E340" t="str">
        <f ca="1">IFERROR(__xludf.DUMMYFUNCTION("""COMPUTED_VALUE"""),"SeniorSR")</f>
        <v>SeniorSR</v>
      </c>
      <c r="F340" t="str">
        <f ca="1">IFERROR(__xludf.DUMMYFUNCTION("""COMPUTED_VALUE"""),"")</f>
        <v/>
      </c>
      <c r="G340" t="str">
        <f ca="1">IFERROR(__xludf.DUMMYFUNCTION("""COMPUTED_VALUE"""),"")</f>
        <v/>
      </c>
    </row>
    <row r="341" spans="1:7" ht="13.2" x14ac:dyDescent="0.25">
      <c r="A341" s="1" t="s">
        <v>21</v>
      </c>
      <c r="B341" t="str">
        <f ca="1">IFERROR(__xludf.DUMMYFUNCTION("""COMPUTED_VALUE"""),"Beaulieu, Jason")</f>
        <v>Beaulieu, Jason</v>
      </c>
      <c r="C341">
        <f ca="1">IFERROR(__xludf.DUMMYFUNCTION("""COMPUTED_VALUE"""),40)</f>
        <v>40</v>
      </c>
      <c r="D341" t="str">
        <f ca="1">IFERROR(__xludf.DUMMYFUNCTION("""COMPUTED_VALUE"""),"GK")</f>
        <v>GK</v>
      </c>
      <c r="E341" t="str">
        <f ca="1">IFERROR(__xludf.DUMMYFUNCTION("""COMPUTED_VALUE"""),"ReserveRES")</f>
        <v>ReserveRES</v>
      </c>
      <c r="F341" t="str">
        <f ca="1">IFERROR(__xludf.DUMMYFUNCTION("""COMPUTED_VALUE"""),"")</f>
        <v/>
      </c>
      <c r="G341" t="str">
        <f ca="1">IFERROR(__xludf.DUMMYFUNCTION("""COMPUTED_VALUE"""),"")</f>
        <v/>
      </c>
    </row>
    <row r="342" spans="1:7" ht="13.2" x14ac:dyDescent="0.25">
      <c r="A342" s="1" t="s">
        <v>21</v>
      </c>
      <c r="B342" t="str">
        <f ca="1">IFERROR(__xludf.DUMMYFUNCTION("""COMPUTED_VALUE"""),"Beland-Goyette, Louis")</f>
        <v>Beland-Goyette, Louis</v>
      </c>
      <c r="C342">
        <f ca="1">IFERROR(__xludf.DUMMYFUNCTION("""COMPUTED_VALUE"""),25)</f>
        <v>25</v>
      </c>
      <c r="D342" t="str">
        <f ca="1">IFERROR(__xludf.DUMMYFUNCTION("""COMPUTED_VALUE"""),"M")</f>
        <v>M</v>
      </c>
      <c r="E342" t="str">
        <f ca="1">IFERROR(__xludf.DUMMYFUNCTION("""COMPUTED_VALUE"""),"ReserveRES")</f>
        <v>ReserveRES</v>
      </c>
      <c r="F342" t="str">
        <f ca="1">IFERROR(__xludf.DUMMYFUNCTION("""COMPUTED_VALUE"""),"HG")</f>
        <v>HG</v>
      </c>
      <c r="G342" t="str">
        <f ca="1">IFERROR(__xludf.DUMMYFUNCTION("""COMPUTED_VALUE"""),"")</f>
        <v/>
      </c>
    </row>
    <row r="343" spans="1:7" ht="13.2" x14ac:dyDescent="0.25">
      <c r="A343" s="1" t="s">
        <v>21</v>
      </c>
      <c r="B343" t="str">
        <f ca="1">IFERROR(__xludf.DUMMYFUNCTION("""COMPUTED_VALUE"""),"Bush, Evan")</f>
        <v>Bush, Evan</v>
      </c>
      <c r="C343">
        <f ca="1">IFERROR(__xludf.DUMMYFUNCTION("""COMPUTED_VALUE"""),1)</f>
        <v>1</v>
      </c>
      <c r="D343" t="str">
        <f ca="1">IFERROR(__xludf.DUMMYFUNCTION("""COMPUTED_VALUE"""),"GK")</f>
        <v>GK</v>
      </c>
      <c r="E343" t="str">
        <f ca="1">IFERROR(__xludf.DUMMYFUNCTION("""COMPUTED_VALUE"""),"SeniorSR")</f>
        <v>SeniorSR</v>
      </c>
      <c r="F343" t="str">
        <f ca="1">IFERROR(__xludf.DUMMYFUNCTION("""COMPUTED_VALUE"""),"")</f>
        <v/>
      </c>
      <c r="G343" t="str">
        <f ca="1">IFERROR(__xludf.DUMMYFUNCTION("""COMPUTED_VALUE"""),"")</f>
        <v/>
      </c>
    </row>
    <row r="344" spans="1:7" ht="13.2" x14ac:dyDescent="0.25">
      <c r="A344" s="1" t="s">
        <v>21</v>
      </c>
      <c r="B344" t="str">
        <f ca="1">IFERROR(__xludf.DUMMYFUNCTION("""COMPUTED_VALUE"""),"Cabrera, Victor")</f>
        <v>Cabrera, Victor</v>
      </c>
      <c r="C344">
        <f ca="1">IFERROR(__xludf.DUMMYFUNCTION("""COMPUTED_VALUE"""),2)</f>
        <v>2</v>
      </c>
      <c r="D344" t="str">
        <f ca="1">IFERROR(__xludf.DUMMYFUNCTION("""COMPUTED_VALUE"""),"D")</f>
        <v>D</v>
      </c>
      <c r="E344" t="str">
        <f ca="1">IFERROR(__xludf.DUMMYFUNCTION("""COMPUTED_VALUE"""),"SeniorSR")</f>
        <v>SeniorSR</v>
      </c>
      <c r="F344" t="str">
        <f ca="1">IFERROR(__xludf.DUMMYFUNCTION("""COMPUTED_VALUE"""),"INTL")</f>
        <v>INTL</v>
      </c>
      <c r="G344" t="str">
        <f ca="1">IFERROR(__xludf.DUMMYFUNCTION("""COMPUTED_VALUE"""),"")</f>
        <v/>
      </c>
    </row>
    <row r="345" spans="1:7" ht="13.2" x14ac:dyDescent="0.25">
      <c r="A345" s="1" t="s">
        <v>21</v>
      </c>
      <c r="B345" t="str">
        <f ca="1">IFERROR(__xludf.DUMMYFUNCTION("""COMPUTED_VALUE"""),"Camacho, Rudy")</f>
        <v>Camacho, Rudy</v>
      </c>
      <c r="C345">
        <f ca="1">IFERROR(__xludf.DUMMYFUNCTION("""COMPUTED_VALUE"""),4)</f>
        <v>4</v>
      </c>
      <c r="D345" t="str">
        <f ca="1">IFERROR(__xludf.DUMMYFUNCTION("""COMPUTED_VALUE"""),"D")</f>
        <v>D</v>
      </c>
      <c r="E345" t="str">
        <f ca="1">IFERROR(__xludf.DUMMYFUNCTION("""COMPUTED_VALUE"""),"SeniorSR")</f>
        <v>SeniorSR</v>
      </c>
      <c r="F345" t="str">
        <f ca="1">IFERROR(__xludf.DUMMYFUNCTION("""COMPUTED_VALUE"""),"INTL")</f>
        <v>INTL</v>
      </c>
      <c r="G345" t="str">
        <f ca="1">IFERROR(__xludf.DUMMYFUNCTION("""COMPUTED_VALUE"""),"")</f>
        <v/>
      </c>
    </row>
    <row r="346" spans="1:7" ht="13.2" x14ac:dyDescent="0.25">
      <c r="A346" s="1" t="s">
        <v>21</v>
      </c>
      <c r="B346" t="str">
        <f ca="1">IFERROR(__xludf.DUMMYFUNCTION("""COMPUTED_VALUE"""),"Choiniere, David")</f>
        <v>Choiniere, David</v>
      </c>
      <c r="C346">
        <f ca="1">IFERROR(__xludf.DUMMYFUNCTION("""COMPUTED_VALUE"""),17)</f>
        <v>17</v>
      </c>
      <c r="D346" t="str">
        <f ca="1">IFERROR(__xludf.DUMMYFUNCTION("""COMPUTED_VALUE"""),"M")</f>
        <v>M</v>
      </c>
      <c r="E346" t="str">
        <f ca="1">IFERROR(__xludf.DUMMYFUNCTION("""COMPUTED_VALUE"""),"SupplementalSUP")</f>
        <v>SupplementalSUP</v>
      </c>
      <c r="F346" t="str">
        <f ca="1">IFERROR(__xludf.DUMMYFUNCTION("""COMPUTED_VALUE"""),"HG")</f>
        <v>HG</v>
      </c>
      <c r="G346" t="str">
        <f ca="1">IFERROR(__xludf.DUMMYFUNCTION("""COMPUTED_VALUE"""),"")</f>
        <v/>
      </c>
    </row>
    <row r="347" spans="1:7" ht="13.2" x14ac:dyDescent="0.25">
      <c r="A347" s="1" t="s">
        <v>21</v>
      </c>
      <c r="B347" t="str">
        <f ca="1">IFERROR(__xludf.DUMMYFUNCTION("""COMPUTED_VALUE"""),"Choiniere, Mathieu")</f>
        <v>Choiniere, Mathieu</v>
      </c>
      <c r="C347" t="str">
        <f ca="1">IFERROR(__xludf.DUMMYFUNCTION("""COMPUTED_VALUE"""),"")</f>
        <v/>
      </c>
      <c r="D347" t="str">
        <f ca="1">IFERROR(__xludf.DUMMYFUNCTION("""COMPUTED_VALUE"""),"M")</f>
        <v>M</v>
      </c>
      <c r="E347" t="str">
        <f ca="1">IFERROR(__xludf.DUMMYFUNCTION("""COMPUTED_VALUE"""),"ReserveRES")</f>
        <v>ReserveRES</v>
      </c>
      <c r="F347" t="str">
        <f ca="1">IFERROR(__xludf.DUMMYFUNCTION("""COMPUTED_VALUE"""),"HG")</f>
        <v>HG</v>
      </c>
      <c r="G347" t="str">
        <f ca="1">IFERROR(__xludf.DUMMYFUNCTION("""COMPUTED_VALUE"""),"")</f>
        <v/>
      </c>
    </row>
    <row r="348" spans="1:7" ht="13.2" x14ac:dyDescent="0.25">
      <c r="A348" s="1" t="s">
        <v>21</v>
      </c>
      <c r="B348" t="str">
        <f ca="1">IFERROR(__xludf.DUMMYFUNCTION("""COMPUTED_VALUE"""),"Diallo, Zakaria")</f>
        <v>Diallo, Zakaria</v>
      </c>
      <c r="C348">
        <f ca="1">IFERROR(__xludf.DUMMYFUNCTION("""COMPUTED_VALUE"""),5)</f>
        <v>5</v>
      </c>
      <c r="D348" t="str">
        <f ca="1">IFERROR(__xludf.DUMMYFUNCTION("""COMPUTED_VALUE"""),"D")</f>
        <v>D</v>
      </c>
      <c r="E348" t="str">
        <f ca="1">IFERROR(__xludf.DUMMYFUNCTION("""COMPUTED_VALUE"""),"SeniorSR")</f>
        <v>SeniorSR</v>
      </c>
      <c r="F348" t="str">
        <f ca="1">IFERROR(__xludf.DUMMYFUNCTION("""COMPUTED_VALUE"""),"INTL")</f>
        <v>INTL</v>
      </c>
      <c r="G348" t="str">
        <f ca="1">IFERROR(__xludf.DUMMYFUNCTION("""COMPUTED_VALUE"""),"")</f>
        <v/>
      </c>
    </row>
    <row r="349" spans="1:7" ht="13.2" x14ac:dyDescent="0.25">
      <c r="A349" s="1" t="s">
        <v>21</v>
      </c>
      <c r="B349" t="str">
        <f ca="1">IFERROR(__xludf.DUMMYFUNCTION("""COMPUTED_VALUE"""),"Diop, Clement")</f>
        <v>Diop, Clement</v>
      </c>
      <c r="C349">
        <f ca="1">IFERROR(__xludf.DUMMYFUNCTION("""COMPUTED_VALUE"""),23)</f>
        <v>23</v>
      </c>
      <c r="D349" t="str">
        <f ca="1">IFERROR(__xludf.DUMMYFUNCTION("""COMPUTED_VALUE"""),"GK")</f>
        <v>GK</v>
      </c>
      <c r="E349" t="str">
        <f ca="1">IFERROR(__xludf.DUMMYFUNCTION("""COMPUTED_VALUE"""),"SeniorSR")</f>
        <v>SeniorSR</v>
      </c>
      <c r="F349" t="str">
        <f ca="1">IFERROR(__xludf.DUMMYFUNCTION("""COMPUTED_VALUE"""),"")</f>
        <v/>
      </c>
      <c r="G349" t="str">
        <f ca="1">IFERROR(__xludf.DUMMYFUNCTION("""COMPUTED_VALUE"""),"")</f>
        <v/>
      </c>
    </row>
    <row r="350" spans="1:7" ht="13.2" x14ac:dyDescent="0.25">
      <c r="A350" s="1" t="s">
        <v>21</v>
      </c>
      <c r="B350" t="str">
        <f ca="1">IFERROR(__xludf.DUMMYFUNCTION("""COMPUTED_VALUE"""),"Duvall, Chris")</f>
        <v>Duvall, Chris</v>
      </c>
      <c r="C350">
        <f ca="1">IFERROR(__xludf.DUMMYFUNCTION("""COMPUTED_VALUE"""),18)</f>
        <v>18</v>
      </c>
      <c r="D350" t="str">
        <f ca="1">IFERROR(__xludf.DUMMYFUNCTION("""COMPUTED_VALUE"""),"D")</f>
        <v>D</v>
      </c>
      <c r="E350" t="str">
        <f ca="1">IFERROR(__xludf.DUMMYFUNCTION("""COMPUTED_VALUE"""),"SeniorSR")</f>
        <v>SeniorSR</v>
      </c>
      <c r="F350" t="str">
        <f ca="1">IFERROR(__xludf.DUMMYFUNCTION("""COMPUTED_VALUE"""),"")</f>
        <v/>
      </c>
      <c r="G350" t="str">
        <f ca="1">IFERROR(__xludf.DUMMYFUNCTION("""COMPUTED_VALUE"""),"")</f>
        <v/>
      </c>
    </row>
    <row r="351" spans="1:7" ht="13.2" x14ac:dyDescent="0.25">
      <c r="A351" s="1" t="s">
        <v>21</v>
      </c>
      <c r="B351" t="str">
        <f ca="1">IFERROR(__xludf.DUMMYFUNCTION("""COMPUTED_VALUE"""),"Fanni, Rod")</f>
        <v>Fanni, Rod</v>
      </c>
      <c r="C351">
        <f ca="1">IFERROR(__xludf.DUMMYFUNCTION("""COMPUTED_VALUE"""),15)</f>
        <v>15</v>
      </c>
      <c r="D351" t="str">
        <f ca="1">IFERROR(__xludf.DUMMYFUNCTION("""COMPUTED_VALUE"""),"D")</f>
        <v>D</v>
      </c>
      <c r="E351" t="str">
        <f ca="1">IFERROR(__xludf.DUMMYFUNCTION("""COMPUTED_VALUE"""),"SeniorSR")</f>
        <v>SeniorSR</v>
      </c>
      <c r="F351" t="str">
        <f ca="1">IFERROR(__xludf.DUMMYFUNCTION("""COMPUTED_VALUE"""),"INTL")</f>
        <v>INTL</v>
      </c>
      <c r="G351" t="str">
        <f ca="1">IFERROR(__xludf.DUMMYFUNCTION("""COMPUTED_VALUE"""),"")</f>
        <v/>
      </c>
    </row>
    <row r="352" spans="1:7" ht="13.2" x14ac:dyDescent="0.25">
      <c r="A352" s="1" t="s">
        <v>21</v>
      </c>
      <c r="B352" t="str">
        <f ca="1">IFERROR(__xludf.DUMMYFUNCTION("""COMPUTED_VALUE"""),"Fisher, Kyle")</f>
        <v>Fisher, Kyle</v>
      </c>
      <c r="C352">
        <f ca="1">IFERROR(__xludf.DUMMYFUNCTION("""COMPUTED_VALUE"""),26)</f>
        <v>26</v>
      </c>
      <c r="D352" t="str">
        <f ca="1">IFERROR(__xludf.DUMMYFUNCTION("""COMPUTED_VALUE"""),"D")</f>
        <v>D</v>
      </c>
      <c r="E352" t="str">
        <f ca="1">IFERROR(__xludf.DUMMYFUNCTION("""COMPUTED_VALUE"""),"ReserveRES, Disabled ListDL")</f>
        <v>ReserveRES, Disabled ListDL</v>
      </c>
      <c r="F352" t="str">
        <f ca="1">IFERROR(__xludf.DUMMYFUNCTION("""COMPUTED_VALUE"""),"")</f>
        <v/>
      </c>
      <c r="G352" t="str">
        <f ca="1">IFERROR(__xludf.DUMMYFUNCTION("""COMPUTED_VALUE"""),"*Disabled ListDL*")</f>
        <v>*Disabled ListDL*</v>
      </c>
    </row>
    <row r="353" spans="1:7" ht="13.2" x14ac:dyDescent="0.25">
      <c r="A353" s="1" t="s">
        <v>21</v>
      </c>
      <c r="B353" t="str">
        <f ca="1">IFERROR(__xludf.DUMMYFUNCTION("""COMPUTED_VALUE"""),"Jackson-Hamel, Anthony")</f>
        <v>Jackson-Hamel, Anthony</v>
      </c>
      <c r="C353">
        <f ca="1">IFERROR(__xludf.DUMMYFUNCTION("""COMPUTED_VALUE"""),11)</f>
        <v>11</v>
      </c>
      <c r="D353" t="str">
        <f ca="1">IFERROR(__xludf.DUMMYFUNCTION("""COMPUTED_VALUE"""),"F")</f>
        <v>F</v>
      </c>
      <c r="E353" t="str">
        <f ca="1">IFERROR(__xludf.DUMMYFUNCTION("""COMPUTED_VALUE"""),"SeniorSR")</f>
        <v>SeniorSR</v>
      </c>
      <c r="F353" t="str">
        <f ca="1">IFERROR(__xludf.DUMMYFUNCTION("""COMPUTED_VALUE"""),"HG")</f>
        <v>HG</v>
      </c>
      <c r="G353" t="str">
        <f ca="1">IFERROR(__xludf.DUMMYFUNCTION("""COMPUTED_VALUE"""),"")</f>
        <v/>
      </c>
    </row>
    <row r="354" spans="1:7" ht="13.2" x14ac:dyDescent="0.25">
      <c r="A354" s="1" t="s">
        <v>21</v>
      </c>
      <c r="B354" t="str">
        <f ca="1">IFERROR(__xludf.DUMMYFUNCTION("""COMPUTED_VALUE"""),"Krolicki, Ken")</f>
        <v>Krolicki, Ken</v>
      </c>
      <c r="C354">
        <f ca="1">IFERROR(__xludf.DUMMYFUNCTION("""COMPUTED_VALUE"""),13)</f>
        <v>13</v>
      </c>
      <c r="D354" t="str">
        <f ca="1">IFERROR(__xludf.DUMMYFUNCTION("""COMPUTED_VALUE"""),"M")</f>
        <v>M</v>
      </c>
      <c r="E354" t="str">
        <f ca="1">IFERROR(__xludf.DUMMYFUNCTION("""COMPUTED_VALUE"""),"ReserveRES")</f>
        <v>ReserveRES</v>
      </c>
      <c r="F354" t="str">
        <f ca="1">IFERROR(__xludf.DUMMYFUNCTION("""COMPUTED_VALUE"""),"")</f>
        <v/>
      </c>
      <c r="G354" t="str">
        <f ca="1">IFERROR(__xludf.DUMMYFUNCTION("""COMPUTED_VALUE"""),"")</f>
        <v/>
      </c>
    </row>
    <row r="355" spans="1:7" ht="13.2" x14ac:dyDescent="0.25">
      <c r="A355" s="1" t="s">
        <v>21</v>
      </c>
      <c r="B355" t="str">
        <f ca="1">IFERROR(__xludf.DUMMYFUNCTION("""COMPUTED_VALUE"""),"Lovitz, Daniel")</f>
        <v>Lovitz, Daniel</v>
      </c>
      <c r="C355">
        <f ca="1">IFERROR(__xludf.DUMMYFUNCTION("""COMPUTED_VALUE"""),3)</f>
        <v>3</v>
      </c>
      <c r="D355" t="str">
        <f ca="1">IFERROR(__xludf.DUMMYFUNCTION("""COMPUTED_VALUE"""),"D")</f>
        <v>D</v>
      </c>
      <c r="E355" t="str">
        <f ca="1">IFERROR(__xludf.DUMMYFUNCTION("""COMPUTED_VALUE"""),"SeniorSR")</f>
        <v>SeniorSR</v>
      </c>
      <c r="F355" t="str">
        <f ca="1">IFERROR(__xludf.DUMMYFUNCTION("""COMPUTED_VALUE"""),"")</f>
        <v/>
      </c>
      <c r="G355" t="str">
        <f ca="1">IFERROR(__xludf.DUMMYFUNCTION("""COMPUTED_VALUE"""),"")</f>
        <v/>
      </c>
    </row>
    <row r="356" spans="1:7" ht="13.2" x14ac:dyDescent="0.25">
      <c r="A356" s="1" t="s">
        <v>21</v>
      </c>
      <c r="B356" t="str">
        <f ca="1">IFERROR(__xludf.DUMMYFUNCTION("""COMPUTED_VALUE"""),"Mancosu, Matteo")</f>
        <v>Mancosu, Matteo</v>
      </c>
      <c r="C356">
        <f ca="1">IFERROR(__xludf.DUMMYFUNCTION("""COMPUTED_VALUE"""),21)</f>
        <v>21</v>
      </c>
      <c r="D356" t="str">
        <f ca="1">IFERROR(__xludf.DUMMYFUNCTION("""COMPUTED_VALUE"""),"F")</f>
        <v>F</v>
      </c>
      <c r="E356" t="str">
        <f ca="1">IFERROR(__xludf.DUMMYFUNCTION("""COMPUTED_VALUE"""),"SeniorSR")</f>
        <v>SeniorSR</v>
      </c>
      <c r="F356" t="str">
        <f ca="1">IFERROR(__xludf.DUMMYFUNCTION("""COMPUTED_VALUE"""),"INTL")</f>
        <v>INTL</v>
      </c>
      <c r="G356" t="str">
        <f ca="1">IFERROR(__xludf.DUMMYFUNCTION("""COMPUTED_VALUE"""),"")</f>
        <v/>
      </c>
    </row>
    <row r="357" spans="1:7" ht="13.2" x14ac:dyDescent="0.25">
      <c r="A357" s="1" t="s">
        <v>21</v>
      </c>
      <c r="B357" t="str">
        <f ca="1">IFERROR(__xludf.DUMMYFUNCTION("""COMPUTED_VALUE"""),"Pantemis, James")</f>
        <v>Pantemis, James</v>
      </c>
      <c r="C357">
        <f ca="1">IFERROR(__xludf.DUMMYFUNCTION("""COMPUTED_VALUE"""),41)</f>
        <v>41</v>
      </c>
      <c r="D357" t="str">
        <f ca="1">IFERROR(__xludf.DUMMYFUNCTION("""COMPUTED_VALUE"""),"F")</f>
        <v>F</v>
      </c>
      <c r="E357" t="str">
        <f ca="1">IFERROR(__xludf.DUMMYFUNCTION("""COMPUTED_VALUE"""),"ReserveRES")</f>
        <v>ReserveRES</v>
      </c>
      <c r="F357" t="str">
        <f ca="1">IFERROR(__xludf.DUMMYFUNCTION("""COMPUTED_VALUE"""),"HG")</f>
        <v>HG</v>
      </c>
      <c r="G357" t="str">
        <f ca="1">IFERROR(__xludf.DUMMYFUNCTION("""COMPUTED_VALUE"""),"")</f>
        <v/>
      </c>
    </row>
    <row r="358" spans="1:7" ht="13.2" x14ac:dyDescent="0.25">
      <c r="A358" s="1" t="s">
        <v>21</v>
      </c>
      <c r="B358" t="str">
        <f ca="1">IFERROR(__xludf.DUMMYFUNCTION("""COMPUTED_VALUE"""),"Petrasso, Michael")</f>
        <v>Petrasso, Michael</v>
      </c>
      <c r="C358">
        <f ca="1">IFERROR(__xludf.DUMMYFUNCTION("""COMPUTED_VALUE"""),24)</f>
        <v>24</v>
      </c>
      <c r="D358" t="str">
        <f ca="1">IFERROR(__xludf.DUMMYFUNCTION("""COMPUTED_VALUE"""),"D")</f>
        <v>D</v>
      </c>
      <c r="E358" t="str">
        <f ca="1">IFERROR(__xludf.DUMMYFUNCTION("""COMPUTED_VALUE"""),"SeniorSR")</f>
        <v>SeniorSR</v>
      </c>
      <c r="F358" t="str">
        <f ca="1">IFERROR(__xludf.DUMMYFUNCTION("""COMPUTED_VALUE"""),"")</f>
        <v/>
      </c>
      <c r="G358" t="str">
        <f ca="1">IFERROR(__xludf.DUMMYFUNCTION("""COMPUTED_VALUE"""),"")</f>
        <v/>
      </c>
    </row>
    <row r="359" spans="1:7" ht="13.2" x14ac:dyDescent="0.25">
      <c r="A359" s="1" t="s">
        <v>21</v>
      </c>
      <c r="B359" t="str">
        <f ca="1">IFERROR(__xludf.DUMMYFUNCTION("""COMPUTED_VALUE"""),"Piatti, Ignacio")</f>
        <v>Piatti, Ignacio</v>
      </c>
      <c r="C359">
        <f ca="1">IFERROR(__xludf.DUMMYFUNCTION("""COMPUTED_VALUE"""),10)</f>
        <v>10</v>
      </c>
      <c r="D359" t="str">
        <f ca="1">IFERROR(__xludf.DUMMYFUNCTION("""COMPUTED_VALUE"""),"M")</f>
        <v>M</v>
      </c>
      <c r="E359" t="str">
        <f ca="1">IFERROR(__xludf.DUMMYFUNCTION("""COMPUTED_VALUE"""),"SeniorSR")</f>
        <v>SeniorSR</v>
      </c>
      <c r="F359" t="str">
        <f ca="1">IFERROR(__xludf.DUMMYFUNCTION("""COMPUTED_VALUE"""),"DP, INTL")</f>
        <v>DP, INTL</v>
      </c>
      <c r="G359" t="str">
        <f ca="1">IFERROR(__xludf.DUMMYFUNCTION("""COMPUTED_VALUE"""),"")</f>
        <v/>
      </c>
    </row>
    <row r="360" spans="1:7" ht="13.2" x14ac:dyDescent="0.25">
      <c r="A360" s="1" t="s">
        <v>21</v>
      </c>
      <c r="B360" t="str">
        <f ca="1">IFERROR(__xludf.DUMMYFUNCTION("""COMPUTED_VALUE"""),"Piette, Samuel")</f>
        <v>Piette, Samuel</v>
      </c>
      <c r="C360">
        <f ca="1">IFERROR(__xludf.DUMMYFUNCTION("""COMPUTED_VALUE"""),6)</f>
        <v>6</v>
      </c>
      <c r="D360" t="str">
        <f ca="1">IFERROR(__xludf.DUMMYFUNCTION("""COMPUTED_VALUE"""),"M")</f>
        <v>M</v>
      </c>
      <c r="E360" t="str">
        <f ca="1">IFERROR(__xludf.DUMMYFUNCTION("""COMPUTED_VALUE"""),"SeniorSR")</f>
        <v>SeniorSR</v>
      </c>
      <c r="F360" t="str">
        <f ca="1">IFERROR(__xludf.DUMMYFUNCTION("""COMPUTED_VALUE"""),"")</f>
        <v/>
      </c>
      <c r="G360" t="str">
        <f ca="1">IFERROR(__xludf.DUMMYFUNCTION("""COMPUTED_VALUE"""),"")</f>
        <v/>
      </c>
    </row>
    <row r="361" spans="1:7" ht="13.2" x14ac:dyDescent="0.25">
      <c r="A361" s="1" t="s">
        <v>21</v>
      </c>
      <c r="B361" t="str">
        <f ca="1">IFERROR(__xludf.DUMMYFUNCTION("""COMPUTED_VALUE"""),"Raitala, Jukka")</f>
        <v>Raitala, Jukka</v>
      </c>
      <c r="C361">
        <f ca="1">IFERROR(__xludf.DUMMYFUNCTION("""COMPUTED_VALUE"""),22)</f>
        <v>22</v>
      </c>
      <c r="D361" t="str">
        <f ca="1">IFERROR(__xludf.DUMMYFUNCTION("""COMPUTED_VALUE"""),"D")</f>
        <v>D</v>
      </c>
      <c r="E361" t="str">
        <f ca="1">IFERROR(__xludf.DUMMYFUNCTION("""COMPUTED_VALUE"""),"SeniorSR")</f>
        <v>SeniorSR</v>
      </c>
      <c r="F361" t="str">
        <f ca="1">IFERROR(__xludf.DUMMYFUNCTION("""COMPUTED_VALUE"""),"INTL")</f>
        <v>INTL</v>
      </c>
      <c r="G361" t="str">
        <f ca="1">IFERROR(__xludf.DUMMYFUNCTION("""COMPUTED_VALUE"""),"")</f>
        <v/>
      </c>
    </row>
    <row r="362" spans="1:7" ht="13.2" x14ac:dyDescent="0.25">
      <c r="A362" s="1" t="s">
        <v>21</v>
      </c>
      <c r="B362" t="str">
        <f ca="1">IFERROR(__xludf.DUMMYFUNCTION("""COMPUTED_VALUE"""),"Sagna, Bacary")</f>
        <v>Sagna, Bacary</v>
      </c>
      <c r="C362">
        <f ca="1">IFERROR(__xludf.DUMMYFUNCTION("""COMPUTED_VALUE"""),33)</f>
        <v>33</v>
      </c>
      <c r="D362" t="str">
        <f ca="1">IFERROR(__xludf.DUMMYFUNCTION("""COMPUTED_VALUE"""),"D")</f>
        <v>D</v>
      </c>
      <c r="E362" t="str">
        <f ca="1">IFERROR(__xludf.DUMMYFUNCTION("""COMPUTED_VALUE"""),"SeniorSR")</f>
        <v>SeniorSR</v>
      </c>
      <c r="F362" t="str">
        <f ca="1">IFERROR(__xludf.DUMMYFUNCTION("""COMPUTED_VALUE"""),"INTL")</f>
        <v>INTL</v>
      </c>
      <c r="G362" t="str">
        <f ca="1">IFERROR(__xludf.DUMMYFUNCTION("""COMPUTED_VALUE"""),"")</f>
        <v/>
      </c>
    </row>
    <row r="363" spans="1:7" ht="13.2" x14ac:dyDescent="0.25">
      <c r="A363" s="1" t="s">
        <v>21</v>
      </c>
      <c r="B363" t="str">
        <f ca="1">IFERROR(__xludf.DUMMYFUNCTION("""COMPUTED_VALUE"""),"Salazar, Michael")</f>
        <v>Salazar, Michael</v>
      </c>
      <c r="C363">
        <f ca="1">IFERROR(__xludf.DUMMYFUNCTION("""COMPUTED_VALUE"""),19)</f>
        <v>19</v>
      </c>
      <c r="D363" t="str">
        <f ca="1">IFERROR(__xludf.DUMMYFUNCTION("""COMPUTED_VALUE"""),"F")</f>
        <v>F</v>
      </c>
      <c r="E363" t="str">
        <f ca="1">IFERROR(__xludf.DUMMYFUNCTION("""COMPUTED_VALUE"""),"SupplementalSUP")</f>
        <v>SupplementalSUP</v>
      </c>
      <c r="F363" t="str">
        <f ca="1">IFERROR(__xludf.DUMMYFUNCTION("""COMPUTED_VALUE"""),"")</f>
        <v/>
      </c>
      <c r="G363" t="str">
        <f ca="1">IFERROR(__xludf.DUMMYFUNCTION("""COMPUTED_VALUE"""),"")</f>
        <v/>
      </c>
    </row>
    <row r="364" spans="1:7" ht="13.2" x14ac:dyDescent="0.25">
      <c r="A364" s="1" t="s">
        <v>21</v>
      </c>
      <c r="B364" t="str">
        <f ca="1">IFERROR(__xludf.DUMMYFUNCTION("""COMPUTED_VALUE"""),"Shome, Shamit")</f>
        <v>Shome, Shamit</v>
      </c>
      <c r="C364">
        <f ca="1">IFERROR(__xludf.DUMMYFUNCTION("""COMPUTED_VALUE"""),28)</f>
        <v>28</v>
      </c>
      <c r="D364" t="str">
        <f ca="1">IFERROR(__xludf.DUMMYFUNCTION("""COMPUTED_VALUE"""),"M")</f>
        <v>M</v>
      </c>
      <c r="E364" t="str">
        <f ca="1">IFERROR(__xludf.DUMMYFUNCTION("""COMPUTED_VALUE"""),"SupplementalSUP")</f>
        <v>SupplementalSUP</v>
      </c>
      <c r="F364" t="str">
        <f ca="1">IFERROR(__xludf.DUMMYFUNCTION("""COMPUTED_VALUE"""),"GA-C")</f>
        <v>GA-C</v>
      </c>
      <c r="G364" t="str">
        <f ca="1">IFERROR(__xludf.DUMMYFUNCTION("""COMPUTED_VALUE"""),"")</f>
        <v/>
      </c>
    </row>
    <row r="365" spans="1:7" ht="13.2" x14ac:dyDescent="0.25">
      <c r="A365" s="1" t="s">
        <v>21</v>
      </c>
      <c r="B365" t="str">
        <f ca="1">IFERROR(__xludf.DUMMYFUNCTION("""COMPUTED_VALUE"""),"Silva, Alejandro")</f>
        <v>Silva, Alejandro</v>
      </c>
      <c r="C365">
        <f ca="1">IFERROR(__xludf.DUMMYFUNCTION("""COMPUTED_VALUE"""),9)</f>
        <v>9</v>
      </c>
      <c r="D365" t="str">
        <f ca="1">IFERROR(__xludf.DUMMYFUNCTION("""COMPUTED_VALUE"""),"F")</f>
        <v>F</v>
      </c>
      <c r="E365" t="str">
        <f ca="1">IFERROR(__xludf.DUMMYFUNCTION("""COMPUTED_VALUE"""),"SeniorSR")</f>
        <v>SeniorSR</v>
      </c>
      <c r="F365" t="str">
        <f ca="1">IFERROR(__xludf.DUMMYFUNCTION("""COMPUTED_VALUE"""),"INTL")</f>
        <v>INTL</v>
      </c>
      <c r="G365" t="str">
        <f ca="1">IFERROR(__xludf.DUMMYFUNCTION("""COMPUTED_VALUE"""),"")</f>
        <v/>
      </c>
    </row>
    <row r="366" spans="1:7" ht="13.2" x14ac:dyDescent="0.25">
      <c r="A366" s="1" t="s">
        <v>21</v>
      </c>
      <c r="B366" t="str">
        <f ca="1">IFERROR(__xludf.DUMMYFUNCTION("""COMPUTED_VALUE"""),"Taider, Saphir")</f>
        <v>Taider, Saphir</v>
      </c>
      <c r="C366">
        <f ca="1">IFERROR(__xludf.DUMMYFUNCTION("""COMPUTED_VALUE"""),8)</f>
        <v>8</v>
      </c>
      <c r="D366" t="str">
        <f ca="1">IFERROR(__xludf.DUMMYFUNCTION("""COMPUTED_VALUE"""),"M")</f>
        <v>M</v>
      </c>
      <c r="E366" t="str">
        <f ca="1">IFERROR(__xludf.DUMMYFUNCTION("""COMPUTED_VALUE"""),"SeniorSR")</f>
        <v>SeniorSR</v>
      </c>
      <c r="F366" t="str">
        <f ca="1">IFERROR(__xludf.DUMMYFUNCTION("""COMPUTED_VALUE"""),"DP, INTL")</f>
        <v>DP, INTL</v>
      </c>
      <c r="G366" t="str">
        <f ca="1">IFERROR(__xludf.DUMMYFUNCTION("""COMPUTED_VALUE"""),"")</f>
        <v/>
      </c>
    </row>
    <row r="367" spans="1:7" ht="13.2" x14ac:dyDescent="0.25">
      <c r="A367" s="1" t="s">
        <v>21</v>
      </c>
      <c r="B367" t="str">
        <f ca="1">IFERROR(__xludf.DUMMYFUNCTION("""COMPUTED_VALUE"""),"Vargas, Jeisson")</f>
        <v>Vargas, Jeisson</v>
      </c>
      <c r="C367">
        <f ca="1">IFERROR(__xludf.DUMMYFUNCTION("""COMPUTED_VALUE"""),16)</f>
        <v>16</v>
      </c>
      <c r="D367" t="str">
        <f ca="1">IFERROR(__xludf.DUMMYFUNCTION("""COMPUTED_VALUE"""),"M")</f>
        <v>M</v>
      </c>
      <c r="E367" t="str">
        <f ca="1">IFERROR(__xludf.DUMMYFUNCTION("""COMPUTED_VALUE"""),"SeniorSR")</f>
        <v>SeniorSR</v>
      </c>
      <c r="F367" t="str">
        <f ca="1">IFERROR(__xludf.DUMMYFUNCTION("""COMPUTED_VALUE"""),"INTL")</f>
        <v>INTL</v>
      </c>
      <c r="G367" t="str">
        <f ca="1">IFERROR(__xludf.DUMMYFUNCTION("""COMPUTED_VALUE"""),"")</f>
        <v/>
      </c>
    </row>
    <row r="368" spans="1:7" ht="13.2" x14ac:dyDescent="0.25">
      <c r="A368" s="1" t="s">
        <v>21</v>
      </c>
      <c r="B368" t="str">
        <f ca="1">IFERROR(__xludf.DUMMYFUNCTION("""COMPUTED_VALUE"""),"")</f>
        <v/>
      </c>
      <c r="C368" t="str">
        <f ca="1">IFERROR(__xludf.DUMMYFUNCTION("""COMPUTED_VALUE"""),"")</f>
        <v/>
      </c>
      <c r="D368" t="str">
        <f ca="1">IFERROR(__xludf.DUMMYFUNCTION("""COMPUTED_VALUE"""),"")</f>
        <v/>
      </c>
      <c r="E368" t="str">
        <f ca="1">IFERROR(__xludf.DUMMYFUNCTION("""COMPUTED_VALUE"""),"")</f>
        <v/>
      </c>
      <c r="F368" t="str">
        <f ca="1">IFERROR(__xludf.DUMMYFUNCTION("""COMPUTED_VALUE"""),"")</f>
        <v/>
      </c>
      <c r="G368" t="str">
        <f ca="1">IFERROR(__xludf.DUMMYFUNCTION("""COMPUTED_VALUE"""),"")</f>
        <v/>
      </c>
    </row>
    <row r="369" spans="1:7" ht="13.2" x14ac:dyDescent="0.25">
      <c r="A369" s="1" t="s">
        <v>21</v>
      </c>
      <c r="B369" t="str">
        <f ca="1">IFERROR(__xludf.DUMMYFUNCTION("""COMPUTED_VALUE"""),"29 of 30 spots filled")</f>
        <v>29 of 30 spots filled</v>
      </c>
      <c r="C369" t="str">
        <f ca="1">IFERROR(__xludf.DUMMYFUNCTION("""COMPUTED_VALUE"""),"")</f>
        <v/>
      </c>
      <c r="D369" t="str">
        <f ca="1">IFERROR(__xludf.DUMMYFUNCTION("""COMPUTED_VALUE"""),"")</f>
        <v/>
      </c>
      <c r="E369" t="str">
        <f ca="1">IFERROR(__xludf.DUMMYFUNCTION("""COMPUTED_VALUE"""),"")</f>
        <v/>
      </c>
      <c r="F369" t="str">
        <f ca="1">IFERROR(__xludf.DUMMYFUNCTION("""COMPUTED_VALUE"""),"")</f>
        <v/>
      </c>
      <c r="G369" t="str">
        <f ca="1">IFERROR(__xludf.DUMMYFUNCTION("""COMPUTED_VALUE"""),"")</f>
        <v/>
      </c>
    </row>
    <row r="370" spans="1:7" ht="13.2" x14ac:dyDescent="0.25">
      <c r="A370" s="1" t="s">
        <v>21</v>
      </c>
      <c r="B370" t="str">
        <f ca="1">IFERROR(__xludf.DUMMYFUNCTION("""COMPUTED_VALUE"""),"*Players that do not count against the 30-man active roster*")</f>
        <v>*Players that do not count against the 30-man active roster*</v>
      </c>
      <c r="C370" t="str">
        <f ca="1">IFERROR(__xludf.DUMMYFUNCTION("""COMPUTED_VALUE"""),"")</f>
        <v/>
      </c>
      <c r="D370" t="str">
        <f ca="1">IFERROR(__xludf.DUMMYFUNCTION("""COMPUTED_VALUE"""),"")</f>
        <v/>
      </c>
      <c r="E370" t="str">
        <f ca="1">IFERROR(__xludf.DUMMYFUNCTION("""COMPUTED_VALUE"""),"")</f>
        <v/>
      </c>
      <c r="F370" t="str">
        <f ca="1">IFERROR(__xludf.DUMMYFUNCTION("""COMPUTED_VALUE"""),"")</f>
        <v/>
      </c>
      <c r="G370" t="str">
        <f ca="1">IFERROR(__xludf.DUMMYFUNCTION("""COMPUTED_VALUE"""),"")</f>
        <v/>
      </c>
    </row>
    <row r="371" spans="1:7" ht="13.2" x14ac:dyDescent="0.25">
      <c r="A371" s="1" t="s">
        <v>21</v>
      </c>
      <c r="B371" t="str">
        <f ca="1">IFERROR(__xludf.DUMMYFUNCTION("""COMPUTED_VALUE"""),"Crepeau, Maxime")</f>
        <v>Crepeau, Maxime</v>
      </c>
      <c r="C371" t="str">
        <f ca="1">IFERROR(__xludf.DUMMYFUNCTION("""COMPUTED_VALUE"""),"")</f>
        <v/>
      </c>
      <c r="D371" t="str">
        <f ca="1">IFERROR(__xludf.DUMMYFUNCTION("""COMPUTED_VALUE"""),"")</f>
        <v/>
      </c>
      <c r="E371" t="str">
        <f ca="1">IFERROR(__xludf.DUMMYFUNCTION("""COMPUTED_VALUE"""),"On loanOL")</f>
        <v>On loanOL</v>
      </c>
      <c r="F371" t="str">
        <f ca="1">IFERROR(__xludf.DUMMYFUNCTION("""COMPUTED_VALUE"""),"*Loaned to: USLOL: USL*")</f>
        <v>*Loaned to: USLOL: USL*</v>
      </c>
      <c r="G371" t="str">
        <f ca="1">IFERROR(__xludf.DUMMYFUNCTION("""COMPUTED_VALUE"""),"")</f>
        <v/>
      </c>
    </row>
    <row r="372" spans="1:7" ht="13.2" x14ac:dyDescent="0.25">
      <c r="A372" s="1" t="s">
        <v>21</v>
      </c>
      <c r="B372" t="str">
        <f ca="1">IFERROR(__xludf.DUMMYFUNCTION("""COMPUTED_VALUE"""),"Meilleur-Giguere, Thomas")</f>
        <v>Meilleur-Giguere, Thomas</v>
      </c>
      <c r="C372" t="str">
        <f ca="1">IFERROR(__xludf.DUMMYFUNCTION("""COMPUTED_VALUE"""),"")</f>
        <v/>
      </c>
      <c r="D372" t="str">
        <f ca="1">IFERROR(__xludf.DUMMYFUNCTION("""COMPUTED_VALUE"""),"")</f>
        <v/>
      </c>
      <c r="E372" t="str">
        <f ca="1">IFERROR(__xludf.DUMMYFUNCTION("""COMPUTED_VALUE"""),"On loanOL")</f>
        <v>On loanOL</v>
      </c>
      <c r="F372" t="str">
        <f ca="1">IFERROR(__xludf.DUMMYFUNCTION("""COMPUTED_VALUE"""),"*Loaned to: USLOL: USL*")</f>
        <v>*Loaned to: USLOL: USL*</v>
      </c>
      <c r="G372" t="str">
        <f ca="1">IFERROR(__xludf.DUMMYFUNCTION("""COMPUTED_VALUE"""),"")</f>
        <v/>
      </c>
    </row>
    <row r="374" spans="1:7" ht="13.2" x14ac:dyDescent="0.25">
      <c r="B374" t="str">
        <f ca="1">IFERROR(__xludf.DUMMYFUNCTION("IMPORTHTML(""http://www.mlssoccer.com/rosters/2018/new-england-revolution"", ""table"", 1)"),"30-man Active Roster (Spots 1-30)")</f>
        <v>30-man Active Roster (Spots 1-30)</v>
      </c>
      <c r="C374" t="str">
        <f ca="1">IFERROR(__xludf.DUMMYFUNCTION("""COMPUTED_VALUE"""),"#")</f>
        <v>#</v>
      </c>
      <c r="D374" t="str">
        <f ca="1">IFERROR(__xludf.DUMMYFUNCTION("""COMPUTED_VALUE"""),"POS")</f>
        <v>POS</v>
      </c>
      <c r="E374" t="str">
        <f ca="1">IFERROR(__xludf.DUMMYFUNCTION("""COMPUTED_VALUE"""),"ROSTER STATUSR.S.")</f>
        <v>ROSTER STATUSR.S.</v>
      </c>
      <c r="F374" t="str">
        <f ca="1">IFERROR(__xludf.DUMMYFUNCTION("""COMPUTED_VALUE"""),"PLAYER CATEGORYCAT.")</f>
        <v>PLAYER CATEGORYCAT.</v>
      </c>
      <c r="G374" t="str">
        <f ca="1">IFERROR(__xludf.DUMMYFUNCTION("""COMPUTED_VALUE"""),"*NOTE*")</f>
        <v>*NOTE*</v>
      </c>
    </row>
    <row r="375" spans="1:7" ht="13.2" x14ac:dyDescent="0.25">
      <c r="A375" s="1" t="s">
        <v>22</v>
      </c>
      <c r="B375" t="str">
        <f ca="1">IFERROR(__xludf.DUMMYFUNCTION("""COMPUTED_VALUE"""),"Agudelo, Juan")</f>
        <v>Agudelo, Juan</v>
      </c>
      <c r="C375">
        <f ca="1">IFERROR(__xludf.DUMMYFUNCTION("""COMPUTED_VALUE"""),17)</f>
        <v>17</v>
      </c>
      <c r="D375" t="str">
        <f ca="1">IFERROR(__xludf.DUMMYFUNCTION("""COMPUTED_VALUE"""),"F")</f>
        <v>F</v>
      </c>
      <c r="E375" t="str">
        <f ca="1">IFERROR(__xludf.DUMMYFUNCTION("""COMPUTED_VALUE"""),"SeniorSR")</f>
        <v>SeniorSR</v>
      </c>
      <c r="F375" t="str">
        <f ca="1">IFERROR(__xludf.DUMMYFUNCTION("""COMPUTED_VALUE"""),"")</f>
        <v/>
      </c>
      <c r="G375" t="str">
        <f ca="1">IFERROR(__xludf.DUMMYFUNCTION("""COMPUTED_VALUE"""),"")</f>
        <v/>
      </c>
    </row>
    <row r="376" spans="1:7" ht="13.2" x14ac:dyDescent="0.25">
      <c r="A376" s="1" t="s">
        <v>22</v>
      </c>
      <c r="B376" t="str">
        <f ca="1">IFERROR(__xludf.DUMMYFUNCTION("""COMPUTED_VALUE"""),"Angking, Isaac")</f>
        <v>Angking, Isaac</v>
      </c>
      <c r="C376">
        <f ca="1">IFERROR(__xludf.DUMMYFUNCTION("""COMPUTED_VALUE"""),5)</f>
        <v>5</v>
      </c>
      <c r="D376" t="str">
        <f ca="1">IFERROR(__xludf.DUMMYFUNCTION("""COMPUTED_VALUE"""),"M")</f>
        <v>M</v>
      </c>
      <c r="E376" t="str">
        <f ca="1">IFERROR(__xludf.DUMMYFUNCTION("""COMPUTED_VALUE"""),"SupplementalSUP")</f>
        <v>SupplementalSUP</v>
      </c>
      <c r="F376" t="str">
        <f ca="1">IFERROR(__xludf.DUMMYFUNCTION("""COMPUTED_VALUE"""),"HG")</f>
        <v>HG</v>
      </c>
      <c r="G376" t="str">
        <f ca="1">IFERROR(__xludf.DUMMYFUNCTION("""COMPUTED_VALUE"""),"")</f>
        <v/>
      </c>
    </row>
    <row r="377" spans="1:7" ht="13.2" x14ac:dyDescent="0.25">
      <c r="A377" s="1" t="s">
        <v>22</v>
      </c>
      <c r="B377" t="str">
        <f ca="1">IFERROR(__xludf.DUMMYFUNCTION("""COMPUTED_VALUE"""),"Anibaba, Jalil")</f>
        <v>Anibaba, Jalil</v>
      </c>
      <c r="C377">
        <f ca="1">IFERROR(__xludf.DUMMYFUNCTION("""COMPUTED_VALUE"""),3)</f>
        <v>3</v>
      </c>
      <c r="D377" t="str">
        <f ca="1">IFERROR(__xludf.DUMMYFUNCTION("""COMPUTED_VALUE"""),"D")</f>
        <v>D</v>
      </c>
      <c r="E377" t="str">
        <f ca="1">IFERROR(__xludf.DUMMYFUNCTION("""COMPUTED_VALUE"""),"SeniorSR")</f>
        <v>SeniorSR</v>
      </c>
      <c r="F377" t="str">
        <f ca="1">IFERROR(__xludf.DUMMYFUNCTION("""COMPUTED_VALUE"""),"")</f>
        <v/>
      </c>
      <c r="G377" t="str">
        <f ca="1">IFERROR(__xludf.DUMMYFUNCTION("""COMPUTED_VALUE"""),"")</f>
        <v/>
      </c>
    </row>
    <row r="378" spans="1:7" ht="13.2" x14ac:dyDescent="0.25">
      <c r="A378" s="1" t="s">
        <v>22</v>
      </c>
      <c r="B378" t="str">
        <f ca="1">IFERROR(__xludf.DUMMYFUNCTION("""COMPUTED_VALUE"""),"Bunbury, Teal")</f>
        <v>Bunbury, Teal</v>
      </c>
      <c r="C378">
        <f ca="1">IFERROR(__xludf.DUMMYFUNCTION("""COMPUTED_VALUE"""),10)</f>
        <v>10</v>
      </c>
      <c r="D378" t="str">
        <f ca="1">IFERROR(__xludf.DUMMYFUNCTION("""COMPUTED_VALUE"""),"F")</f>
        <v>F</v>
      </c>
      <c r="E378" t="str">
        <f ca="1">IFERROR(__xludf.DUMMYFUNCTION("""COMPUTED_VALUE"""),"SeniorSR")</f>
        <v>SeniorSR</v>
      </c>
      <c r="F378" t="str">
        <f ca="1">IFERROR(__xludf.DUMMYFUNCTION("""COMPUTED_VALUE"""),"")</f>
        <v/>
      </c>
      <c r="G378" t="str">
        <f ca="1">IFERROR(__xludf.DUMMYFUNCTION("""COMPUTED_VALUE"""),"")</f>
        <v/>
      </c>
    </row>
    <row r="379" spans="1:7" ht="13.2" x14ac:dyDescent="0.25">
      <c r="A379" s="1" t="s">
        <v>22</v>
      </c>
      <c r="B379" t="str">
        <f ca="1">IFERROR(__xludf.DUMMYFUNCTION("""COMPUTED_VALUE"""),"Bye, Brandon")</f>
        <v>Bye, Brandon</v>
      </c>
      <c r="C379">
        <f ca="1">IFERROR(__xludf.DUMMYFUNCTION("""COMPUTED_VALUE"""),15)</f>
        <v>15</v>
      </c>
      <c r="D379" t="str">
        <f ca="1">IFERROR(__xludf.DUMMYFUNCTION("""COMPUTED_VALUE"""),"M/D")</f>
        <v>M/D</v>
      </c>
      <c r="E379" t="str">
        <f ca="1">IFERROR(__xludf.DUMMYFUNCTION("""COMPUTED_VALUE"""),"ReserveRES")</f>
        <v>ReserveRES</v>
      </c>
      <c r="F379" t="str">
        <f ca="1">IFERROR(__xludf.DUMMYFUNCTION("""COMPUTED_VALUE"""),"")</f>
        <v/>
      </c>
      <c r="G379" t="str">
        <f ca="1">IFERROR(__xludf.DUMMYFUNCTION("""COMPUTED_VALUE"""),"")</f>
        <v/>
      </c>
    </row>
    <row r="380" spans="1:7" ht="13.2" x14ac:dyDescent="0.25">
      <c r="A380" s="1" t="s">
        <v>22</v>
      </c>
      <c r="B380" t="str">
        <f ca="1">IFERROR(__xludf.DUMMYFUNCTION("""COMPUTED_VALUE"""),"Caicedo, Luis")</f>
        <v>Caicedo, Luis</v>
      </c>
      <c r="C380">
        <f ca="1">IFERROR(__xludf.DUMMYFUNCTION("""COMPUTED_VALUE"""),27)</f>
        <v>27</v>
      </c>
      <c r="D380" t="str">
        <f ca="1">IFERROR(__xludf.DUMMYFUNCTION("""COMPUTED_VALUE"""),"M")</f>
        <v>M</v>
      </c>
      <c r="E380" t="str">
        <f ca="1">IFERROR(__xludf.DUMMYFUNCTION("""COMPUTED_VALUE"""),"SeniorSR")</f>
        <v>SeniorSR</v>
      </c>
      <c r="F380" t="str">
        <f ca="1">IFERROR(__xludf.DUMMYFUNCTION("""COMPUTED_VALUE"""),"INTL")</f>
        <v>INTL</v>
      </c>
      <c r="G380" t="str">
        <f ca="1">IFERROR(__xludf.DUMMYFUNCTION("""COMPUTED_VALUE"""),"")</f>
        <v/>
      </c>
    </row>
    <row r="381" spans="1:7" ht="13.2" x14ac:dyDescent="0.25">
      <c r="A381" s="1" t="s">
        <v>22</v>
      </c>
      <c r="B381" t="str">
        <f ca="1">IFERROR(__xludf.DUMMYFUNCTION("""COMPUTED_VALUE"""),"Caldwell, Scott")</f>
        <v>Caldwell, Scott</v>
      </c>
      <c r="C381">
        <f ca="1">IFERROR(__xludf.DUMMYFUNCTION("""COMPUTED_VALUE"""),6)</f>
        <v>6</v>
      </c>
      <c r="D381" t="str">
        <f ca="1">IFERROR(__xludf.DUMMYFUNCTION("""COMPUTED_VALUE"""),"M")</f>
        <v>M</v>
      </c>
      <c r="E381" t="str">
        <f ca="1">IFERROR(__xludf.DUMMYFUNCTION("""COMPUTED_VALUE"""),"SupplementalSUP")</f>
        <v>SupplementalSUP</v>
      </c>
      <c r="F381" t="str">
        <f ca="1">IFERROR(__xludf.DUMMYFUNCTION("""COMPUTED_VALUE"""),"HG")</f>
        <v>HG</v>
      </c>
      <c r="G381" t="str">
        <f ca="1">IFERROR(__xludf.DUMMYFUNCTION("""COMPUTED_VALUE"""),"")</f>
        <v/>
      </c>
    </row>
    <row r="382" spans="1:7" ht="13.2" x14ac:dyDescent="0.25">
      <c r="A382" s="1" t="s">
        <v>22</v>
      </c>
      <c r="B382" t="str">
        <f ca="1">IFERROR(__xludf.DUMMYFUNCTION("""COMPUTED_VALUE"""),"Cropper, Cody")</f>
        <v>Cropper, Cody</v>
      </c>
      <c r="C382">
        <f ca="1">IFERROR(__xludf.DUMMYFUNCTION("""COMPUTED_VALUE"""),1)</f>
        <v>1</v>
      </c>
      <c r="D382" t="str">
        <f ca="1">IFERROR(__xludf.DUMMYFUNCTION("""COMPUTED_VALUE"""),"GK")</f>
        <v>GK</v>
      </c>
      <c r="E382" t="str">
        <f ca="1">IFERROR(__xludf.DUMMYFUNCTION("""COMPUTED_VALUE"""),"SeniorSR")</f>
        <v>SeniorSR</v>
      </c>
      <c r="F382" t="str">
        <f ca="1">IFERROR(__xludf.DUMMYFUNCTION("""COMPUTED_VALUE"""),"")</f>
        <v/>
      </c>
      <c r="G382" t="str">
        <f ca="1">IFERROR(__xludf.DUMMYFUNCTION("""COMPUTED_VALUE"""),"")</f>
        <v/>
      </c>
    </row>
    <row r="383" spans="1:7" ht="13.2" x14ac:dyDescent="0.25">
      <c r="A383" s="1" t="s">
        <v>22</v>
      </c>
      <c r="B383" t="str">
        <f ca="1">IFERROR(__xludf.DUMMYFUNCTION("""COMPUTED_VALUE"""),"Delamea Mlinar, Antonio")</f>
        <v>Delamea Mlinar, Antonio</v>
      </c>
      <c r="C383">
        <f ca="1">IFERROR(__xludf.DUMMYFUNCTION("""COMPUTED_VALUE"""),19)</f>
        <v>19</v>
      </c>
      <c r="D383" t="str">
        <f ca="1">IFERROR(__xludf.DUMMYFUNCTION("""COMPUTED_VALUE"""),"D")</f>
        <v>D</v>
      </c>
      <c r="E383" t="str">
        <f ca="1">IFERROR(__xludf.DUMMYFUNCTION("""COMPUTED_VALUE"""),"SeniorSR")</f>
        <v>SeniorSR</v>
      </c>
      <c r="F383" t="str">
        <f ca="1">IFERROR(__xludf.DUMMYFUNCTION("""COMPUTED_VALUE"""),"")</f>
        <v/>
      </c>
      <c r="G383" t="str">
        <f ca="1">IFERROR(__xludf.DUMMYFUNCTION("""COMPUTED_VALUE"""),"")</f>
        <v/>
      </c>
    </row>
    <row r="384" spans="1:7" ht="13.2" x14ac:dyDescent="0.25">
      <c r="A384" s="1" t="s">
        <v>22</v>
      </c>
      <c r="B384" t="str">
        <f ca="1">IFERROR(__xludf.DUMMYFUNCTION("""COMPUTED_VALUE"""),"Dielna, Claude")</f>
        <v>Dielna, Claude</v>
      </c>
      <c r="C384">
        <f ca="1">IFERROR(__xludf.DUMMYFUNCTION("""COMPUTED_VALUE"""),4)</f>
        <v>4</v>
      </c>
      <c r="D384" t="str">
        <f ca="1">IFERROR(__xludf.DUMMYFUNCTION("""COMPUTED_VALUE"""),"D")</f>
        <v>D</v>
      </c>
      <c r="E384" t="str">
        <f ca="1">IFERROR(__xludf.DUMMYFUNCTION("""COMPUTED_VALUE"""),"SeniorSR")</f>
        <v>SeniorSR</v>
      </c>
      <c r="F384" t="str">
        <f ca="1">IFERROR(__xludf.DUMMYFUNCTION("""COMPUTED_VALUE"""),"DP, INTL")</f>
        <v>DP, INTL</v>
      </c>
      <c r="G384" t="str">
        <f ca="1">IFERROR(__xludf.DUMMYFUNCTION("""COMPUTED_VALUE"""),"")</f>
        <v/>
      </c>
    </row>
    <row r="385" spans="1:7" ht="13.2" x14ac:dyDescent="0.25">
      <c r="A385" s="1" t="s">
        <v>22</v>
      </c>
      <c r="B385" t="str">
        <f ca="1">IFERROR(__xludf.DUMMYFUNCTION("""COMPUTED_VALUE"""),"Fagundez, Diego")</f>
        <v>Fagundez, Diego</v>
      </c>
      <c r="C385">
        <f ca="1">IFERROR(__xludf.DUMMYFUNCTION("""COMPUTED_VALUE"""),14)</f>
        <v>14</v>
      </c>
      <c r="D385" t="str">
        <f ca="1">IFERROR(__xludf.DUMMYFUNCTION("""COMPUTED_VALUE"""),"M")</f>
        <v>M</v>
      </c>
      <c r="E385" t="str">
        <f ca="1">IFERROR(__xludf.DUMMYFUNCTION("""COMPUTED_VALUE"""),"SeniorSR")</f>
        <v>SeniorSR</v>
      </c>
      <c r="F385" t="str">
        <f ca="1">IFERROR(__xludf.DUMMYFUNCTION("""COMPUTED_VALUE"""),"HG")</f>
        <v>HG</v>
      </c>
      <c r="G385" t="str">
        <f ca="1">IFERROR(__xludf.DUMMYFUNCTION("""COMPUTED_VALUE"""),"")</f>
        <v/>
      </c>
    </row>
    <row r="386" spans="1:7" ht="13.2" x14ac:dyDescent="0.25">
      <c r="A386" s="1" t="s">
        <v>22</v>
      </c>
      <c r="B386" t="str">
        <f ca="1">IFERROR(__xludf.DUMMYFUNCTION("""COMPUTED_VALUE"""),"Farrell, Andrew")</f>
        <v>Farrell, Andrew</v>
      </c>
      <c r="C386">
        <f ca="1">IFERROR(__xludf.DUMMYFUNCTION("""COMPUTED_VALUE"""),2)</f>
        <v>2</v>
      </c>
      <c r="D386" t="str">
        <f ca="1">IFERROR(__xludf.DUMMYFUNCTION("""COMPUTED_VALUE"""),"D")</f>
        <v>D</v>
      </c>
      <c r="E386" t="str">
        <f ca="1">IFERROR(__xludf.DUMMYFUNCTION("""COMPUTED_VALUE"""),"SeniorSR")</f>
        <v>SeniorSR</v>
      </c>
      <c r="F386" t="str">
        <f ca="1">IFERROR(__xludf.DUMMYFUNCTION("""COMPUTED_VALUE"""),"")</f>
        <v/>
      </c>
      <c r="G386" t="str">
        <f ca="1">IFERROR(__xludf.DUMMYFUNCTION("""COMPUTED_VALUE"""),"")</f>
        <v/>
      </c>
    </row>
    <row r="387" spans="1:7" ht="13.2" x14ac:dyDescent="0.25">
      <c r="A387" s="1" t="s">
        <v>22</v>
      </c>
      <c r="B387" t="str">
        <f ca="1">IFERROR(__xludf.DUMMYFUNCTION("""COMPUTED_VALUE"""),"Hauche, Guillermo")</f>
        <v>Hauche, Guillermo</v>
      </c>
      <c r="C387">
        <f ca="1">IFERROR(__xludf.DUMMYFUNCTION("""COMPUTED_VALUE"""),22)</f>
        <v>22</v>
      </c>
      <c r="D387" t="str">
        <f ca="1">IFERROR(__xludf.DUMMYFUNCTION("""COMPUTED_VALUE"""),"F")</f>
        <v>F</v>
      </c>
      <c r="E387" t="str">
        <f ca="1">IFERROR(__xludf.DUMMYFUNCTION("""COMPUTED_VALUE"""),"SeniorSR")</f>
        <v>SeniorSR</v>
      </c>
      <c r="F387" t="str">
        <f ca="1">IFERROR(__xludf.DUMMYFUNCTION("""COMPUTED_VALUE"""),"INTL")</f>
        <v>INTL</v>
      </c>
      <c r="G387" t="str">
        <f ca="1">IFERROR(__xludf.DUMMYFUNCTION("""COMPUTED_VALUE"""),"")</f>
        <v/>
      </c>
    </row>
    <row r="388" spans="1:7" ht="13.2" x14ac:dyDescent="0.25">
      <c r="A388" s="1" t="s">
        <v>22</v>
      </c>
      <c r="B388" t="str">
        <f ca="1">IFERROR(__xludf.DUMMYFUNCTION("""COMPUTED_VALUE"""),"Herivaux, Zachary")</f>
        <v>Herivaux, Zachary</v>
      </c>
      <c r="C388">
        <f ca="1">IFERROR(__xludf.DUMMYFUNCTION("""COMPUTED_VALUE"""),21)</f>
        <v>21</v>
      </c>
      <c r="D388" t="str">
        <f ca="1">IFERROR(__xludf.DUMMYFUNCTION("""COMPUTED_VALUE"""),"M")</f>
        <v>M</v>
      </c>
      <c r="E388" t="str">
        <f ca="1">IFERROR(__xludf.DUMMYFUNCTION("""COMPUTED_VALUE"""),"SupplementalSUP")</f>
        <v>SupplementalSUP</v>
      </c>
      <c r="F388" t="str">
        <f ca="1">IFERROR(__xludf.DUMMYFUNCTION("""COMPUTED_VALUE"""),"HG")</f>
        <v>HG</v>
      </c>
      <c r="G388" t="str">
        <f ca="1">IFERROR(__xludf.DUMMYFUNCTION("""COMPUTED_VALUE"""),"")</f>
        <v/>
      </c>
    </row>
    <row r="389" spans="1:7" ht="13.2" x14ac:dyDescent="0.25">
      <c r="A389" s="1" t="s">
        <v>22</v>
      </c>
      <c r="B389" t="str">
        <f ca="1">IFERROR(__xludf.DUMMYFUNCTION("""COMPUTED_VALUE"""),"Hollinger-Janzen, Femi")</f>
        <v>Hollinger-Janzen, Femi</v>
      </c>
      <c r="C389">
        <f ca="1">IFERROR(__xludf.DUMMYFUNCTION("""COMPUTED_VALUE"""),88)</f>
        <v>88</v>
      </c>
      <c r="D389" t="str">
        <f ca="1">IFERROR(__xludf.DUMMYFUNCTION("""COMPUTED_VALUE"""),"F")</f>
        <v>F</v>
      </c>
      <c r="E389" t="str">
        <f ca="1">IFERROR(__xludf.DUMMYFUNCTION("""COMPUTED_VALUE"""),"SeniorSR")</f>
        <v>SeniorSR</v>
      </c>
      <c r="F389" t="str">
        <f ca="1">IFERROR(__xludf.DUMMYFUNCTION("""COMPUTED_VALUE"""),"")</f>
        <v/>
      </c>
      <c r="G389" t="str">
        <f ca="1">IFERROR(__xludf.DUMMYFUNCTION("""COMPUTED_VALUE"""),"")</f>
        <v/>
      </c>
    </row>
    <row r="390" spans="1:7" ht="13.2" x14ac:dyDescent="0.25">
      <c r="A390" s="1" t="s">
        <v>22</v>
      </c>
      <c r="B390" t="str">
        <f ca="1">IFERROR(__xludf.DUMMYFUNCTION("""COMPUTED_VALUE"""),"Knighton, Brad")</f>
        <v>Knighton, Brad</v>
      </c>
      <c r="C390">
        <f ca="1">IFERROR(__xludf.DUMMYFUNCTION("""COMPUTED_VALUE"""),18)</f>
        <v>18</v>
      </c>
      <c r="D390" t="str">
        <f ca="1">IFERROR(__xludf.DUMMYFUNCTION("""COMPUTED_VALUE"""),"GK")</f>
        <v>GK</v>
      </c>
      <c r="E390" t="str">
        <f ca="1">IFERROR(__xludf.DUMMYFUNCTION("""COMPUTED_VALUE"""),"SeniorSR")</f>
        <v>SeniorSR</v>
      </c>
      <c r="F390" t="str">
        <f ca="1">IFERROR(__xludf.DUMMYFUNCTION("""COMPUTED_VALUE"""),"")</f>
        <v/>
      </c>
      <c r="G390" t="str">
        <f ca="1">IFERROR(__xludf.DUMMYFUNCTION("""COMPUTED_VALUE"""),"")</f>
        <v/>
      </c>
    </row>
    <row r="391" spans="1:7" ht="13.2" x14ac:dyDescent="0.25">
      <c r="A391" s="1" t="s">
        <v>22</v>
      </c>
      <c r="B391" t="str">
        <f ca="1">IFERROR(__xludf.DUMMYFUNCTION("""COMPUTED_VALUE"""),"Machado, Cristhian")</f>
        <v>Machado, Cristhian</v>
      </c>
      <c r="C391">
        <f ca="1">IFERROR(__xludf.DUMMYFUNCTION("""COMPUTED_VALUE"""),13)</f>
        <v>13</v>
      </c>
      <c r="D391" t="str">
        <f ca="1">IFERROR(__xludf.DUMMYFUNCTION("""COMPUTED_VALUE"""),"M/D")</f>
        <v>M/D</v>
      </c>
      <c r="E391" t="str">
        <f ca="1">IFERROR(__xludf.DUMMYFUNCTION("""COMPUTED_VALUE"""),"SeniorSR")</f>
        <v>SeniorSR</v>
      </c>
      <c r="F391" t="str">
        <f ca="1">IFERROR(__xludf.DUMMYFUNCTION("""COMPUTED_VALUE"""),"")</f>
        <v/>
      </c>
      <c r="G391" t="str">
        <f ca="1">IFERROR(__xludf.DUMMYFUNCTION("""COMPUTED_VALUE"""),"")</f>
        <v/>
      </c>
    </row>
    <row r="392" spans="1:7" ht="13.2" x14ac:dyDescent="0.25">
      <c r="A392" s="1" t="s">
        <v>22</v>
      </c>
      <c r="B392" t="str">
        <f ca="1">IFERROR(__xludf.DUMMYFUNCTION("""COMPUTED_VALUE"""),"Mancienne, Michael")</f>
        <v>Mancienne, Michael</v>
      </c>
      <c r="C392">
        <f ca="1">IFERROR(__xludf.DUMMYFUNCTION("""COMPUTED_VALUE"""),28)</f>
        <v>28</v>
      </c>
      <c r="D392" t="str">
        <f ca="1">IFERROR(__xludf.DUMMYFUNCTION("""COMPUTED_VALUE"""),"D")</f>
        <v>D</v>
      </c>
      <c r="E392" t="str">
        <f ca="1">IFERROR(__xludf.DUMMYFUNCTION("""COMPUTED_VALUE"""),"SeniorSR")</f>
        <v>SeniorSR</v>
      </c>
      <c r="F392" t="str">
        <f ca="1">IFERROR(__xludf.DUMMYFUNCTION("""COMPUTED_VALUE"""),"INTL")</f>
        <v>INTL</v>
      </c>
      <c r="G392" t="str">
        <f ca="1">IFERROR(__xludf.DUMMYFUNCTION("""COMPUTED_VALUE"""),"")</f>
        <v/>
      </c>
    </row>
    <row r="393" spans="1:7" ht="13.2" x14ac:dyDescent="0.25">
      <c r="A393" s="1" t="s">
        <v>22</v>
      </c>
      <c r="B393" t="str">
        <f ca="1">IFERROR(__xludf.DUMMYFUNCTION("""COMPUTED_VALUE"""),"Penilla, Cristian")</f>
        <v>Penilla, Cristian</v>
      </c>
      <c r="C393">
        <f ca="1">IFERROR(__xludf.DUMMYFUNCTION("""COMPUTED_VALUE"""),70)</f>
        <v>70</v>
      </c>
      <c r="D393" t="str">
        <f ca="1">IFERROR(__xludf.DUMMYFUNCTION("""COMPUTED_VALUE"""),"F/M")</f>
        <v>F/M</v>
      </c>
      <c r="E393" t="str">
        <f ca="1">IFERROR(__xludf.DUMMYFUNCTION("""COMPUTED_VALUE"""),"SeniorSR")</f>
        <v>SeniorSR</v>
      </c>
      <c r="F393" t="str">
        <f ca="1">IFERROR(__xludf.DUMMYFUNCTION("""COMPUTED_VALUE"""),"INTL")</f>
        <v>INTL</v>
      </c>
      <c r="G393" t="str">
        <f ca="1">IFERROR(__xludf.DUMMYFUNCTION("""COMPUTED_VALUE"""),"")</f>
        <v/>
      </c>
    </row>
    <row r="394" spans="1:7" ht="13.2" x14ac:dyDescent="0.25">
      <c r="A394" s="1" t="s">
        <v>22</v>
      </c>
      <c r="B394" t="str">
        <f ca="1">IFERROR(__xludf.DUMMYFUNCTION("""COMPUTED_VALUE"""),"Rowe, Kelyn")</f>
        <v>Rowe, Kelyn</v>
      </c>
      <c r="C394">
        <f ca="1">IFERROR(__xludf.DUMMYFUNCTION("""COMPUTED_VALUE"""),11)</f>
        <v>11</v>
      </c>
      <c r="D394" t="str">
        <f ca="1">IFERROR(__xludf.DUMMYFUNCTION("""COMPUTED_VALUE"""),"M")</f>
        <v>M</v>
      </c>
      <c r="E394" t="str">
        <f ca="1">IFERROR(__xludf.DUMMYFUNCTION("""COMPUTED_VALUE"""),"SeniorSR")</f>
        <v>SeniorSR</v>
      </c>
      <c r="F394" t="str">
        <f ca="1">IFERROR(__xludf.DUMMYFUNCTION("""COMPUTED_VALUE"""),"")</f>
        <v/>
      </c>
      <c r="G394" t="str">
        <f ca="1">IFERROR(__xludf.DUMMYFUNCTION("""COMPUTED_VALUE"""),"")</f>
        <v/>
      </c>
    </row>
    <row r="395" spans="1:7" ht="13.2" x14ac:dyDescent="0.25">
      <c r="A395" s="1" t="s">
        <v>22</v>
      </c>
      <c r="B395" t="str">
        <f ca="1">IFERROR(__xludf.DUMMYFUNCTION("""COMPUTED_VALUE"""),"Samayoa, Nicolas")</f>
        <v>Samayoa, Nicolas</v>
      </c>
      <c r="C395">
        <f ca="1">IFERROR(__xludf.DUMMYFUNCTION("""COMPUTED_VALUE"""),12)</f>
        <v>12</v>
      </c>
      <c r="D395" t="str">
        <f ca="1">IFERROR(__xludf.DUMMYFUNCTION("""COMPUTED_VALUE"""),"D")</f>
        <v>D</v>
      </c>
      <c r="E395" t="str">
        <f ca="1">IFERROR(__xludf.DUMMYFUNCTION("""COMPUTED_VALUE"""),"ReserveRES")</f>
        <v>ReserveRES</v>
      </c>
      <c r="F395" t="str">
        <f ca="1">IFERROR(__xludf.DUMMYFUNCTION("""COMPUTED_VALUE"""),"")</f>
        <v/>
      </c>
      <c r="G395" t="str">
        <f ca="1">IFERROR(__xludf.DUMMYFUNCTION("""COMPUTED_VALUE"""),"")</f>
        <v/>
      </c>
    </row>
    <row r="396" spans="1:7" ht="13.2" x14ac:dyDescent="0.25">
      <c r="A396" s="1" t="s">
        <v>22</v>
      </c>
      <c r="B396" t="str">
        <f ca="1">IFERROR(__xludf.DUMMYFUNCTION("""COMPUTED_VALUE"""),"Segbers, Mark")</f>
        <v>Segbers, Mark</v>
      </c>
      <c r="C396">
        <f ca="1">IFERROR(__xludf.DUMMYFUNCTION("""COMPUTED_VALUE"""),16)</f>
        <v>16</v>
      </c>
      <c r="D396" t="str">
        <f ca="1">IFERROR(__xludf.DUMMYFUNCTION("""COMPUTED_VALUE"""),"M/D")</f>
        <v>M/D</v>
      </c>
      <c r="E396" t="str">
        <f ca="1">IFERROR(__xludf.DUMMYFUNCTION("""COMPUTED_VALUE"""),"ReserveRES")</f>
        <v>ReserveRES</v>
      </c>
      <c r="F396" t="str">
        <f ca="1">IFERROR(__xludf.DUMMYFUNCTION("""COMPUTED_VALUE"""),"")</f>
        <v/>
      </c>
      <c r="G396" t="str">
        <f ca="1">IFERROR(__xludf.DUMMYFUNCTION("""COMPUTED_VALUE"""),"")</f>
        <v/>
      </c>
    </row>
    <row r="397" spans="1:7" ht="13.2" x14ac:dyDescent="0.25">
      <c r="A397" s="1" t="s">
        <v>22</v>
      </c>
      <c r="B397" t="str">
        <f ca="1">IFERROR(__xludf.DUMMYFUNCTION("""COMPUTED_VALUE"""),"Somi, Gabriel")</f>
        <v>Somi, Gabriel</v>
      </c>
      <c r="C397">
        <f ca="1">IFERROR(__xludf.DUMMYFUNCTION("""COMPUTED_VALUE"""),91)</f>
        <v>91</v>
      </c>
      <c r="D397" t="str">
        <f ca="1">IFERROR(__xludf.DUMMYFUNCTION("""COMPUTED_VALUE"""),"D")</f>
        <v>D</v>
      </c>
      <c r="E397" t="str">
        <f ca="1">IFERROR(__xludf.DUMMYFUNCTION("""COMPUTED_VALUE"""),"SeniorSR")</f>
        <v>SeniorSR</v>
      </c>
      <c r="F397" t="str">
        <f ca="1">IFERROR(__xludf.DUMMYFUNCTION("""COMPUTED_VALUE"""),"INTL")</f>
        <v>INTL</v>
      </c>
      <c r="G397" t="str">
        <f ca="1">IFERROR(__xludf.DUMMYFUNCTION("""COMPUTED_VALUE"""),"")</f>
        <v/>
      </c>
    </row>
    <row r="398" spans="1:7" ht="13.2" x14ac:dyDescent="0.25">
      <c r="A398" s="1" t="s">
        <v>22</v>
      </c>
      <c r="B398" t="str">
        <f ca="1">IFERROR(__xludf.DUMMYFUNCTION("""COMPUTED_VALUE"""),"Tierney, Chris")</f>
        <v>Tierney, Chris</v>
      </c>
      <c r="C398">
        <f ca="1">IFERROR(__xludf.DUMMYFUNCTION("""COMPUTED_VALUE"""),8)</f>
        <v>8</v>
      </c>
      <c r="D398" t="str">
        <f ca="1">IFERROR(__xludf.DUMMYFUNCTION("""COMPUTED_VALUE"""),"D/M")</f>
        <v>D/M</v>
      </c>
      <c r="E398" t="str">
        <f ca="1">IFERROR(__xludf.DUMMYFUNCTION("""COMPUTED_VALUE"""),"SeniorSR, Season-Ending InjurySEI")</f>
        <v>SeniorSR, Season-Ending InjurySEI</v>
      </c>
      <c r="F398" t="str">
        <f ca="1">IFERROR(__xludf.DUMMYFUNCTION("""COMPUTED_VALUE"""),"")</f>
        <v/>
      </c>
      <c r="G398" t="str">
        <f ca="1">IFERROR(__xludf.DUMMYFUNCTION("""COMPUTED_VALUE"""),"*Season-Ending InjurySEI*")</f>
        <v>*Season-Ending InjurySEI*</v>
      </c>
    </row>
    <row r="399" spans="1:7" ht="13.2" x14ac:dyDescent="0.25">
      <c r="A399" s="1" t="s">
        <v>22</v>
      </c>
      <c r="B399" t="str">
        <f ca="1">IFERROR(__xludf.DUMMYFUNCTION("""COMPUTED_VALUE"""),"Turner, Matt")</f>
        <v>Turner, Matt</v>
      </c>
      <c r="C399">
        <f ca="1">IFERROR(__xludf.DUMMYFUNCTION("""COMPUTED_VALUE"""),30)</f>
        <v>30</v>
      </c>
      <c r="D399" t="str">
        <f ca="1">IFERROR(__xludf.DUMMYFUNCTION("""COMPUTED_VALUE"""),"GK")</f>
        <v>GK</v>
      </c>
      <c r="E399" t="str">
        <f ca="1">IFERROR(__xludf.DUMMYFUNCTION("""COMPUTED_VALUE"""),"SupplementalSUP")</f>
        <v>SupplementalSUP</v>
      </c>
      <c r="F399" t="str">
        <f ca="1">IFERROR(__xludf.DUMMYFUNCTION("""COMPUTED_VALUE"""),"")</f>
        <v/>
      </c>
      <c r="G399" t="str">
        <f ca="1">IFERROR(__xludf.DUMMYFUNCTION("""COMPUTED_VALUE"""),"")</f>
        <v/>
      </c>
    </row>
    <row r="400" spans="1:7" ht="13.2" x14ac:dyDescent="0.25">
      <c r="A400" s="1" t="s">
        <v>22</v>
      </c>
      <c r="B400" t="str">
        <f ca="1">IFERROR(__xludf.DUMMYFUNCTION("""COMPUTED_VALUE"""),"Wright, Brian")</f>
        <v>Wright, Brian</v>
      </c>
      <c r="C400">
        <f ca="1">IFERROR(__xludf.DUMMYFUNCTION("""COMPUTED_VALUE"""),7)</f>
        <v>7</v>
      </c>
      <c r="D400" t="str">
        <f ca="1">IFERROR(__xludf.DUMMYFUNCTION("""COMPUTED_VALUE"""),"F")</f>
        <v>F</v>
      </c>
      <c r="E400" t="str">
        <f ca="1">IFERROR(__xludf.DUMMYFUNCTION("""COMPUTED_VALUE"""),"SeniorSR")</f>
        <v>SeniorSR</v>
      </c>
      <c r="F400" t="str">
        <f ca="1">IFERROR(__xludf.DUMMYFUNCTION("""COMPUTED_VALUE"""),"")</f>
        <v/>
      </c>
      <c r="G400" t="str">
        <f ca="1">IFERROR(__xludf.DUMMYFUNCTION("""COMPUTED_VALUE"""),"")</f>
        <v/>
      </c>
    </row>
    <row r="401" spans="1:7" ht="13.2" x14ac:dyDescent="0.25">
      <c r="A401" s="1" t="s">
        <v>22</v>
      </c>
      <c r="B401" t="str">
        <f ca="1">IFERROR(__xludf.DUMMYFUNCTION("""COMPUTED_VALUE"""),"Zahibo, Wilfried")</f>
        <v>Zahibo, Wilfried</v>
      </c>
      <c r="C401">
        <f ca="1">IFERROR(__xludf.DUMMYFUNCTION("""COMPUTED_VALUE"""),23)</f>
        <v>23</v>
      </c>
      <c r="D401" t="str">
        <f ca="1">IFERROR(__xludf.DUMMYFUNCTION("""COMPUTED_VALUE"""),"M")</f>
        <v>M</v>
      </c>
      <c r="E401" t="str">
        <f ca="1">IFERROR(__xludf.DUMMYFUNCTION("""COMPUTED_VALUE"""),"SeniorSR")</f>
        <v>SeniorSR</v>
      </c>
      <c r="F401" t="str">
        <f ca="1">IFERROR(__xludf.DUMMYFUNCTION("""COMPUTED_VALUE"""),"INTL")</f>
        <v>INTL</v>
      </c>
      <c r="G401" t="str">
        <f ca="1">IFERROR(__xludf.DUMMYFUNCTION("""COMPUTED_VALUE"""),"")</f>
        <v/>
      </c>
    </row>
    <row r="402" spans="1:7" ht="13.2" x14ac:dyDescent="0.25">
      <c r="A402" s="1" t="s">
        <v>22</v>
      </c>
      <c r="B402" t="str">
        <f ca="1">IFERROR(__xludf.DUMMYFUNCTION("""COMPUTED_VALUE"""),"")</f>
        <v/>
      </c>
      <c r="C402" t="str">
        <f ca="1">IFERROR(__xludf.DUMMYFUNCTION("""COMPUTED_VALUE"""),"")</f>
        <v/>
      </c>
      <c r="D402" t="str">
        <f ca="1">IFERROR(__xludf.DUMMYFUNCTION("""COMPUTED_VALUE"""),"")</f>
        <v/>
      </c>
      <c r="E402" t="str">
        <f ca="1">IFERROR(__xludf.DUMMYFUNCTION("""COMPUTED_VALUE"""),"")</f>
        <v/>
      </c>
      <c r="F402" t="str">
        <f ca="1">IFERROR(__xludf.DUMMYFUNCTION("""COMPUTED_VALUE"""),"")</f>
        <v/>
      </c>
      <c r="G402" t="str">
        <f ca="1">IFERROR(__xludf.DUMMYFUNCTION("""COMPUTED_VALUE"""),"")</f>
        <v/>
      </c>
    </row>
    <row r="403" spans="1:7" ht="13.2" x14ac:dyDescent="0.25">
      <c r="A403" s="1" t="s">
        <v>22</v>
      </c>
      <c r="B403" t="str">
        <f ca="1">IFERROR(__xludf.DUMMYFUNCTION("""COMPUTED_VALUE"""),"")</f>
        <v/>
      </c>
      <c r="C403" t="str">
        <f ca="1">IFERROR(__xludf.DUMMYFUNCTION("""COMPUTED_VALUE"""),"")</f>
        <v/>
      </c>
      <c r="D403" t="str">
        <f ca="1">IFERROR(__xludf.DUMMYFUNCTION("""COMPUTED_VALUE"""),"")</f>
        <v/>
      </c>
      <c r="E403" t="str">
        <f ca="1">IFERROR(__xludf.DUMMYFUNCTION("""COMPUTED_VALUE"""),"")</f>
        <v/>
      </c>
      <c r="F403" t="str">
        <f ca="1">IFERROR(__xludf.DUMMYFUNCTION("""COMPUTED_VALUE"""),"")</f>
        <v/>
      </c>
      <c r="G403" t="str">
        <f ca="1">IFERROR(__xludf.DUMMYFUNCTION("""COMPUTED_VALUE"""),"")</f>
        <v/>
      </c>
    </row>
    <row r="404" spans="1:7" ht="13.2" x14ac:dyDescent="0.25">
      <c r="A404" s="1" t="s">
        <v>22</v>
      </c>
      <c r="B404" t="str">
        <f ca="1">IFERROR(__xludf.DUMMYFUNCTION("""COMPUTED_VALUE"""),"")</f>
        <v/>
      </c>
      <c r="C404" t="str">
        <f ca="1">IFERROR(__xludf.DUMMYFUNCTION("""COMPUTED_VALUE"""),"")</f>
        <v/>
      </c>
      <c r="D404" t="str">
        <f ca="1">IFERROR(__xludf.DUMMYFUNCTION("""COMPUTED_VALUE"""),"")</f>
        <v/>
      </c>
      <c r="E404" t="str">
        <f ca="1">IFERROR(__xludf.DUMMYFUNCTION("""COMPUTED_VALUE"""),"")</f>
        <v/>
      </c>
      <c r="F404" t="str">
        <f ca="1">IFERROR(__xludf.DUMMYFUNCTION("""COMPUTED_VALUE"""),"")</f>
        <v/>
      </c>
      <c r="G404" t="str">
        <f ca="1">IFERROR(__xludf.DUMMYFUNCTION("""COMPUTED_VALUE"""),"")</f>
        <v/>
      </c>
    </row>
    <row r="405" spans="1:7" ht="13.2" x14ac:dyDescent="0.25">
      <c r="A405" s="1" t="s">
        <v>22</v>
      </c>
      <c r="B405" t="str">
        <f ca="1">IFERROR(__xludf.DUMMYFUNCTION("""COMPUTED_VALUE"""),"27 of 30 spots filled")</f>
        <v>27 of 30 spots filled</v>
      </c>
      <c r="C405" t="str">
        <f ca="1">IFERROR(__xludf.DUMMYFUNCTION("""COMPUTED_VALUE"""),"")</f>
        <v/>
      </c>
      <c r="D405" t="str">
        <f ca="1">IFERROR(__xludf.DUMMYFUNCTION("""COMPUTED_VALUE"""),"")</f>
        <v/>
      </c>
      <c r="E405" t="str">
        <f ca="1">IFERROR(__xludf.DUMMYFUNCTION("""COMPUTED_VALUE"""),"")</f>
        <v/>
      </c>
      <c r="F405" t="str">
        <f ca="1">IFERROR(__xludf.DUMMYFUNCTION("""COMPUTED_VALUE"""),"")</f>
        <v/>
      </c>
      <c r="G405" t="str">
        <f ca="1">IFERROR(__xludf.DUMMYFUNCTION("""COMPUTED_VALUE"""),"")</f>
        <v/>
      </c>
    </row>
    <row r="406" spans="1:7" ht="13.2" x14ac:dyDescent="0.25">
      <c r="A406" s="1" t="s">
        <v>22</v>
      </c>
    </row>
    <row r="407" spans="1:7" ht="13.2" x14ac:dyDescent="0.25">
      <c r="A407" s="1" t="s">
        <v>22</v>
      </c>
    </row>
    <row r="408" spans="1:7" ht="13.2" x14ac:dyDescent="0.25">
      <c r="A408" s="1" t="s">
        <v>22</v>
      </c>
    </row>
    <row r="410" spans="1:7" ht="13.2" x14ac:dyDescent="0.25">
      <c r="B410" t="str">
        <f ca="1">IFERROR(__xludf.DUMMYFUNCTION("IMPORTHTML(""http://www.mlssoccer.com/rosters/2018/new-york-red-bulls"", ""table"", 1)"),"#N/A")</f>
        <v>#N/A</v>
      </c>
    </row>
    <row r="411" spans="1:7" ht="13.2" x14ac:dyDescent="0.25">
      <c r="A411" s="1" t="s">
        <v>23</v>
      </c>
    </row>
    <row r="412" spans="1:7" ht="13.2" x14ac:dyDescent="0.25">
      <c r="A412" s="1" t="s">
        <v>23</v>
      </c>
    </row>
    <row r="413" spans="1:7" ht="13.2" x14ac:dyDescent="0.25">
      <c r="A413" s="1" t="s">
        <v>23</v>
      </c>
    </row>
    <row r="414" spans="1:7" ht="13.2" x14ac:dyDescent="0.25">
      <c r="A414" s="1" t="s">
        <v>23</v>
      </c>
    </row>
    <row r="415" spans="1:7" ht="13.2" x14ac:dyDescent="0.25">
      <c r="A415" s="1" t="s">
        <v>23</v>
      </c>
    </row>
    <row r="416" spans="1:7" ht="13.2" x14ac:dyDescent="0.25">
      <c r="A416" s="1" t="s">
        <v>23</v>
      </c>
    </row>
    <row r="417" spans="1:1" ht="13.2" x14ac:dyDescent="0.25">
      <c r="A417" s="1" t="s">
        <v>23</v>
      </c>
    </row>
    <row r="418" spans="1:1" ht="13.2" x14ac:dyDescent="0.25">
      <c r="A418" s="1" t="s">
        <v>23</v>
      </c>
    </row>
    <row r="419" spans="1:1" ht="13.2" x14ac:dyDescent="0.25">
      <c r="A419" s="1" t="s">
        <v>23</v>
      </c>
    </row>
    <row r="420" spans="1:1" ht="13.2" x14ac:dyDescent="0.25">
      <c r="A420" s="1" t="s">
        <v>23</v>
      </c>
    </row>
    <row r="421" spans="1:1" ht="13.2" x14ac:dyDescent="0.25">
      <c r="A421" s="1" t="s">
        <v>23</v>
      </c>
    </row>
    <row r="422" spans="1:1" ht="13.2" x14ac:dyDescent="0.25">
      <c r="A422" s="1" t="s">
        <v>23</v>
      </c>
    </row>
    <row r="423" spans="1:1" ht="13.2" x14ac:dyDescent="0.25">
      <c r="A423" s="1" t="s">
        <v>23</v>
      </c>
    </row>
    <row r="424" spans="1:1" ht="13.2" x14ac:dyDescent="0.25">
      <c r="A424" s="1" t="s">
        <v>23</v>
      </c>
    </row>
    <row r="425" spans="1:1" ht="13.2" x14ac:dyDescent="0.25">
      <c r="A425" s="1" t="s">
        <v>23</v>
      </c>
    </row>
    <row r="426" spans="1:1" ht="13.2" x14ac:dyDescent="0.25">
      <c r="A426" s="1" t="s">
        <v>23</v>
      </c>
    </row>
    <row r="427" spans="1:1" ht="13.2" x14ac:dyDescent="0.25">
      <c r="A427" s="1" t="s">
        <v>23</v>
      </c>
    </row>
    <row r="428" spans="1:1" ht="13.2" x14ac:dyDescent="0.25">
      <c r="A428" s="1" t="s">
        <v>23</v>
      </c>
    </row>
    <row r="429" spans="1:1" ht="13.2" x14ac:dyDescent="0.25">
      <c r="A429" s="1" t="s">
        <v>23</v>
      </c>
    </row>
    <row r="430" spans="1:1" ht="13.2" x14ac:dyDescent="0.25">
      <c r="A430" s="1" t="s">
        <v>23</v>
      </c>
    </row>
    <row r="431" spans="1:1" ht="13.2" x14ac:dyDescent="0.25">
      <c r="A431" s="1" t="s">
        <v>23</v>
      </c>
    </row>
    <row r="432" spans="1:1" ht="13.2" x14ac:dyDescent="0.25">
      <c r="A432" s="1" t="s">
        <v>23</v>
      </c>
    </row>
    <row r="433" spans="1:7" ht="13.2" x14ac:dyDescent="0.25">
      <c r="A433" s="1" t="s">
        <v>23</v>
      </c>
    </row>
    <row r="434" spans="1:7" ht="13.2" x14ac:dyDescent="0.25">
      <c r="A434" s="1" t="s">
        <v>23</v>
      </c>
    </row>
    <row r="435" spans="1:7" ht="13.2" x14ac:dyDescent="0.25">
      <c r="A435" s="1" t="s">
        <v>23</v>
      </c>
    </row>
    <row r="436" spans="1:7" ht="13.2" x14ac:dyDescent="0.25">
      <c r="A436" s="1" t="s">
        <v>23</v>
      </c>
    </row>
    <row r="437" spans="1:7" ht="13.2" x14ac:dyDescent="0.25">
      <c r="A437" s="1" t="s">
        <v>23</v>
      </c>
    </row>
    <row r="438" spans="1:7" ht="13.2" x14ac:dyDescent="0.25">
      <c r="A438" s="1" t="s">
        <v>23</v>
      </c>
    </row>
    <row r="439" spans="1:7" ht="13.2" x14ac:dyDescent="0.25">
      <c r="A439" s="1" t="s">
        <v>23</v>
      </c>
    </row>
    <row r="440" spans="1:7" ht="13.2" x14ac:dyDescent="0.25">
      <c r="A440" s="1" t="s">
        <v>23</v>
      </c>
    </row>
    <row r="441" spans="1:7" ht="13.2" x14ac:dyDescent="0.25">
      <c r="A441" s="1" t="s">
        <v>23</v>
      </c>
    </row>
    <row r="442" spans="1:7" ht="13.2" x14ac:dyDescent="0.25">
      <c r="A442" s="1" t="s">
        <v>23</v>
      </c>
    </row>
    <row r="443" spans="1:7" ht="13.2" x14ac:dyDescent="0.25">
      <c r="A443" s="1" t="s">
        <v>23</v>
      </c>
    </row>
    <row r="444" spans="1:7" ht="13.2" x14ac:dyDescent="0.25">
      <c r="A444" s="1" t="s">
        <v>23</v>
      </c>
    </row>
    <row r="445" spans="1:7" ht="13.2" x14ac:dyDescent="0.25">
      <c r="A445" s="1" t="s">
        <v>23</v>
      </c>
    </row>
    <row r="446" spans="1:7" ht="13.2" x14ac:dyDescent="0.25">
      <c r="A446" s="1" t="s">
        <v>23</v>
      </c>
    </row>
    <row r="448" spans="1:7" ht="13.2" x14ac:dyDescent="0.25">
      <c r="B448" t="str">
        <f ca="1">IFERROR(__xludf.DUMMYFUNCTION("IMPORTHTML(""http://www.mlssoccer.com/rosters/2018/new-york-city-fc"", ""table"", 1)"),"30-man Active Roster (Spots 1-30)")</f>
        <v>30-man Active Roster (Spots 1-30)</v>
      </c>
      <c r="C448" t="str">
        <f ca="1">IFERROR(__xludf.DUMMYFUNCTION("""COMPUTED_VALUE"""),"#")</f>
        <v>#</v>
      </c>
      <c r="D448" t="str">
        <f ca="1">IFERROR(__xludf.DUMMYFUNCTION("""COMPUTED_VALUE"""),"POS")</f>
        <v>POS</v>
      </c>
      <c r="E448" t="str">
        <f ca="1">IFERROR(__xludf.DUMMYFUNCTION("""COMPUTED_VALUE"""),"ROSTER STATUSR.S.")</f>
        <v>ROSTER STATUSR.S.</v>
      </c>
      <c r="F448" t="str">
        <f ca="1">IFERROR(__xludf.DUMMYFUNCTION("""COMPUTED_VALUE"""),"PLAYER CATEGORYCAT.")</f>
        <v>PLAYER CATEGORYCAT.</v>
      </c>
      <c r="G448" t="str">
        <f ca="1">IFERROR(__xludf.DUMMYFUNCTION("""COMPUTED_VALUE"""),"*NOTE*")</f>
        <v>*NOTE*</v>
      </c>
    </row>
    <row r="449" spans="1:7" ht="13.2" x14ac:dyDescent="0.25">
      <c r="A449" s="1" t="s">
        <v>24</v>
      </c>
      <c r="B449" t="str">
        <f ca="1">IFERROR(__xludf.DUMMYFUNCTION("""COMPUTED_VALUE"""),"Abdul-Salaam, Saad")</f>
        <v>Abdul-Salaam, Saad</v>
      </c>
      <c r="C449">
        <f ca="1">IFERROR(__xludf.DUMMYFUNCTION("""COMPUTED_VALUE"""),13)</f>
        <v>13</v>
      </c>
      <c r="D449" t="str">
        <f ca="1">IFERROR(__xludf.DUMMYFUNCTION("""COMPUTED_VALUE"""),"D")</f>
        <v>D</v>
      </c>
      <c r="E449" t="str">
        <f ca="1">IFERROR(__xludf.DUMMYFUNCTION("""COMPUTED_VALUE"""),"SeniorSR")</f>
        <v>SeniorSR</v>
      </c>
      <c r="F449" t="str">
        <f ca="1">IFERROR(__xludf.DUMMYFUNCTION("""COMPUTED_VALUE"""),"")</f>
        <v/>
      </c>
      <c r="G449" t="str">
        <f ca="1">IFERROR(__xludf.DUMMYFUNCTION("""COMPUTED_VALUE"""),"")</f>
        <v/>
      </c>
    </row>
    <row r="450" spans="1:7" ht="13.2" x14ac:dyDescent="0.25">
      <c r="A450" s="1" t="s">
        <v>24</v>
      </c>
      <c r="B450" t="str">
        <f ca="1">IFERROR(__xludf.DUMMYFUNCTION("""COMPUTED_VALUE"""),"Amagat, Eloi")</f>
        <v>Amagat, Eloi</v>
      </c>
      <c r="C450" t="str">
        <f ca="1">IFERROR(__xludf.DUMMYFUNCTION("""COMPUTED_VALUE"""),"")</f>
        <v/>
      </c>
      <c r="D450" t="str">
        <f ca="1">IFERROR(__xludf.DUMMYFUNCTION("""COMPUTED_VALUE"""),"M")</f>
        <v>M</v>
      </c>
      <c r="E450" t="str">
        <f ca="1">IFERROR(__xludf.DUMMYFUNCTION("""COMPUTED_VALUE"""),"SeniorSR")</f>
        <v>SeniorSR</v>
      </c>
      <c r="F450" t="str">
        <f ca="1">IFERROR(__xludf.DUMMYFUNCTION("""COMPUTED_VALUE"""),"INTL")</f>
        <v>INTL</v>
      </c>
      <c r="G450" t="str">
        <f ca="1">IFERROR(__xludf.DUMMYFUNCTION("""COMPUTED_VALUE"""),"")</f>
        <v/>
      </c>
    </row>
    <row r="451" spans="1:7" ht="13.2" x14ac:dyDescent="0.25">
      <c r="A451" s="1" t="s">
        <v>24</v>
      </c>
      <c r="B451" t="str">
        <f ca="1">IFERROR(__xludf.DUMMYFUNCTION("""COMPUTED_VALUE"""),"Awuah, Kwame")</f>
        <v>Awuah, Kwame</v>
      </c>
      <c r="C451">
        <f ca="1">IFERROR(__xludf.DUMMYFUNCTION("""COMPUTED_VALUE"""),14)</f>
        <v>14</v>
      </c>
      <c r="D451" t="str">
        <f ca="1">IFERROR(__xludf.DUMMYFUNCTION("""COMPUTED_VALUE"""),"M")</f>
        <v>M</v>
      </c>
      <c r="E451" t="str">
        <f ca="1">IFERROR(__xludf.DUMMYFUNCTION("""COMPUTED_VALUE"""),"ReserveRES")</f>
        <v>ReserveRES</v>
      </c>
      <c r="F451" t="str">
        <f ca="1">IFERROR(__xludf.DUMMYFUNCTION("""COMPUTED_VALUE"""),"")</f>
        <v/>
      </c>
      <c r="G451" t="str">
        <f ca="1">IFERROR(__xludf.DUMMYFUNCTION("""COMPUTED_VALUE"""),"")</f>
        <v/>
      </c>
    </row>
    <row r="452" spans="1:7" ht="13.2" x14ac:dyDescent="0.25">
      <c r="A452" s="1" t="s">
        <v>24</v>
      </c>
      <c r="B452" t="str">
        <f ca="1">IFERROR(__xludf.DUMMYFUNCTION("""COMPUTED_VALUE"""),"Bedoya, Daniel")</f>
        <v>Bedoya, Daniel</v>
      </c>
      <c r="C452" t="str">
        <f ca="1">IFERROR(__xludf.DUMMYFUNCTION("""COMPUTED_VALUE"""),"")</f>
        <v/>
      </c>
      <c r="D452" t="str">
        <f ca="1">IFERROR(__xludf.DUMMYFUNCTION("""COMPUTED_VALUE"""),"M")</f>
        <v>M</v>
      </c>
      <c r="E452" t="str">
        <f ca="1">IFERROR(__xludf.DUMMYFUNCTION("""COMPUTED_VALUE"""),"ReserveRES")</f>
        <v>ReserveRES</v>
      </c>
      <c r="F452" t="str">
        <f ca="1">IFERROR(__xludf.DUMMYFUNCTION("""COMPUTED_VALUE"""),"")</f>
        <v/>
      </c>
      <c r="G452" t="str">
        <f ca="1">IFERROR(__xludf.DUMMYFUNCTION("""COMPUTED_VALUE"""),"")</f>
        <v/>
      </c>
    </row>
    <row r="453" spans="1:7" ht="13.2" x14ac:dyDescent="0.25">
      <c r="A453" s="1" t="s">
        <v>24</v>
      </c>
      <c r="B453" t="str">
        <f ca="1">IFERROR(__xludf.DUMMYFUNCTION("""COMPUTED_VALUE"""),"Berget, Jo Inge")</f>
        <v>Berget, Jo Inge</v>
      </c>
      <c r="C453">
        <f ca="1">IFERROR(__xludf.DUMMYFUNCTION("""COMPUTED_VALUE"""),9)</f>
        <v>9</v>
      </c>
      <c r="D453" t="str">
        <f ca="1">IFERROR(__xludf.DUMMYFUNCTION("""COMPUTED_VALUE"""),"F")</f>
        <v>F</v>
      </c>
      <c r="E453" t="str">
        <f ca="1">IFERROR(__xludf.DUMMYFUNCTION("""COMPUTED_VALUE"""),"SeniorSR")</f>
        <v>SeniorSR</v>
      </c>
      <c r="F453" t="str">
        <f ca="1">IFERROR(__xludf.DUMMYFUNCTION("""COMPUTED_VALUE"""),"INTL")</f>
        <v>INTL</v>
      </c>
      <c r="G453" t="str">
        <f ca="1">IFERROR(__xludf.DUMMYFUNCTION("""COMPUTED_VALUE"""),"")</f>
        <v/>
      </c>
    </row>
    <row r="454" spans="1:7" ht="13.2" x14ac:dyDescent="0.25">
      <c r="A454" s="1" t="s">
        <v>24</v>
      </c>
      <c r="B454" t="str">
        <f ca="1">IFERROR(__xludf.DUMMYFUNCTION("""COMPUTED_VALUE"""),"Caldwell, Jeff")</f>
        <v>Caldwell, Jeff</v>
      </c>
      <c r="C454">
        <f ca="1">IFERROR(__xludf.DUMMYFUNCTION("""COMPUTED_VALUE"""),18)</f>
        <v>18</v>
      </c>
      <c r="D454" t="str">
        <f ca="1">IFERROR(__xludf.DUMMYFUNCTION("""COMPUTED_VALUE"""),"GK")</f>
        <v>GK</v>
      </c>
      <c r="E454" t="str">
        <f ca="1">IFERROR(__xludf.DUMMYFUNCTION("""COMPUTED_VALUE"""),"ReserveRES")</f>
        <v>ReserveRES</v>
      </c>
      <c r="F454" t="str">
        <f ca="1">IFERROR(__xludf.DUMMYFUNCTION("""COMPUTED_VALUE"""),"")</f>
        <v/>
      </c>
      <c r="G454" t="str">
        <f ca="1">IFERROR(__xludf.DUMMYFUNCTION("""COMPUTED_VALUE"""),"")</f>
        <v/>
      </c>
    </row>
    <row r="455" spans="1:7" ht="13.2" x14ac:dyDescent="0.25">
      <c r="A455" s="1" t="s">
        <v>24</v>
      </c>
      <c r="B455" t="str">
        <f ca="1">IFERROR(__xludf.DUMMYFUNCTION("""COMPUTED_VALUE"""),"Callens, Alexander")</f>
        <v>Callens, Alexander</v>
      </c>
      <c r="C455">
        <f ca="1">IFERROR(__xludf.DUMMYFUNCTION("""COMPUTED_VALUE"""),6)</f>
        <v>6</v>
      </c>
      <c r="D455" t="str">
        <f ca="1">IFERROR(__xludf.DUMMYFUNCTION("""COMPUTED_VALUE"""),"D")</f>
        <v>D</v>
      </c>
      <c r="E455" t="str">
        <f ca="1">IFERROR(__xludf.DUMMYFUNCTION("""COMPUTED_VALUE"""),"SeniorSR")</f>
        <v>SeniorSR</v>
      </c>
      <c r="F455" t="str">
        <f ca="1">IFERROR(__xludf.DUMMYFUNCTION("""COMPUTED_VALUE"""),"")</f>
        <v/>
      </c>
      <c r="G455" t="str">
        <f ca="1">IFERROR(__xludf.DUMMYFUNCTION("""COMPUTED_VALUE"""),"")</f>
        <v/>
      </c>
    </row>
    <row r="456" spans="1:7" ht="13.2" x14ac:dyDescent="0.25">
      <c r="A456" s="1" t="s">
        <v>24</v>
      </c>
      <c r="B456" t="str">
        <f ca="1">IFERROR(__xludf.DUMMYFUNCTION("""COMPUTED_VALUE"""),"Castellanos, Valentin")</f>
        <v>Castellanos, Valentin</v>
      </c>
      <c r="C456" t="str">
        <f ca="1">IFERROR(__xludf.DUMMYFUNCTION("""COMPUTED_VALUE"""),"")</f>
        <v/>
      </c>
      <c r="D456" t="str">
        <f ca="1">IFERROR(__xludf.DUMMYFUNCTION("""COMPUTED_VALUE"""),"M")</f>
        <v>M</v>
      </c>
      <c r="E456" t="str">
        <f ca="1">IFERROR(__xludf.DUMMYFUNCTION("""COMPUTED_VALUE"""),"SeniorSR")</f>
        <v>SeniorSR</v>
      </c>
      <c r="F456" t="str">
        <f ca="1">IFERROR(__xludf.DUMMYFUNCTION("""COMPUTED_VALUE"""),"INTL")</f>
        <v>INTL</v>
      </c>
      <c r="G456" t="str">
        <f ca="1">IFERROR(__xludf.DUMMYFUNCTION("""COMPUTED_VALUE"""),"")</f>
        <v/>
      </c>
    </row>
    <row r="457" spans="1:7" ht="13.2" x14ac:dyDescent="0.25">
      <c r="A457" s="1" t="s">
        <v>24</v>
      </c>
      <c r="B457" t="str">
        <f ca="1">IFERROR(__xludf.DUMMYFUNCTION("""COMPUTED_VALUE"""),"Chanot, Maxime")</f>
        <v>Chanot, Maxime</v>
      </c>
      <c r="C457">
        <f ca="1">IFERROR(__xludf.DUMMYFUNCTION("""COMPUTED_VALUE"""),4)</f>
        <v>4</v>
      </c>
      <c r="D457" t="str">
        <f ca="1">IFERROR(__xludf.DUMMYFUNCTION("""COMPUTED_VALUE"""),"D")</f>
        <v>D</v>
      </c>
      <c r="E457" t="str">
        <f ca="1">IFERROR(__xludf.DUMMYFUNCTION("""COMPUTED_VALUE"""),"SeniorSR")</f>
        <v>SeniorSR</v>
      </c>
      <c r="F457" t="str">
        <f ca="1">IFERROR(__xludf.DUMMYFUNCTION("""COMPUTED_VALUE"""),"")</f>
        <v/>
      </c>
      <c r="G457" t="str">
        <f ca="1">IFERROR(__xludf.DUMMYFUNCTION("""COMPUTED_VALUE"""),"")</f>
        <v/>
      </c>
    </row>
    <row r="458" spans="1:7" ht="13.2" x14ac:dyDescent="0.25">
      <c r="A458" s="1" t="s">
        <v>24</v>
      </c>
      <c r="B458" t="str">
        <f ca="1">IFERROR(__xludf.DUMMYFUNCTION("""COMPUTED_VALUE"""),"Herrera, Yangel")</f>
        <v>Herrera, Yangel</v>
      </c>
      <c r="C458">
        <f ca="1">IFERROR(__xludf.DUMMYFUNCTION("""COMPUTED_VALUE"""),30)</f>
        <v>30</v>
      </c>
      <c r="D458" t="str">
        <f ca="1">IFERROR(__xludf.DUMMYFUNCTION("""COMPUTED_VALUE"""),"M")</f>
        <v>M</v>
      </c>
      <c r="E458" t="str">
        <f ca="1">IFERROR(__xludf.DUMMYFUNCTION("""COMPUTED_VALUE"""),"SeniorSR")</f>
        <v>SeniorSR</v>
      </c>
      <c r="F458" t="str">
        <f ca="1">IFERROR(__xludf.DUMMYFUNCTION("""COMPUTED_VALUE"""),"INTL")</f>
        <v>INTL</v>
      </c>
      <c r="G458" t="str">
        <f ca="1">IFERROR(__xludf.DUMMYFUNCTION("""COMPUTED_VALUE"""),"")</f>
        <v/>
      </c>
    </row>
    <row r="459" spans="1:7" ht="13.2" x14ac:dyDescent="0.25">
      <c r="A459" s="1" t="s">
        <v>24</v>
      </c>
      <c r="B459" t="str">
        <f ca="1">IFERROR(__xludf.DUMMYFUNCTION("""COMPUTED_VALUE"""),"Hountondji, Cedric")</f>
        <v>Hountondji, Cedric</v>
      </c>
      <c r="C459">
        <f ca="1">IFERROR(__xludf.DUMMYFUNCTION("""COMPUTED_VALUE"""),5)</f>
        <v>5</v>
      </c>
      <c r="D459" t="str">
        <f ca="1">IFERROR(__xludf.DUMMYFUNCTION("""COMPUTED_VALUE"""),"D")</f>
        <v>D</v>
      </c>
      <c r="E459" t="str">
        <f ca="1">IFERROR(__xludf.DUMMYFUNCTION("""COMPUTED_VALUE"""),"SeniorSR, Disabled ListDL")</f>
        <v>SeniorSR, Disabled ListDL</v>
      </c>
      <c r="F459" t="str">
        <f ca="1">IFERROR(__xludf.DUMMYFUNCTION("""COMPUTED_VALUE"""),"INTL")</f>
        <v>INTL</v>
      </c>
      <c r="G459" t="str">
        <f ca="1">IFERROR(__xludf.DUMMYFUNCTION("""COMPUTED_VALUE"""),"*Disabled ListDL*")</f>
        <v>*Disabled ListDL*</v>
      </c>
    </row>
    <row r="460" spans="1:7" ht="13.2" x14ac:dyDescent="0.25">
      <c r="A460" s="1" t="s">
        <v>24</v>
      </c>
      <c r="B460" t="str">
        <f ca="1">IFERROR(__xludf.DUMMYFUNCTION("""COMPUTED_VALUE"""),"Ibeagha, Sebastien")</f>
        <v>Ibeagha, Sebastien</v>
      </c>
      <c r="C460">
        <f ca="1">IFERROR(__xludf.DUMMYFUNCTION("""COMPUTED_VALUE"""),33)</f>
        <v>33</v>
      </c>
      <c r="D460" t="str">
        <f ca="1">IFERROR(__xludf.DUMMYFUNCTION("""COMPUTED_VALUE"""),"D")</f>
        <v>D</v>
      </c>
      <c r="E460" t="str">
        <f ca="1">IFERROR(__xludf.DUMMYFUNCTION("""COMPUTED_VALUE"""),"SupplementalSUP")</f>
        <v>SupplementalSUP</v>
      </c>
      <c r="F460" t="str">
        <f ca="1">IFERROR(__xludf.DUMMYFUNCTION("""COMPUTED_VALUE"""),"")</f>
        <v/>
      </c>
      <c r="G460" t="str">
        <f ca="1">IFERROR(__xludf.DUMMYFUNCTION("""COMPUTED_VALUE"""),"")</f>
        <v/>
      </c>
    </row>
    <row r="461" spans="1:7" ht="13.2" x14ac:dyDescent="0.25">
      <c r="A461" s="1" t="s">
        <v>24</v>
      </c>
      <c r="B461" t="str">
        <f ca="1">IFERROR(__xludf.DUMMYFUNCTION("""COMPUTED_VALUE"""),"Johnson, Sean")</f>
        <v>Johnson, Sean</v>
      </c>
      <c r="C461">
        <f ca="1">IFERROR(__xludf.DUMMYFUNCTION("""COMPUTED_VALUE"""),1)</f>
        <v>1</v>
      </c>
      <c r="D461" t="str">
        <f ca="1">IFERROR(__xludf.DUMMYFUNCTION("""COMPUTED_VALUE"""),"GK")</f>
        <v>GK</v>
      </c>
      <c r="E461" t="str">
        <f ca="1">IFERROR(__xludf.DUMMYFUNCTION("""COMPUTED_VALUE"""),"SeniorSR")</f>
        <v>SeniorSR</v>
      </c>
      <c r="F461" t="str">
        <f ca="1">IFERROR(__xludf.DUMMYFUNCTION("""COMPUTED_VALUE"""),"")</f>
        <v/>
      </c>
      <c r="G461" t="str">
        <f ca="1">IFERROR(__xludf.DUMMYFUNCTION("""COMPUTED_VALUE"""),"")</f>
        <v/>
      </c>
    </row>
    <row r="462" spans="1:7" ht="13.2" x14ac:dyDescent="0.25">
      <c r="A462" s="1" t="s">
        <v>24</v>
      </c>
      <c r="B462" t="str">
        <f ca="1">IFERROR(__xludf.DUMMYFUNCTION("""COMPUTED_VALUE"""),"Lewis, Jonathan")</f>
        <v>Lewis, Jonathan</v>
      </c>
      <c r="C462">
        <f ca="1">IFERROR(__xludf.DUMMYFUNCTION("""COMPUTED_VALUE"""),17)</f>
        <v>17</v>
      </c>
      <c r="D462" t="str">
        <f ca="1">IFERROR(__xludf.DUMMYFUNCTION("""COMPUTED_VALUE"""),"F")</f>
        <v>F</v>
      </c>
      <c r="E462" t="str">
        <f ca="1">IFERROR(__xludf.DUMMYFUNCTION("""COMPUTED_VALUE"""),"SupplementalSUP")</f>
        <v>SupplementalSUP</v>
      </c>
      <c r="F462" t="str">
        <f ca="1">IFERROR(__xludf.DUMMYFUNCTION("""COMPUTED_VALUE"""),"GA")</f>
        <v>GA</v>
      </c>
      <c r="G462" t="str">
        <f ca="1">IFERROR(__xludf.DUMMYFUNCTION("""COMPUTED_VALUE"""),"")</f>
        <v/>
      </c>
    </row>
    <row r="463" spans="1:7" ht="13.2" x14ac:dyDescent="0.25">
      <c r="A463" s="1" t="s">
        <v>24</v>
      </c>
      <c r="B463" t="str">
        <f ca="1">IFERROR(__xludf.DUMMYFUNCTION("""COMPUTED_VALUE"""),"Matarrita, Ronald")</f>
        <v>Matarrita, Ronald</v>
      </c>
      <c r="C463">
        <f ca="1">IFERROR(__xludf.DUMMYFUNCTION("""COMPUTED_VALUE"""),22)</f>
        <v>22</v>
      </c>
      <c r="D463" t="str">
        <f ca="1">IFERROR(__xludf.DUMMYFUNCTION("""COMPUTED_VALUE"""),"D")</f>
        <v>D</v>
      </c>
      <c r="E463" t="str">
        <f ca="1">IFERROR(__xludf.DUMMYFUNCTION("""COMPUTED_VALUE"""),"SeniorSR")</f>
        <v>SeniorSR</v>
      </c>
      <c r="F463" t="str">
        <f ca="1">IFERROR(__xludf.DUMMYFUNCTION("""COMPUTED_VALUE"""),"")</f>
        <v/>
      </c>
      <c r="G463" t="str">
        <f ca="1">IFERROR(__xludf.DUMMYFUNCTION("""COMPUTED_VALUE"""),"")</f>
        <v/>
      </c>
    </row>
    <row r="464" spans="1:7" ht="13.2" x14ac:dyDescent="0.25">
      <c r="A464" s="1" t="s">
        <v>24</v>
      </c>
      <c r="B464" t="str">
        <f ca="1">IFERROR(__xludf.DUMMYFUNCTION("""COMPUTED_VALUE"""),"McNamara, Thomas")</f>
        <v>McNamara, Thomas</v>
      </c>
      <c r="C464">
        <f ca="1">IFERROR(__xludf.DUMMYFUNCTION("""COMPUTED_VALUE"""),15)</f>
        <v>15</v>
      </c>
      <c r="D464" t="str">
        <f ca="1">IFERROR(__xludf.DUMMYFUNCTION("""COMPUTED_VALUE"""),"M")</f>
        <v>M</v>
      </c>
      <c r="E464" t="str">
        <f ca="1">IFERROR(__xludf.DUMMYFUNCTION("""COMPUTED_VALUE"""),"SeniorSR")</f>
        <v>SeniorSR</v>
      </c>
      <c r="F464" t="str">
        <f ca="1">IFERROR(__xludf.DUMMYFUNCTION("""COMPUTED_VALUE"""),"")</f>
        <v/>
      </c>
      <c r="G464" t="str">
        <f ca="1">IFERROR(__xludf.DUMMYFUNCTION("""COMPUTED_VALUE"""),"")</f>
        <v/>
      </c>
    </row>
    <row r="465" spans="1:7" ht="13.2" x14ac:dyDescent="0.25">
      <c r="A465" s="1" t="s">
        <v>24</v>
      </c>
      <c r="B465" t="str">
        <f ca="1">IFERROR(__xludf.DUMMYFUNCTION("""COMPUTED_VALUE"""),"Medina, Jesus")</f>
        <v>Medina, Jesus</v>
      </c>
      <c r="C465">
        <f ca="1">IFERROR(__xludf.DUMMYFUNCTION("""COMPUTED_VALUE"""),19)</f>
        <v>19</v>
      </c>
      <c r="D465" t="str">
        <f ca="1">IFERROR(__xludf.DUMMYFUNCTION("""COMPUTED_VALUE"""),"M")</f>
        <v>M</v>
      </c>
      <c r="E465" t="str">
        <f ca="1">IFERROR(__xludf.DUMMYFUNCTION("""COMPUTED_VALUE"""),"SeniorSR")</f>
        <v>SeniorSR</v>
      </c>
      <c r="F465" t="str">
        <f ca="1">IFERROR(__xludf.DUMMYFUNCTION("""COMPUTED_VALUE"""),"DP, INTL")</f>
        <v>DP, INTL</v>
      </c>
      <c r="G465" t="str">
        <f ca="1">IFERROR(__xludf.DUMMYFUNCTION("""COMPUTED_VALUE"""),"")</f>
        <v/>
      </c>
    </row>
    <row r="466" spans="1:7" ht="13.2" x14ac:dyDescent="0.25">
      <c r="A466" s="1" t="s">
        <v>24</v>
      </c>
      <c r="B466" t="str">
        <f ca="1">IFERROR(__xludf.DUMMYFUNCTION("""COMPUTED_VALUE"""),"Moralez, Maxi")</f>
        <v>Moralez, Maxi</v>
      </c>
      <c r="C466">
        <f ca="1">IFERROR(__xludf.DUMMYFUNCTION("""COMPUTED_VALUE"""),10)</f>
        <v>10</v>
      </c>
      <c r="D466" t="str">
        <f ca="1">IFERROR(__xludf.DUMMYFUNCTION("""COMPUTED_VALUE"""),"M")</f>
        <v>M</v>
      </c>
      <c r="E466" t="str">
        <f ca="1">IFERROR(__xludf.DUMMYFUNCTION("""COMPUTED_VALUE"""),"SeniorSR")</f>
        <v>SeniorSR</v>
      </c>
      <c r="F466" t="str">
        <f ca="1">IFERROR(__xludf.DUMMYFUNCTION("""COMPUTED_VALUE"""),"DP, INTL")</f>
        <v>DP, INTL</v>
      </c>
      <c r="G466" t="str">
        <f ca="1">IFERROR(__xludf.DUMMYFUNCTION("""COMPUTED_VALUE"""),"")</f>
        <v/>
      </c>
    </row>
    <row r="467" spans="1:7" ht="13.2" x14ac:dyDescent="0.25">
      <c r="A467" s="1" t="s">
        <v>24</v>
      </c>
      <c r="B467" t="str">
        <f ca="1">IFERROR(__xludf.DUMMYFUNCTION("""COMPUTED_VALUE"""),"Ofori, Ebenezer")</f>
        <v>Ofori, Ebenezer</v>
      </c>
      <c r="C467">
        <f ca="1">IFERROR(__xludf.DUMMYFUNCTION("""COMPUTED_VALUE"""),12)</f>
        <v>12</v>
      </c>
      <c r="D467" t="str">
        <f ca="1">IFERROR(__xludf.DUMMYFUNCTION("""COMPUTED_VALUE"""),"M")</f>
        <v>M</v>
      </c>
      <c r="E467" t="str">
        <f ca="1">IFERROR(__xludf.DUMMYFUNCTION("""COMPUTED_VALUE"""),"SeniorSR")</f>
        <v>SeniorSR</v>
      </c>
      <c r="F467" t="str">
        <f ca="1">IFERROR(__xludf.DUMMYFUNCTION("""COMPUTED_VALUE"""),"INTL")</f>
        <v>INTL</v>
      </c>
      <c r="G467" t="str">
        <f ca="1">IFERROR(__xludf.DUMMYFUNCTION("""COMPUTED_VALUE"""),"")</f>
        <v/>
      </c>
    </row>
    <row r="468" spans="1:7" ht="13.2" x14ac:dyDescent="0.25">
      <c r="A468" s="1" t="s">
        <v>24</v>
      </c>
      <c r="B468" t="str">
        <f ca="1">IFERROR(__xludf.DUMMYFUNCTION("""COMPUTED_VALUE"""),"Rawls, Andre")</f>
        <v>Rawls, Andre</v>
      </c>
      <c r="C468">
        <f ca="1">IFERROR(__xludf.DUMMYFUNCTION("""COMPUTED_VALUE"""),24)</f>
        <v>24</v>
      </c>
      <c r="D468" t="str">
        <f ca="1">IFERROR(__xludf.DUMMYFUNCTION("""COMPUTED_VALUE"""),"GK")</f>
        <v>GK</v>
      </c>
      <c r="E468" t="str">
        <f ca="1">IFERROR(__xludf.DUMMYFUNCTION("""COMPUTED_VALUE"""),"SupplementalSUP")</f>
        <v>SupplementalSUP</v>
      </c>
      <c r="F468" t="str">
        <f ca="1">IFERROR(__xludf.DUMMYFUNCTION("""COMPUTED_VALUE"""),"")</f>
        <v/>
      </c>
      <c r="G468" t="str">
        <f ca="1">IFERROR(__xludf.DUMMYFUNCTION("""COMPUTED_VALUE"""),"")</f>
        <v/>
      </c>
    </row>
    <row r="469" spans="1:7" ht="13.2" x14ac:dyDescent="0.25">
      <c r="A469" s="1" t="s">
        <v>24</v>
      </c>
      <c r="B469" t="str">
        <f ca="1">IFERROR(__xludf.DUMMYFUNCTION("""COMPUTED_VALUE"""),"Ring, Alexander")</f>
        <v>Ring, Alexander</v>
      </c>
      <c r="C469">
        <f ca="1">IFERROR(__xludf.DUMMYFUNCTION("""COMPUTED_VALUE"""),8)</f>
        <v>8</v>
      </c>
      <c r="D469" t="str">
        <f ca="1">IFERROR(__xludf.DUMMYFUNCTION("""COMPUTED_VALUE"""),"M")</f>
        <v>M</v>
      </c>
      <c r="E469" t="str">
        <f ca="1">IFERROR(__xludf.DUMMYFUNCTION("""COMPUTED_VALUE"""),"SeniorSR")</f>
        <v>SeniorSR</v>
      </c>
      <c r="F469" t="str">
        <f ca="1">IFERROR(__xludf.DUMMYFUNCTION("""COMPUTED_VALUE"""),"")</f>
        <v/>
      </c>
      <c r="G469" t="str">
        <f ca="1">IFERROR(__xludf.DUMMYFUNCTION("""COMPUTED_VALUE"""),"")</f>
        <v/>
      </c>
    </row>
    <row r="470" spans="1:7" ht="13.2" x14ac:dyDescent="0.25">
      <c r="A470" s="1" t="s">
        <v>24</v>
      </c>
      <c r="B470" t="str">
        <f ca="1">IFERROR(__xludf.DUMMYFUNCTION("""COMPUTED_VALUE"""),"Sands, James")</f>
        <v>Sands, James</v>
      </c>
      <c r="C470">
        <f ca="1">IFERROR(__xludf.DUMMYFUNCTION("""COMPUTED_VALUE"""),16)</f>
        <v>16</v>
      </c>
      <c r="D470" t="str">
        <f ca="1">IFERROR(__xludf.DUMMYFUNCTION("""COMPUTED_VALUE"""),"M")</f>
        <v>M</v>
      </c>
      <c r="E470" t="str">
        <f ca="1">IFERROR(__xludf.DUMMYFUNCTION("""COMPUTED_VALUE"""),"ReserveRES")</f>
        <v>ReserveRES</v>
      </c>
      <c r="F470" t="str">
        <f ca="1">IFERROR(__xludf.DUMMYFUNCTION("""COMPUTED_VALUE"""),"HG")</f>
        <v>HG</v>
      </c>
      <c r="G470" t="str">
        <f ca="1">IFERROR(__xludf.DUMMYFUNCTION("""COMPUTED_VALUE"""),"")</f>
        <v/>
      </c>
    </row>
    <row r="471" spans="1:7" ht="13.2" x14ac:dyDescent="0.25">
      <c r="A471" s="1" t="s">
        <v>24</v>
      </c>
      <c r="B471" t="str">
        <f ca="1">IFERROR(__xludf.DUMMYFUNCTION("""COMPUTED_VALUE"""),"Scally, Joe")</f>
        <v>Scally, Joe</v>
      </c>
      <c r="C471">
        <f ca="1">IFERROR(__xludf.DUMMYFUNCTION("""COMPUTED_VALUE"""),25)</f>
        <v>25</v>
      </c>
      <c r="D471" t="str">
        <f ca="1">IFERROR(__xludf.DUMMYFUNCTION("""COMPUTED_VALUE"""),"D")</f>
        <v>D</v>
      </c>
      <c r="E471" t="str">
        <f ca="1">IFERROR(__xludf.DUMMYFUNCTION("""COMPUTED_VALUE"""),"ReserveRES")</f>
        <v>ReserveRES</v>
      </c>
      <c r="F471" t="str">
        <f ca="1">IFERROR(__xludf.DUMMYFUNCTION("""COMPUTED_VALUE"""),"HG")</f>
        <v>HG</v>
      </c>
      <c r="G471" t="str">
        <f ca="1">IFERROR(__xludf.DUMMYFUNCTION("""COMPUTED_VALUE"""),"")</f>
        <v/>
      </c>
    </row>
    <row r="472" spans="1:7" ht="13.2" x14ac:dyDescent="0.25">
      <c r="A472" s="1" t="s">
        <v>24</v>
      </c>
      <c r="B472" t="str">
        <f ca="1">IFERROR(__xludf.DUMMYFUNCTION("""COMPUTED_VALUE"""),"Stuver, Brad")</f>
        <v>Stuver, Brad</v>
      </c>
      <c r="C472">
        <f ca="1">IFERROR(__xludf.DUMMYFUNCTION("""COMPUTED_VALUE"""),41)</f>
        <v>41</v>
      </c>
      <c r="D472" t="str">
        <f ca="1">IFERROR(__xludf.DUMMYFUNCTION("""COMPUTED_VALUE"""),"GK")</f>
        <v>GK</v>
      </c>
      <c r="E472" t="str">
        <f ca="1">IFERROR(__xludf.DUMMYFUNCTION("""COMPUTED_VALUE"""),"SeniorSR")</f>
        <v>SeniorSR</v>
      </c>
      <c r="F472" t="str">
        <f ca="1">IFERROR(__xludf.DUMMYFUNCTION("""COMPUTED_VALUE"""),"")</f>
        <v/>
      </c>
      <c r="G472" t="str">
        <f ca="1">IFERROR(__xludf.DUMMYFUNCTION("""COMPUTED_VALUE"""),"")</f>
        <v/>
      </c>
    </row>
    <row r="473" spans="1:7" ht="13.2" x14ac:dyDescent="0.25">
      <c r="A473" s="1" t="s">
        <v>24</v>
      </c>
      <c r="B473" t="str">
        <f ca="1">IFERROR(__xludf.DUMMYFUNCTION("""COMPUTED_VALUE"""),"Sweat, Ben")</f>
        <v>Sweat, Ben</v>
      </c>
      <c r="C473">
        <f ca="1">IFERROR(__xludf.DUMMYFUNCTION("""COMPUTED_VALUE"""),2)</f>
        <v>2</v>
      </c>
      <c r="D473" t="str">
        <f ca="1">IFERROR(__xludf.DUMMYFUNCTION("""COMPUTED_VALUE"""),"D")</f>
        <v>D</v>
      </c>
      <c r="E473" t="str">
        <f ca="1">IFERROR(__xludf.DUMMYFUNCTION("""COMPUTED_VALUE"""),"SupplementalSUP")</f>
        <v>SupplementalSUP</v>
      </c>
      <c r="F473" t="str">
        <f ca="1">IFERROR(__xludf.DUMMYFUNCTION("""COMPUTED_VALUE"""),"")</f>
        <v/>
      </c>
      <c r="G473" t="str">
        <f ca="1">IFERROR(__xludf.DUMMYFUNCTION("""COMPUTED_VALUE"""),"")</f>
        <v/>
      </c>
    </row>
    <row r="474" spans="1:7" ht="13.2" x14ac:dyDescent="0.25">
      <c r="A474" s="1" t="s">
        <v>24</v>
      </c>
      <c r="B474" t="str">
        <f ca="1">IFERROR(__xludf.DUMMYFUNCTION("""COMPUTED_VALUE"""),"Tajouri-Shradi, Ismael")</f>
        <v>Tajouri-Shradi, Ismael</v>
      </c>
      <c r="C474">
        <f ca="1">IFERROR(__xludf.DUMMYFUNCTION("""COMPUTED_VALUE"""),29)</f>
        <v>29</v>
      </c>
      <c r="D474" t="str">
        <f ca="1">IFERROR(__xludf.DUMMYFUNCTION("""COMPUTED_VALUE"""),"F")</f>
        <v>F</v>
      </c>
      <c r="E474" t="str">
        <f ca="1">IFERROR(__xludf.DUMMYFUNCTION("""COMPUTED_VALUE"""),"SeniorSR")</f>
        <v>SeniorSR</v>
      </c>
      <c r="F474" t="str">
        <f ca="1">IFERROR(__xludf.DUMMYFUNCTION("""COMPUTED_VALUE"""),"INTL")</f>
        <v>INTL</v>
      </c>
      <c r="G474" t="str">
        <f ca="1">IFERROR(__xludf.DUMMYFUNCTION("""COMPUTED_VALUE"""),"")</f>
        <v/>
      </c>
    </row>
    <row r="475" spans="1:7" ht="13.2" x14ac:dyDescent="0.25">
      <c r="A475" s="1" t="s">
        <v>24</v>
      </c>
      <c r="B475" t="str">
        <f ca="1">IFERROR(__xludf.DUMMYFUNCTION("""COMPUTED_VALUE"""),"Tinnerholm, Anton")</f>
        <v>Tinnerholm, Anton</v>
      </c>
      <c r="C475">
        <f ca="1">IFERROR(__xludf.DUMMYFUNCTION("""COMPUTED_VALUE"""),3)</f>
        <v>3</v>
      </c>
      <c r="D475" t="str">
        <f ca="1">IFERROR(__xludf.DUMMYFUNCTION("""COMPUTED_VALUE"""),"D")</f>
        <v>D</v>
      </c>
      <c r="E475" t="str">
        <f ca="1">IFERROR(__xludf.DUMMYFUNCTION("""COMPUTED_VALUE"""),"SeniorSR")</f>
        <v>SeniorSR</v>
      </c>
      <c r="F475" t="str">
        <f ca="1">IFERROR(__xludf.DUMMYFUNCTION("""COMPUTED_VALUE"""),"INTL")</f>
        <v>INTL</v>
      </c>
      <c r="G475" t="str">
        <f ca="1">IFERROR(__xludf.DUMMYFUNCTION("""COMPUTED_VALUE"""),"")</f>
        <v/>
      </c>
    </row>
    <row r="476" spans="1:7" ht="13.2" x14ac:dyDescent="0.25">
      <c r="A476" s="1" t="s">
        <v>24</v>
      </c>
      <c r="B476" t="str">
        <f ca="1">IFERROR(__xludf.DUMMYFUNCTION("""COMPUTED_VALUE"""),"Villa, David")</f>
        <v>Villa, David</v>
      </c>
      <c r="C476">
        <f ca="1">IFERROR(__xludf.DUMMYFUNCTION("""COMPUTED_VALUE"""),7)</f>
        <v>7</v>
      </c>
      <c r="D476" t="str">
        <f ca="1">IFERROR(__xludf.DUMMYFUNCTION("""COMPUTED_VALUE"""),"F")</f>
        <v>F</v>
      </c>
      <c r="E476" t="str">
        <f ca="1">IFERROR(__xludf.DUMMYFUNCTION("""COMPUTED_VALUE"""),"SeniorSR")</f>
        <v>SeniorSR</v>
      </c>
      <c r="F476" t="str">
        <f ca="1">IFERROR(__xludf.DUMMYFUNCTION("""COMPUTED_VALUE"""),"DP, INTL")</f>
        <v>DP, INTL</v>
      </c>
      <c r="G476" t="str">
        <f ca="1">IFERROR(__xludf.DUMMYFUNCTION("""COMPUTED_VALUE"""),"")</f>
        <v/>
      </c>
    </row>
    <row r="477" spans="1:7" ht="13.2" x14ac:dyDescent="0.25">
      <c r="A477" s="1" t="s">
        <v>24</v>
      </c>
      <c r="B477" t="str">
        <f ca="1">IFERROR(__xludf.DUMMYFUNCTION("""COMPUTED_VALUE"""),"Wallace, Rodney")</f>
        <v>Wallace, Rodney</v>
      </c>
      <c r="C477">
        <f ca="1">IFERROR(__xludf.DUMMYFUNCTION("""COMPUTED_VALUE"""),23)</f>
        <v>23</v>
      </c>
      <c r="D477" t="str">
        <f ca="1">IFERROR(__xludf.DUMMYFUNCTION("""COMPUTED_VALUE"""),"F")</f>
        <v>F</v>
      </c>
      <c r="E477" t="str">
        <f ca="1">IFERROR(__xludf.DUMMYFUNCTION("""COMPUTED_VALUE"""),"SeniorSR")</f>
        <v>SeniorSR</v>
      </c>
      <c r="F477" t="str">
        <f ca="1">IFERROR(__xludf.DUMMYFUNCTION("""COMPUTED_VALUE"""),"")</f>
        <v/>
      </c>
      <c r="G477" t="str">
        <f ca="1">IFERROR(__xludf.DUMMYFUNCTION("""COMPUTED_VALUE"""),"")</f>
        <v/>
      </c>
    </row>
    <row r="478" spans="1:7" ht="13.2" x14ac:dyDescent="0.25">
      <c r="A478" s="1" t="s">
        <v>24</v>
      </c>
      <c r="B478" t="str">
        <f ca="1">IFERROR(__xludf.DUMMYFUNCTION("""COMPUTED_VALUE"""),"")</f>
        <v/>
      </c>
      <c r="C478" t="str">
        <f ca="1">IFERROR(__xludf.DUMMYFUNCTION("""COMPUTED_VALUE"""),"")</f>
        <v/>
      </c>
      <c r="D478" t="str">
        <f ca="1">IFERROR(__xludf.DUMMYFUNCTION("""COMPUTED_VALUE"""),"")</f>
        <v/>
      </c>
      <c r="E478" t="str">
        <f ca="1">IFERROR(__xludf.DUMMYFUNCTION("""COMPUTED_VALUE"""),"")</f>
        <v/>
      </c>
      <c r="F478" t="str">
        <f ca="1">IFERROR(__xludf.DUMMYFUNCTION("""COMPUTED_VALUE"""),"")</f>
        <v/>
      </c>
      <c r="G478" t="str">
        <f ca="1">IFERROR(__xludf.DUMMYFUNCTION("""COMPUTED_VALUE"""),"")</f>
        <v/>
      </c>
    </row>
    <row r="479" spans="1:7" ht="13.2" x14ac:dyDescent="0.25">
      <c r="A479" s="1" t="s">
        <v>24</v>
      </c>
      <c r="B479" t="str">
        <f ca="1">IFERROR(__xludf.DUMMYFUNCTION("""COMPUTED_VALUE"""),"29 of 30 spots filled")</f>
        <v>29 of 30 spots filled</v>
      </c>
      <c r="C479" t="str">
        <f ca="1">IFERROR(__xludf.DUMMYFUNCTION("""COMPUTED_VALUE"""),"")</f>
        <v/>
      </c>
      <c r="D479" t="str">
        <f ca="1">IFERROR(__xludf.DUMMYFUNCTION("""COMPUTED_VALUE"""),"")</f>
        <v/>
      </c>
      <c r="E479" t="str">
        <f ca="1">IFERROR(__xludf.DUMMYFUNCTION("""COMPUTED_VALUE"""),"")</f>
        <v/>
      </c>
      <c r="F479" t="str">
        <f ca="1">IFERROR(__xludf.DUMMYFUNCTION("""COMPUTED_VALUE"""),"")</f>
        <v/>
      </c>
      <c r="G479" t="str">
        <f ca="1">IFERROR(__xludf.DUMMYFUNCTION("""COMPUTED_VALUE"""),"")</f>
        <v/>
      </c>
    </row>
    <row r="480" spans="1:7" ht="13.2" x14ac:dyDescent="0.25">
      <c r="A480" s="1" t="s">
        <v>24</v>
      </c>
    </row>
    <row r="481" spans="1:7" ht="13.2" x14ac:dyDescent="0.25">
      <c r="A481" s="1" t="s">
        <v>24</v>
      </c>
    </row>
    <row r="482" spans="1:7" ht="13.2" x14ac:dyDescent="0.25">
      <c r="A482" s="1" t="s">
        <v>24</v>
      </c>
    </row>
    <row r="483" spans="1:7" ht="13.2" x14ac:dyDescent="0.25">
      <c r="A483" s="1" t="s">
        <v>24</v>
      </c>
    </row>
    <row r="484" spans="1:7" ht="13.2" x14ac:dyDescent="0.25">
      <c r="A484" s="1" t="s">
        <v>24</v>
      </c>
    </row>
    <row r="486" spans="1:7" ht="13.2" x14ac:dyDescent="0.25">
      <c r="B486" t="str">
        <f ca="1">IFERROR(__xludf.DUMMYFUNCTION("IMPORTHTML(""http://www.mlssoccer.com/rosters/2018/orlando-city"", ""table"", 1)"),"30-man Active Roster (Spots 1-30)")</f>
        <v>30-man Active Roster (Spots 1-30)</v>
      </c>
      <c r="C486" t="str">
        <f ca="1">IFERROR(__xludf.DUMMYFUNCTION("""COMPUTED_VALUE"""),"#")</f>
        <v>#</v>
      </c>
      <c r="D486" t="str">
        <f ca="1">IFERROR(__xludf.DUMMYFUNCTION("""COMPUTED_VALUE"""),"POS")</f>
        <v>POS</v>
      </c>
      <c r="E486" t="str">
        <f ca="1">IFERROR(__xludf.DUMMYFUNCTION("""COMPUTED_VALUE"""),"ROSTER STATUSR.S.")</f>
        <v>ROSTER STATUSR.S.</v>
      </c>
      <c r="F486" t="str">
        <f ca="1">IFERROR(__xludf.DUMMYFUNCTION("""COMPUTED_VALUE"""),"PLAYER CATEGORYCAT.")</f>
        <v>PLAYER CATEGORYCAT.</v>
      </c>
      <c r="G486" t="str">
        <f ca="1">IFERROR(__xludf.DUMMYFUNCTION("""COMPUTED_VALUE"""),"*NOTE*")</f>
        <v>*NOTE*</v>
      </c>
    </row>
    <row r="487" spans="1:7" ht="13.2" x14ac:dyDescent="0.25">
      <c r="A487" s="1" t="s">
        <v>25</v>
      </c>
      <c r="B487" t="str">
        <f ca="1">IFERROR(__xludf.DUMMYFUNCTION("""COMPUTED_VALUE"""),"Allen, RJ")</f>
        <v>Allen, RJ</v>
      </c>
      <c r="C487">
        <f ca="1">IFERROR(__xludf.DUMMYFUNCTION("""COMPUTED_VALUE"""),27)</f>
        <v>27</v>
      </c>
      <c r="D487" t="str">
        <f ca="1">IFERROR(__xludf.DUMMYFUNCTION("""COMPUTED_VALUE"""),"D")</f>
        <v>D</v>
      </c>
      <c r="E487" t="str">
        <f ca="1">IFERROR(__xludf.DUMMYFUNCTION("""COMPUTED_VALUE"""),"SeniorSR")</f>
        <v>SeniorSR</v>
      </c>
      <c r="F487" t="str">
        <f ca="1">IFERROR(__xludf.DUMMYFUNCTION("""COMPUTED_VALUE"""),"")</f>
        <v/>
      </c>
      <c r="G487" t="str">
        <f ca="1">IFERROR(__xludf.DUMMYFUNCTION("""COMPUTED_VALUE"""),"")</f>
        <v/>
      </c>
    </row>
    <row r="488" spans="1:7" ht="13.2" x14ac:dyDescent="0.25">
      <c r="A488" s="1" t="s">
        <v>25</v>
      </c>
      <c r="B488" t="str">
        <f ca="1">IFERROR(__xludf.DUMMYFUNCTION("""COMPUTED_VALUE"""),"Ascues, Carlos")</f>
        <v>Ascues, Carlos</v>
      </c>
      <c r="C488">
        <f ca="1">IFERROR(__xludf.DUMMYFUNCTION("""COMPUTED_VALUE"""),26)</f>
        <v>26</v>
      </c>
      <c r="D488" t="str">
        <f ca="1">IFERROR(__xludf.DUMMYFUNCTION("""COMPUTED_VALUE"""),"D")</f>
        <v>D</v>
      </c>
      <c r="E488" t="str">
        <f ca="1">IFERROR(__xludf.DUMMYFUNCTION("""COMPUTED_VALUE"""),"SeniorSR")</f>
        <v>SeniorSR</v>
      </c>
      <c r="F488" t="str">
        <f ca="1">IFERROR(__xludf.DUMMYFUNCTION("""COMPUTED_VALUE"""),"INTL")</f>
        <v>INTL</v>
      </c>
      <c r="G488" t="str">
        <f ca="1">IFERROR(__xludf.DUMMYFUNCTION("""COMPUTED_VALUE"""),"")</f>
        <v/>
      </c>
    </row>
    <row r="489" spans="1:7" ht="13.2" x14ac:dyDescent="0.25">
      <c r="A489" s="1" t="s">
        <v>25</v>
      </c>
      <c r="B489" t="str">
        <f ca="1">IFERROR(__xludf.DUMMYFUNCTION("""COMPUTED_VALUE"""),"Bendik, Joe")</f>
        <v>Bendik, Joe</v>
      </c>
      <c r="C489">
        <f ca="1">IFERROR(__xludf.DUMMYFUNCTION("""COMPUTED_VALUE"""),1)</f>
        <v>1</v>
      </c>
      <c r="D489" t="str">
        <f ca="1">IFERROR(__xludf.DUMMYFUNCTION("""COMPUTED_VALUE"""),"GK")</f>
        <v>GK</v>
      </c>
      <c r="E489" t="str">
        <f ca="1">IFERROR(__xludf.DUMMYFUNCTION("""COMPUTED_VALUE"""),"SeniorSR")</f>
        <v>SeniorSR</v>
      </c>
      <c r="F489" t="str">
        <f ca="1">IFERROR(__xludf.DUMMYFUNCTION("""COMPUTED_VALUE"""),"")</f>
        <v/>
      </c>
      <c r="G489" t="str">
        <f ca="1">IFERROR(__xludf.DUMMYFUNCTION("""COMPUTED_VALUE"""),"")</f>
        <v/>
      </c>
    </row>
    <row r="490" spans="1:7" ht="13.2" x14ac:dyDescent="0.25">
      <c r="A490" s="1" t="s">
        <v>25</v>
      </c>
      <c r="B490" t="str">
        <f ca="1">IFERROR(__xludf.DUMMYFUNCTION("""COMPUTED_VALUE"""),"Colman, Josue")</f>
        <v>Colman, Josue</v>
      </c>
      <c r="C490">
        <f ca="1">IFERROR(__xludf.DUMMYFUNCTION("""COMPUTED_VALUE"""),10)</f>
        <v>10</v>
      </c>
      <c r="D490" t="str">
        <f ca="1">IFERROR(__xludf.DUMMYFUNCTION("""COMPUTED_VALUE"""),"M")</f>
        <v>M</v>
      </c>
      <c r="E490" t="str">
        <f ca="1">IFERROR(__xludf.DUMMYFUNCTION("""COMPUTED_VALUE"""),"SeniorSR")</f>
        <v>SeniorSR</v>
      </c>
      <c r="F490" t="str">
        <f ca="1">IFERROR(__xludf.DUMMYFUNCTION("""COMPUTED_VALUE"""),"Young DPYDP, INTL")</f>
        <v>Young DPYDP, INTL</v>
      </c>
      <c r="G490" t="str">
        <f ca="1">IFERROR(__xludf.DUMMYFUNCTION("""COMPUTED_VALUE"""),"")</f>
        <v/>
      </c>
    </row>
    <row r="491" spans="1:7" ht="13.2" x14ac:dyDescent="0.25">
      <c r="A491" s="1" t="s">
        <v>25</v>
      </c>
      <c r="B491" t="str">
        <f ca="1">IFERROR(__xludf.DUMMYFUNCTION("""COMPUTED_VALUE"""),"Da Silva, Pierre")</f>
        <v>Da Silva, Pierre</v>
      </c>
      <c r="C491">
        <f ca="1">IFERROR(__xludf.DUMMYFUNCTION("""COMPUTED_VALUE"""),11)</f>
        <v>11</v>
      </c>
      <c r="D491" t="str">
        <f ca="1">IFERROR(__xludf.DUMMYFUNCTION("""COMPUTED_VALUE"""),"M")</f>
        <v>M</v>
      </c>
      <c r="E491" t="str">
        <f ca="1">IFERROR(__xludf.DUMMYFUNCTION("""COMPUTED_VALUE"""),"ReserveRES")</f>
        <v>ReserveRES</v>
      </c>
      <c r="F491" t="str">
        <f ca="1">IFERROR(__xludf.DUMMYFUNCTION("""COMPUTED_VALUE"""),"")</f>
        <v/>
      </c>
      <c r="G491" t="str">
        <f ca="1">IFERROR(__xludf.DUMMYFUNCTION("""COMPUTED_VALUE"""),"")</f>
        <v/>
      </c>
    </row>
    <row r="492" spans="1:7" ht="13.2" x14ac:dyDescent="0.25">
      <c r="A492" s="1" t="s">
        <v>25</v>
      </c>
      <c r="B492" t="str">
        <f ca="1">IFERROR(__xludf.DUMMYFUNCTION("""COMPUTED_VALUE"""),"Dwyer, Dom")</f>
        <v>Dwyer, Dom</v>
      </c>
      <c r="C492">
        <f ca="1">IFERROR(__xludf.DUMMYFUNCTION("""COMPUTED_VALUE"""),14)</f>
        <v>14</v>
      </c>
      <c r="D492" t="str">
        <f ca="1">IFERROR(__xludf.DUMMYFUNCTION("""COMPUTED_VALUE"""),"F")</f>
        <v>F</v>
      </c>
      <c r="E492" t="str">
        <f ca="1">IFERROR(__xludf.DUMMYFUNCTION("""COMPUTED_VALUE"""),"SeniorSR")</f>
        <v>SeniorSR</v>
      </c>
      <c r="F492" t="str">
        <f ca="1">IFERROR(__xludf.DUMMYFUNCTION("""COMPUTED_VALUE"""),"DP")</f>
        <v>DP</v>
      </c>
      <c r="G492" t="str">
        <f ca="1">IFERROR(__xludf.DUMMYFUNCTION("""COMPUTED_VALUE"""),"")</f>
        <v/>
      </c>
    </row>
    <row r="493" spans="1:7" ht="13.2" x14ac:dyDescent="0.25">
      <c r="A493" s="1" t="s">
        <v>25</v>
      </c>
      <c r="B493" t="str">
        <f ca="1">IFERROR(__xludf.DUMMYFUNCTION("""COMPUTED_VALUE"""),"Edwards Jr., Earl")</f>
        <v>Edwards Jr., Earl</v>
      </c>
      <c r="C493">
        <f ca="1">IFERROR(__xludf.DUMMYFUNCTION("""COMPUTED_VALUE"""),36)</f>
        <v>36</v>
      </c>
      <c r="D493" t="str">
        <f ca="1">IFERROR(__xludf.DUMMYFUNCTION("""COMPUTED_VALUE"""),"GK")</f>
        <v>GK</v>
      </c>
      <c r="E493" t="str">
        <f ca="1">IFERROR(__xludf.DUMMYFUNCTION("""COMPUTED_VALUE"""),"SupplementalSUP")</f>
        <v>SupplementalSUP</v>
      </c>
      <c r="F493" t="str">
        <f ca="1">IFERROR(__xludf.DUMMYFUNCTION("""COMPUTED_VALUE"""),"")</f>
        <v/>
      </c>
      <c r="G493" t="str">
        <f ca="1">IFERROR(__xludf.DUMMYFUNCTION("""COMPUTED_VALUE"""),"")</f>
        <v/>
      </c>
    </row>
    <row r="494" spans="1:7" ht="13.2" x14ac:dyDescent="0.25">
      <c r="A494" s="1" t="s">
        <v>25</v>
      </c>
      <c r="B494" t="str">
        <f ca="1">IFERROR(__xludf.DUMMYFUNCTION("""COMPUTED_VALUE"""),"El-Munir, Mohamed")</f>
        <v>El-Munir, Mohamed</v>
      </c>
      <c r="C494">
        <f ca="1">IFERROR(__xludf.DUMMYFUNCTION("""COMPUTED_VALUE"""),13)</f>
        <v>13</v>
      </c>
      <c r="D494" t="str">
        <f ca="1">IFERROR(__xludf.DUMMYFUNCTION("""COMPUTED_VALUE"""),"D")</f>
        <v>D</v>
      </c>
      <c r="E494" t="str">
        <f ca="1">IFERROR(__xludf.DUMMYFUNCTION("""COMPUTED_VALUE"""),"SeniorSR")</f>
        <v>SeniorSR</v>
      </c>
      <c r="F494" t="str">
        <f ca="1">IFERROR(__xludf.DUMMYFUNCTION("""COMPUTED_VALUE"""),"INTL")</f>
        <v>INTL</v>
      </c>
      <c r="G494" t="str">
        <f ca="1">IFERROR(__xludf.DUMMYFUNCTION("""COMPUTED_VALUE"""),"")</f>
        <v/>
      </c>
    </row>
    <row r="495" spans="1:7" ht="13.2" x14ac:dyDescent="0.25">
      <c r="A495" s="1" t="s">
        <v>25</v>
      </c>
      <c r="B495" t="str">
        <f ca="1">IFERROR(__xludf.DUMMYFUNCTION("""COMPUTED_VALUE"""),"Grinwis, Adam")</f>
        <v>Grinwis, Adam</v>
      </c>
      <c r="C495">
        <f ca="1">IFERROR(__xludf.DUMMYFUNCTION("""COMPUTED_VALUE"""),99)</f>
        <v>99</v>
      </c>
      <c r="D495" t="str">
        <f ca="1">IFERROR(__xludf.DUMMYFUNCTION("""COMPUTED_VALUE"""),"GK")</f>
        <v>GK</v>
      </c>
      <c r="E495" t="str">
        <f ca="1">IFERROR(__xludf.DUMMYFUNCTION("""COMPUTED_VALUE"""),"SupplementalSUP")</f>
        <v>SupplementalSUP</v>
      </c>
      <c r="F495" t="str">
        <f ca="1">IFERROR(__xludf.DUMMYFUNCTION("""COMPUTED_VALUE"""),"")</f>
        <v/>
      </c>
      <c r="G495" t="str">
        <f ca="1">IFERROR(__xludf.DUMMYFUNCTION("""COMPUTED_VALUE"""),"")</f>
        <v/>
      </c>
    </row>
    <row r="496" spans="1:7" ht="13.2" x14ac:dyDescent="0.25">
      <c r="A496" s="1" t="s">
        <v>25</v>
      </c>
      <c r="B496" t="str">
        <f ca="1">IFERROR(__xludf.DUMMYFUNCTION("""COMPUTED_VALUE"""),"Higuita, Cristian")</f>
        <v>Higuita, Cristian</v>
      </c>
      <c r="C496">
        <f ca="1">IFERROR(__xludf.DUMMYFUNCTION("""COMPUTED_VALUE"""),7)</f>
        <v>7</v>
      </c>
      <c r="D496" t="str">
        <f ca="1">IFERROR(__xludf.DUMMYFUNCTION("""COMPUTED_VALUE"""),"M")</f>
        <v>M</v>
      </c>
      <c r="E496" t="str">
        <f ca="1">IFERROR(__xludf.DUMMYFUNCTION("""COMPUTED_VALUE"""),"SeniorSR")</f>
        <v>SeniorSR</v>
      </c>
      <c r="F496" t="str">
        <f ca="1">IFERROR(__xludf.DUMMYFUNCTION("""COMPUTED_VALUE"""),"")</f>
        <v/>
      </c>
      <c r="G496" t="str">
        <f ca="1">IFERROR(__xludf.DUMMYFUNCTION("""COMPUTED_VALUE"""),"")</f>
        <v/>
      </c>
    </row>
    <row r="497" spans="1:7" ht="13.2" x14ac:dyDescent="0.25">
      <c r="A497" s="1" t="s">
        <v>25</v>
      </c>
      <c r="B497" t="str">
        <f ca="1">IFERROR(__xludf.DUMMYFUNCTION("""COMPUTED_VALUE"""),"Johnson, Will")</f>
        <v>Johnson, Will</v>
      </c>
      <c r="C497">
        <f ca="1">IFERROR(__xludf.DUMMYFUNCTION("""COMPUTED_VALUE"""),4)</f>
        <v>4</v>
      </c>
      <c r="D497" t="str">
        <f ca="1">IFERROR(__xludf.DUMMYFUNCTION("""COMPUTED_VALUE"""),"M")</f>
        <v>M</v>
      </c>
      <c r="E497" t="str">
        <f ca="1">IFERROR(__xludf.DUMMYFUNCTION("""COMPUTED_VALUE"""),"SeniorSR")</f>
        <v>SeniorSR</v>
      </c>
      <c r="F497" t="str">
        <f ca="1">IFERROR(__xludf.DUMMYFUNCTION("""COMPUTED_VALUE"""),"")</f>
        <v/>
      </c>
      <c r="G497" t="str">
        <f ca="1">IFERROR(__xludf.DUMMYFUNCTION("""COMPUTED_VALUE"""),"")</f>
        <v/>
      </c>
    </row>
    <row r="498" spans="1:7" ht="13.2" x14ac:dyDescent="0.25">
      <c r="A498" s="1" t="s">
        <v>25</v>
      </c>
      <c r="B498" t="str">
        <f ca="1">IFERROR(__xludf.DUMMYFUNCTION("""COMPUTED_VALUE"""),"Kljestan, Sacha")</f>
        <v>Kljestan, Sacha</v>
      </c>
      <c r="C498">
        <f ca="1">IFERROR(__xludf.DUMMYFUNCTION("""COMPUTED_VALUE"""),16)</f>
        <v>16</v>
      </c>
      <c r="D498" t="str">
        <f ca="1">IFERROR(__xludf.DUMMYFUNCTION("""COMPUTED_VALUE"""),"M")</f>
        <v>M</v>
      </c>
      <c r="E498" t="str">
        <f ca="1">IFERROR(__xludf.DUMMYFUNCTION("""COMPUTED_VALUE"""),"SeniorSR")</f>
        <v>SeniorSR</v>
      </c>
      <c r="F498" t="str">
        <f ca="1">IFERROR(__xludf.DUMMYFUNCTION("""COMPUTED_VALUE"""),"DP")</f>
        <v>DP</v>
      </c>
      <c r="G498" t="str">
        <f ca="1">IFERROR(__xludf.DUMMYFUNCTION("""COMPUTED_VALUE"""),"")</f>
        <v/>
      </c>
    </row>
    <row r="499" spans="1:7" ht="13.2" x14ac:dyDescent="0.25">
      <c r="A499" s="1" t="s">
        <v>25</v>
      </c>
      <c r="B499" t="str">
        <f ca="1">IFERROR(__xludf.DUMMYFUNCTION("""COMPUTED_VALUE"""),"Laryea, Richmond")</f>
        <v>Laryea, Richmond</v>
      </c>
      <c r="C499">
        <f ca="1">IFERROR(__xludf.DUMMYFUNCTION("""COMPUTED_VALUE"""),6)</f>
        <v>6</v>
      </c>
      <c r="D499" t="str">
        <f ca="1">IFERROR(__xludf.DUMMYFUNCTION("""COMPUTED_VALUE"""),"M")</f>
        <v>M</v>
      </c>
      <c r="E499" t="str">
        <f ca="1">IFERROR(__xludf.DUMMYFUNCTION("""COMPUTED_VALUE"""),"SupplementalSUP")</f>
        <v>SupplementalSUP</v>
      </c>
      <c r="F499" t="str">
        <f ca="1">IFERROR(__xludf.DUMMYFUNCTION("""COMPUTED_VALUE"""),"GA")</f>
        <v>GA</v>
      </c>
      <c r="G499" t="str">
        <f ca="1">IFERROR(__xludf.DUMMYFUNCTION("""COMPUTED_VALUE"""),"")</f>
        <v/>
      </c>
    </row>
    <row r="500" spans="1:7" ht="13.2" x14ac:dyDescent="0.25">
      <c r="A500" s="1" t="s">
        <v>25</v>
      </c>
      <c r="B500" t="str">
        <f ca="1">IFERROR(__xludf.DUMMYFUNCTION("""COMPUTED_VALUE"""),"Lindley, Cameron")</f>
        <v>Lindley, Cameron</v>
      </c>
      <c r="C500">
        <f ca="1">IFERROR(__xludf.DUMMYFUNCTION("""COMPUTED_VALUE"""),15)</f>
        <v>15</v>
      </c>
      <c r="D500" t="str">
        <f ca="1">IFERROR(__xludf.DUMMYFUNCTION("""COMPUTED_VALUE"""),"M")</f>
        <v>M</v>
      </c>
      <c r="E500" t="str">
        <f ca="1">IFERROR(__xludf.DUMMYFUNCTION("""COMPUTED_VALUE"""),"ReserveRES")</f>
        <v>ReserveRES</v>
      </c>
      <c r="F500" t="str">
        <f ca="1">IFERROR(__xludf.DUMMYFUNCTION("""COMPUTED_VALUE"""),"HG")</f>
        <v>HG</v>
      </c>
      <c r="G500" t="str">
        <f ca="1">IFERROR(__xludf.DUMMYFUNCTION("""COMPUTED_VALUE"""),"")</f>
        <v/>
      </c>
    </row>
    <row r="501" spans="1:7" ht="13.2" x14ac:dyDescent="0.25">
      <c r="A501" s="1" t="s">
        <v>25</v>
      </c>
      <c r="B501" t="str">
        <f ca="1">IFERROR(__xludf.DUMMYFUNCTION("""COMPUTED_VALUE"""),"Mueller, Chris")</f>
        <v>Mueller, Chris</v>
      </c>
      <c r="C501">
        <f ca="1">IFERROR(__xludf.DUMMYFUNCTION("""COMPUTED_VALUE"""),17)</f>
        <v>17</v>
      </c>
      <c r="D501" t="str">
        <f ca="1">IFERROR(__xludf.DUMMYFUNCTION("""COMPUTED_VALUE"""),"F")</f>
        <v>F</v>
      </c>
      <c r="E501" t="str">
        <f ca="1">IFERROR(__xludf.DUMMYFUNCTION("""COMPUTED_VALUE"""),"ReserveRES")</f>
        <v>ReserveRES</v>
      </c>
      <c r="F501" t="str">
        <f ca="1">IFERROR(__xludf.DUMMYFUNCTION("""COMPUTED_VALUE"""),"")</f>
        <v/>
      </c>
      <c r="G501" t="str">
        <f ca="1">IFERROR(__xludf.DUMMYFUNCTION("""COMPUTED_VALUE"""),"")</f>
        <v/>
      </c>
    </row>
    <row r="502" spans="1:7" ht="13.2" x14ac:dyDescent="0.25">
      <c r="A502" s="1" t="s">
        <v>25</v>
      </c>
      <c r="B502" t="str">
        <f ca="1">IFERROR(__xludf.DUMMYFUNCTION("""COMPUTED_VALUE"""),"O'Neill, Shane")</f>
        <v>O'Neill, Shane</v>
      </c>
      <c r="C502">
        <f ca="1">IFERROR(__xludf.DUMMYFUNCTION("""COMPUTED_VALUE"""),12)</f>
        <v>12</v>
      </c>
      <c r="D502" t="str">
        <f ca="1">IFERROR(__xludf.DUMMYFUNCTION("""COMPUTED_VALUE"""),"D")</f>
        <v>D</v>
      </c>
      <c r="E502" t="str">
        <f ca="1">IFERROR(__xludf.DUMMYFUNCTION("""COMPUTED_VALUE"""),"ReserveRES")</f>
        <v>ReserveRES</v>
      </c>
      <c r="F502" t="str">
        <f ca="1">IFERROR(__xludf.DUMMYFUNCTION("""COMPUTED_VALUE"""),"")</f>
        <v/>
      </c>
      <c r="G502" t="str">
        <f ca="1">IFERROR(__xludf.DUMMYFUNCTION("""COMPUTED_VALUE"""),"")</f>
        <v/>
      </c>
    </row>
    <row r="503" spans="1:7" ht="13.2" x14ac:dyDescent="0.25">
      <c r="A503" s="1" t="s">
        <v>25</v>
      </c>
      <c r="B503" t="str">
        <f ca="1">IFERROR(__xludf.DUMMYFUNCTION("""COMPUTED_VALUE"""),"PC")</f>
        <v>PC</v>
      </c>
      <c r="C503">
        <f ca="1">IFERROR(__xludf.DUMMYFUNCTION("""COMPUTED_VALUE"""),94)</f>
        <v>94</v>
      </c>
      <c r="D503" t="str">
        <f ca="1">IFERROR(__xludf.DUMMYFUNCTION("""COMPUTED_VALUE"""),"D")</f>
        <v>D</v>
      </c>
      <c r="E503" t="str">
        <f ca="1">IFERROR(__xludf.DUMMYFUNCTION("""COMPUTED_VALUE"""),"SeniorSR")</f>
        <v>SeniorSR</v>
      </c>
      <c r="F503" t="str">
        <f ca="1">IFERROR(__xludf.DUMMYFUNCTION("""COMPUTED_VALUE"""),"")</f>
        <v/>
      </c>
      <c r="G503" t="str">
        <f ca="1">IFERROR(__xludf.DUMMYFUNCTION("""COMPUTED_VALUE"""),"")</f>
        <v/>
      </c>
    </row>
    <row r="504" spans="1:7" ht="13.2" x14ac:dyDescent="0.25">
      <c r="A504" s="1" t="s">
        <v>25</v>
      </c>
      <c r="B504" t="str">
        <f ca="1">IFERROR(__xludf.DUMMYFUNCTION("""COMPUTED_VALUE"""),"Pinho, Stefano")</f>
        <v>Pinho, Stefano</v>
      </c>
      <c r="C504">
        <f ca="1">IFERROR(__xludf.DUMMYFUNCTION("""COMPUTED_VALUE"""),29)</f>
        <v>29</v>
      </c>
      <c r="D504" t="str">
        <f ca="1">IFERROR(__xludf.DUMMYFUNCTION("""COMPUTED_VALUE"""),"F")</f>
        <v>F</v>
      </c>
      <c r="E504" t="str">
        <f ca="1">IFERROR(__xludf.DUMMYFUNCTION("""COMPUTED_VALUE"""),"SeniorSR")</f>
        <v>SeniorSR</v>
      </c>
      <c r="F504" t="str">
        <f ca="1">IFERROR(__xludf.DUMMYFUNCTION("""COMPUTED_VALUE"""),"")</f>
        <v/>
      </c>
      <c r="G504" t="str">
        <f ca="1">IFERROR(__xludf.DUMMYFUNCTION("""COMPUTED_VALUE"""),"")</f>
        <v/>
      </c>
    </row>
    <row r="505" spans="1:7" ht="13.2" x14ac:dyDescent="0.25">
      <c r="A505" s="1" t="s">
        <v>25</v>
      </c>
      <c r="B505" t="str">
        <f ca="1">IFERROR(__xludf.DUMMYFUNCTION("""COMPUTED_VALUE"""),"Powers, Dillon")</f>
        <v>Powers, Dillon</v>
      </c>
      <c r="C505">
        <f ca="1">IFERROR(__xludf.DUMMYFUNCTION("""COMPUTED_VALUE"""),5)</f>
        <v>5</v>
      </c>
      <c r="D505" t="str">
        <f ca="1">IFERROR(__xludf.DUMMYFUNCTION("""COMPUTED_VALUE"""),"M")</f>
        <v>M</v>
      </c>
      <c r="E505" t="str">
        <f ca="1">IFERROR(__xludf.DUMMYFUNCTION("""COMPUTED_VALUE"""),"SeniorSR")</f>
        <v>SeniorSR</v>
      </c>
      <c r="F505" t="str">
        <f ca="1">IFERROR(__xludf.DUMMYFUNCTION("""COMPUTED_VALUE"""),"")</f>
        <v/>
      </c>
      <c r="G505" t="str">
        <f ca="1">IFERROR(__xludf.DUMMYFUNCTION("""COMPUTED_VALUE"""),"")</f>
        <v/>
      </c>
    </row>
    <row r="506" spans="1:7" ht="13.2" x14ac:dyDescent="0.25">
      <c r="A506" s="1" t="s">
        <v>25</v>
      </c>
      <c r="B506" t="str">
        <f ca="1">IFERROR(__xludf.DUMMYFUNCTION("""COMPUTED_VALUE"""),"Rocha, Tony")</f>
        <v>Rocha, Tony</v>
      </c>
      <c r="C506">
        <f ca="1">IFERROR(__xludf.DUMMYFUNCTION("""COMPUTED_VALUE"""),8)</f>
        <v>8</v>
      </c>
      <c r="D506" t="str">
        <f ca="1">IFERROR(__xludf.DUMMYFUNCTION("""COMPUTED_VALUE"""),"M")</f>
        <v>M</v>
      </c>
      <c r="E506" t="str">
        <f ca="1">IFERROR(__xludf.DUMMYFUNCTION("""COMPUTED_VALUE"""),"SupplementalSUP")</f>
        <v>SupplementalSUP</v>
      </c>
      <c r="F506" t="str">
        <f ca="1">IFERROR(__xludf.DUMMYFUNCTION("""COMPUTED_VALUE"""),"")</f>
        <v/>
      </c>
      <c r="G506" t="str">
        <f ca="1">IFERROR(__xludf.DUMMYFUNCTION("""COMPUTED_VALUE"""),"")</f>
        <v/>
      </c>
    </row>
    <row r="507" spans="1:7" ht="13.2" x14ac:dyDescent="0.25">
      <c r="A507" s="1" t="s">
        <v>25</v>
      </c>
      <c r="B507" t="str">
        <f ca="1">IFERROR(__xludf.DUMMYFUNCTION("""COMPUTED_VALUE"""),"Rosell, Oriol")</f>
        <v>Rosell, Oriol</v>
      </c>
      <c r="C507">
        <f ca="1">IFERROR(__xludf.DUMMYFUNCTION("""COMPUTED_VALUE"""),20)</f>
        <v>20</v>
      </c>
      <c r="D507" t="str">
        <f ca="1">IFERROR(__xludf.DUMMYFUNCTION("""COMPUTED_VALUE"""),"M/D")</f>
        <v>M/D</v>
      </c>
      <c r="E507" t="str">
        <f ca="1">IFERROR(__xludf.DUMMYFUNCTION("""COMPUTED_VALUE"""),"SeniorSR")</f>
        <v>SeniorSR</v>
      </c>
      <c r="F507" t="str">
        <f ca="1">IFERROR(__xludf.DUMMYFUNCTION("""COMPUTED_VALUE"""),"INTL")</f>
        <v>INTL</v>
      </c>
      <c r="G507" t="str">
        <f ca="1">IFERROR(__xludf.DUMMYFUNCTION("""COMPUTED_VALUE"""),"")</f>
        <v/>
      </c>
    </row>
    <row r="508" spans="1:7" ht="13.2" x14ac:dyDescent="0.25">
      <c r="A508" s="1" t="s">
        <v>25</v>
      </c>
      <c r="B508" t="str">
        <f ca="1">IFERROR(__xludf.DUMMYFUNCTION("""COMPUTED_VALUE"""),"Sane, Lamine")</f>
        <v>Sane, Lamine</v>
      </c>
      <c r="C508">
        <f ca="1">IFERROR(__xludf.DUMMYFUNCTION("""COMPUTED_VALUE"""),22)</f>
        <v>22</v>
      </c>
      <c r="D508" t="str">
        <f ca="1">IFERROR(__xludf.DUMMYFUNCTION("""COMPUTED_VALUE"""),"D")</f>
        <v>D</v>
      </c>
      <c r="E508" t="str">
        <f ca="1">IFERROR(__xludf.DUMMYFUNCTION("""COMPUTED_VALUE"""),"SeniorSR")</f>
        <v>SeniorSR</v>
      </c>
      <c r="F508" t="str">
        <f ca="1">IFERROR(__xludf.DUMMYFUNCTION("""COMPUTED_VALUE"""),"INTL")</f>
        <v>INTL</v>
      </c>
      <c r="G508" t="str">
        <f ca="1">IFERROR(__xludf.DUMMYFUNCTION("""COMPUTED_VALUE"""),"")</f>
        <v/>
      </c>
    </row>
    <row r="509" spans="1:7" ht="13.2" x14ac:dyDescent="0.25">
      <c r="A509" s="1" t="s">
        <v>25</v>
      </c>
      <c r="B509" t="str">
        <f ca="1">IFERROR(__xludf.DUMMYFUNCTION("""COMPUTED_VALUE"""),"Schuler, Chris")</f>
        <v>Schuler, Chris</v>
      </c>
      <c r="C509">
        <f ca="1">IFERROR(__xludf.DUMMYFUNCTION("""COMPUTED_VALUE"""),28)</f>
        <v>28</v>
      </c>
      <c r="D509" t="str">
        <f ca="1">IFERROR(__xludf.DUMMYFUNCTION("""COMPUTED_VALUE"""),"D")</f>
        <v>D</v>
      </c>
      <c r="E509" t="str">
        <f ca="1">IFERROR(__xludf.DUMMYFUNCTION("""COMPUTED_VALUE"""),"SeniorSR")</f>
        <v>SeniorSR</v>
      </c>
      <c r="F509" t="str">
        <f ca="1">IFERROR(__xludf.DUMMYFUNCTION("""COMPUTED_VALUE"""),"")</f>
        <v/>
      </c>
      <c r="G509" t="str">
        <f ca="1">IFERROR(__xludf.DUMMYFUNCTION("""COMPUTED_VALUE"""),"")</f>
        <v/>
      </c>
    </row>
    <row r="510" spans="1:7" ht="13.2" x14ac:dyDescent="0.25">
      <c r="A510" s="1" t="s">
        <v>25</v>
      </c>
      <c r="B510" t="str">
        <f ca="1">IFERROR(__xludf.DUMMYFUNCTION("""COMPUTED_VALUE"""),"Spector, Jonathan")</f>
        <v>Spector, Jonathan</v>
      </c>
      <c r="C510">
        <f ca="1">IFERROR(__xludf.DUMMYFUNCTION("""COMPUTED_VALUE"""),2)</f>
        <v>2</v>
      </c>
      <c r="D510" t="str">
        <f ca="1">IFERROR(__xludf.DUMMYFUNCTION("""COMPUTED_VALUE"""),"D")</f>
        <v>D</v>
      </c>
      <c r="E510" t="str">
        <f ca="1">IFERROR(__xludf.DUMMYFUNCTION("""COMPUTED_VALUE"""),"SeniorSR")</f>
        <v>SeniorSR</v>
      </c>
      <c r="F510" t="str">
        <f ca="1">IFERROR(__xludf.DUMMYFUNCTION("""COMPUTED_VALUE"""),"")</f>
        <v/>
      </c>
      <c r="G510" t="str">
        <f ca="1">IFERROR(__xludf.DUMMYFUNCTION("""COMPUTED_VALUE"""),"")</f>
        <v/>
      </c>
    </row>
    <row r="511" spans="1:7" ht="13.2" x14ac:dyDescent="0.25">
      <c r="A511" s="1" t="s">
        <v>25</v>
      </c>
      <c r="B511" t="str">
        <f ca="1">IFERROR(__xludf.DUMMYFUNCTION("""COMPUTED_VALUE"""),"Stajduhar, Mason")</f>
        <v>Stajduhar, Mason</v>
      </c>
      <c r="C511">
        <f ca="1">IFERROR(__xludf.DUMMYFUNCTION("""COMPUTED_VALUE"""),31)</f>
        <v>31</v>
      </c>
      <c r="D511" t="str">
        <f ca="1">IFERROR(__xludf.DUMMYFUNCTION("""COMPUTED_VALUE"""),"GK")</f>
        <v>GK</v>
      </c>
      <c r="E511" t="str">
        <f ca="1">IFERROR(__xludf.DUMMYFUNCTION("""COMPUTED_VALUE"""),"ReserveRES")</f>
        <v>ReserveRES</v>
      </c>
      <c r="F511" t="str">
        <f ca="1">IFERROR(__xludf.DUMMYFUNCTION("""COMPUTED_VALUE"""),"HG")</f>
        <v>HG</v>
      </c>
      <c r="G511" t="str">
        <f ca="1">IFERROR(__xludf.DUMMYFUNCTION("""COMPUTED_VALUE"""),"")</f>
        <v/>
      </c>
    </row>
    <row r="512" spans="1:7" ht="13.2" x14ac:dyDescent="0.25">
      <c r="A512" s="1" t="s">
        <v>25</v>
      </c>
      <c r="B512" t="str">
        <f ca="1">IFERROR(__xludf.DUMMYFUNCTION("""COMPUTED_VALUE"""),"Sutter, Scott")</f>
        <v>Sutter, Scott</v>
      </c>
      <c r="C512">
        <f ca="1">IFERROR(__xludf.DUMMYFUNCTION("""COMPUTED_VALUE"""),21)</f>
        <v>21</v>
      </c>
      <c r="D512" t="str">
        <f ca="1">IFERROR(__xludf.DUMMYFUNCTION("""COMPUTED_VALUE"""),"D")</f>
        <v>D</v>
      </c>
      <c r="E512" t="str">
        <f ca="1">IFERROR(__xludf.DUMMYFUNCTION("""COMPUTED_VALUE"""),"SeniorSR")</f>
        <v>SeniorSR</v>
      </c>
      <c r="F512" t="str">
        <f ca="1">IFERROR(__xludf.DUMMYFUNCTION("""COMPUTED_VALUE"""),"")</f>
        <v/>
      </c>
      <c r="G512" t="str">
        <f ca="1">IFERROR(__xludf.DUMMYFUNCTION("""COMPUTED_VALUE"""),"")</f>
        <v/>
      </c>
    </row>
    <row r="513" spans="1:7" ht="13.2" x14ac:dyDescent="0.25">
      <c r="A513" s="1" t="s">
        <v>25</v>
      </c>
      <c r="B513" t="str">
        <f ca="1">IFERROR(__xludf.DUMMYFUNCTION("""COMPUTED_VALUE"""),"Tarek, Amro")</f>
        <v>Tarek, Amro</v>
      </c>
      <c r="C513">
        <f ca="1">IFERROR(__xludf.DUMMYFUNCTION("""COMPUTED_VALUE"""),3)</f>
        <v>3</v>
      </c>
      <c r="D513" t="str">
        <f ca="1">IFERROR(__xludf.DUMMYFUNCTION("""COMPUTED_VALUE"""),"D")</f>
        <v>D</v>
      </c>
      <c r="E513" t="str">
        <f ca="1">IFERROR(__xludf.DUMMYFUNCTION("""COMPUTED_VALUE"""),"SeniorSR")</f>
        <v>SeniorSR</v>
      </c>
      <c r="F513" t="str">
        <f ca="1">IFERROR(__xludf.DUMMYFUNCTION("""COMPUTED_VALUE"""),"")</f>
        <v/>
      </c>
      <c r="G513" t="str">
        <f ca="1">IFERROR(__xludf.DUMMYFUNCTION("""COMPUTED_VALUE"""),"")</f>
        <v/>
      </c>
    </row>
    <row r="514" spans="1:7" ht="13.2" x14ac:dyDescent="0.25">
      <c r="A514" s="1" t="s">
        <v>25</v>
      </c>
      <c r="B514" t="str">
        <f ca="1">IFERROR(__xludf.DUMMYFUNCTION("""COMPUTED_VALUE"""),"Toia, Donny")</f>
        <v>Toia, Donny</v>
      </c>
      <c r="C514">
        <f ca="1">IFERROR(__xludf.DUMMYFUNCTION("""COMPUTED_VALUE"""),25)</f>
        <v>25</v>
      </c>
      <c r="D514" t="str">
        <f ca="1">IFERROR(__xludf.DUMMYFUNCTION("""COMPUTED_VALUE"""),"D")</f>
        <v>D</v>
      </c>
      <c r="E514" t="str">
        <f ca="1">IFERROR(__xludf.DUMMYFUNCTION("""COMPUTED_VALUE"""),"SeniorSR")</f>
        <v>SeniorSR</v>
      </c>
      <c r="F514" t="str">
        <f ca="1">IFERROR(__xludf.DUMMYFUNCTION("""COMPUTED_VALUE"""),"")</f>
        <v/>
      </c>
      <c r="G514" t="str">
        <f ca="1">IFERROR(__xludf.DUMMYFUNCTION("""COMPUTED_VALUE"""),"")</f>
        <v/>
      </c>
    </row>
    <row r="515" spans="1:7" ht="13.2" x14ac:dyDescent="0.25">
      <c r="A515" s="1" t="s">
        <v>25</v>
      </c>
      <c r="B515" t="str">
        <f ca="1">IFERROR(__xludf.DUMMYFUNCTION("""COMPUTED_VALUE"""),"Villarreal, Jose")</f>
        <v>Villarreal, Jose</v>
      </c>
      <c r="C515">
        <f ca="1">IFERROR(__xludf.DUMMYFUNCTION("""COMPUTED_VALUE"""),33)</f>
        <v>33</v>
      </c>
      <c r="D515" t="str">
        <f ca="1">IFERROR(__xludf.DUMMYFUNCTION("""COMPUTED_VALUE"""),"M")</f>
        <v>M</v>
      </c>
      <c r="E515" t="str">
        <f ca="1">IFERROR(__xludf.DUMMYFUNCTION("""COMPUTED_VALUE"""),"ReserveRES")</f>
        <v>ReserveRES</v>
      </c>
      <c r="F515" t="str">
        <f ca="1">IFERROR(__xludf.DUMMYFUNCTION("""COMPUTED_VALUE"""),"HG")</f>
        <v>HG</v>
      </c>
      <c r="G515" t="str">
        <f ca="1">IFERROR(__xludf.DUMMYFUNCTION("""COMPUTED_VALUE"""),"")</f>
        <v/>
      </c>
    </row>
    <row r="516" spans="1:7" ht="13.2" x14ac:dyDescent="0.25">
      <c r="A516" s="1" t="s">
        <v>25</v>
      </c>
      <c r="B516" t="str">
        <f ca="1">IFERROR(__xludf.DUMMYFUNCTION("""COMPUTED_VALUE"""),"Yotun, Yoshi")</f>
        <v>Yotun, Yoshi</v>
      </c>
      <c r="C516">
        <f ca="1">IFERROR(__xludf.DUMMYFUNCTION("""COMPUTED_VALUE"""),19)</f>
        <v>19</v>
      </c>
      <c r="D516" t="str">
        <f ca="1">IFERROR(__xludf.DUMMYFUNCTION("""COMPUTED_VALUE"""),"M")</f>
        <v>M</v>
      </c>
      <c r="E516" t="str">
        <f ca="1">IFERROR(__xludf.DUMMYFUNCTION("""COMPUTED_VALUE"""),"SeniorSR")</f>
        <v>SeniorSR</v>
      </c>
      <c r="F516" t="str">
        <f ca="1">IFERROR(__xludf.DUMMYFUNCTION("""COMPUTED_VALUE"""),"INTL")</f>
        <v>INTL</v>
      </c>
      <c r="G516" t="str">
        <f ca="1">IFERROR(__xludf.DUMMYFUNCTION("""COMPUTED_VALUE"""),"")</f>
        <v/>
      </c>
    </row>
    <row r="517" spans="1:7" ht="13.2" x14ac:dyDescent="0.25">
      <c r="A517" s="1" t="s">
        <v>25</v>
      </c>
      <c r="B517" t="str">
        <f ca="1">IFERROR(__xludf.DUMMYFUNCTION("""COMPUTED_VALUE"""),"30 of 30 spots filled")</f>
        <v>30 of 30 spots filled</v>
      </c>
      <c r="C517" t="str">
        <f ca="1">IFERROR(__xludf.DUMMYFUNCTION("""COMPUTED_VALUE"""),"")</f>
        <v/>
      </c>
      <c r="D517" t="str">
        <f ca="1">IFERROR(__xludf.DUMMYFUNCTION("""COMPUTED_VALUE"""),"")</f>
        <v/>
      </c>
      <c r="E517" t="str">
        <f ca="1">IFERROR(__xludf.DUMMYFUNCTION("""COMPUTED_VALUE"""),"")</f>
        <v/>
      </c>
      <c r="F517" t="str">
        <f ca="1">IFERROR(__xludf.DUMMYFUNCTION("""COMPUTED_VALUE"""),"")</f>
        <v/>
      </c>
      <c r="G517" t="str">
        <f ca="1">IFERROR(__xludf.DUMMYFUNCTION("""COMPUTED_VALUE"""),"")</f>
        <v/>
      </c>
    </row>
    <row r="518" spans="1:7" ht="13.2" x14ac:dyDescent="0.25">
      <c r="A518" s="1" t="s">
        <v>25</v>
      </c>
    </row>
    <row r="519" spans="1:7" ht="13.2" x14ac:dyDescent="0.25">
      <c r="A519" s="1" t="s">
        <v>25</v>
      </c>
    </row>
    <row r="520" spans="1:7" ht="13.2" x14ac:dyDescent="0.25">
      <c r="A520" s="1" t="s">
        <v>25</v>
      </c>
    </row>
    <row r="521" spans="1:7" ht="13.2" x14ac:dyDescent="0.25">
      <c r="A521" s="1" t="s">
        <v>25</v>
      </c>
    </row>
    <row r="522" spans="1:7" ht="13.2" x14ac:dyDescent="0.25">
      <c r="A522" s="1" t="s">
        <v>25</v>
      </c>
    </row>
    <row r="524" spans="1:7" ht="13.2" x14ac:dyDescent="0.25">
      <c r="B524" t="str">
        <f ca="1">IFERROR(__xludf.DUMMYFUNCTION("IMPORTHTML(""http://www.mlssoccer.com/rosters/2018/philadelphia-union"", ""table"", 1)"),"#N/A")</f>
        <v>#N/A</v>
      </c>
    </row>
    <row r="525" spans="1:7" ht="13.2" x14ac:dyDescent="0.25">
      <c r="A525" s="1" t="s">
        <v>26</v>
      </c>
    </row>
    <row r="526" spans="1:7" ht="13.2" x14ac:dyDescent="0.25">
      <c r="A526" s="1" t="s">
        <v>26</v>
      </c>
    </row>
    <row r="527" spans="1:7" ht="13.2" x14ac:dyDescent="0.25">
      <c r="A527" s="1" t="s">
        <v>26</v>
      </c>
    </row>
    <row r="528" spans="1:7" ht="13.2" x14ac:dyDescent="0.25">
      <c r="A528" s="1" t="s">
        <v>26</v>
      </c>
    </row>
    <row r="529" spans="1:1" ht="13.2" x14ac:dyDescent="0.25">
      <c r="A529" s="1" t="s">
        <v>26</v>
      </c>
    </row>
    <row r="530" spans="1:1" ht="13.2" x14ac:dyDescent="0.25">
      <c r="A530" s="1" t="s">
        <v>26</v>
      </c>
    </row>
    <row r="531" spans="1:1" ht="13.2" x14ac:dyDescent="0.25">
      <c r="A531" s="1" t="s">
        <v>26</v>
      </c>
    </row>
    <row r="532" spans="1:1" ht="13.2" x14ac:dyDescent="0.25">
      <c r="A532" s="1" t="s">
        <v>26</v>
      </c>
    </row>
    <row r="533" spans="1:1" ht="13.2" x14ac:dyDescent="0.25">
      <c r="A533" s="1" t="s">
        <v>26</v>
      </c>
    </row>
    <row r="534" spans="1:1" ht="13.2" x14ac:dyDescent="0.25">
      <c r="A534" s="1" t="s">
        <v>26</v>
      </c>
    </row>
    <row r="535" spans="1:1" ht="13.2" x14ac:dyDescent="0.25">
      <c r="A535" s="1" t="s">
        <v>26</v>
      </c>
    </row>
    <row r="536" spans="1:1" ht="13.2" x14ac:dyDescent="0.25">
      <c r="A536" s="1" t="s">
        <v>26</v>
      </c>
    </row>
    <row r="537" spans="1:1" ht="13.2" x14ac:dyDescent="0.25">
      <c r="A537" s="1" t="s">
        <v>26</v>
      </c>
    </row>
    <row r="538" spans="1:1" ht="13.2" x14ac:dyDescent="0.25">
      <c r="A538" s="1" t="s">
        <v>26</v>
      </c>
    </row>
    <row r="539" spans="1:1" ht="13.2" x14ac:dyDescent="0.25">
      <c r="A539" s="1" t="s">
        <v>26</v>
      </c>
    </row>
    <row r="540" spans="1:1" ht="13.2" x14ac:dyDescent="0.25">
      <c r="A540" s="1" t="s">
        <v>26</v>
      </c>
    </row>
    <row r="541" spans="1:1" ht="13.2" x14ac:dyDescent="0.25">
      <c r="A541" s="1" t="s">
        <v>26</v>
      </c>
    </row>
    <row r="542" spans="1:1" ht="13.2" x14ac:dyDescent="0.25">
      <c r="A542" s="1" t="s">
        <v>26</v>
      </c>
    </row>
    <row r="543" spans="1:1" ht="13.2" x14ac:dyDescent="0.25">
      <c r="A543" s="1" t="s">
        <v>26</v>
      </c>
    </row>
    <row r="544" spans="1:1" ht="13.2" x14ac:dyDescent="0.25">
      <c r="A544" s="1" t="s">
        <v>26</v>
      </c>
    </row>
    <row r="545" spans="1:1" ht="13.2" x14ac:dyDescent="0.25">
      <c r="A545" s="1" t="s">
        <v>26</v>
      </c>
    </row>
    <row r="546" spans="1:1" ht="13.2" x14ac:dyDescent="0.25">
      <c r="A546" s="1" t="s">
        <v>26</v>
      </c>
    </row>
    <row r="547" spans="1:1" ht="13.2" x14ac:dyDescent="0.25">
      <c r="A547" s="1" t="s">
        <v>26</v>
      </c>
    </row>
    <row r="548" spans="1:1" ht="13.2" x14ac:dyDescent="0.25">
      <c r="A548" s="1" t="s">
        <v>26</v>
      </c>
    </row>
    <row r="549" spans="1:1" ht="13.2" x14ac:dyDescent="0.25">
      <c r="A549" s="1" t="s">
        <v>26</v>
      </c>
    </row>
    <row r="550" spans="1:1" ht="13.2" x14ac:dyDescent="0.25">
      <c r="A550" s="1" t="s">
        <v>26</v>
      </c>
    </row>
    <row r="551" spans="1:1" ht="13.2" x14ac:dyDescent="0.25">
      <c r="A551" s="1" t="s">
        <v>26</v>
      </c>
    </row>
    <row r="552" spans="1:1" ht="13.2" x14ac:dyDescent="0.25">
      <c r="A552" s="1" t="s">
        <v>26</v>
      </c>
    </row>
    <row r="553" spans="1:1" ht="13.2" x14ac:dyDescent="0.25">
      <c r="A553" s="1" t="s">
        <v>26</v>
      </c>
    </row>
    <row r="554" spans="1:1" ht="13.2" x14ac:dyDescent="0.25">
      <c r="A554" s="1" t="s">
        <v>26</v>
      </c>
    </row>
    <row r="555" spans="1:1" ht="13.2" x14ac:dyDescent="0.25">
      <c r="A555" s="1" t="s">
        <v>26</v>
      </c>
    </row>
    <row r="556" spans="1:1" ht="13.2" x14ac:dyDescent="0.25">
      <c r="A556" s="1" t="s">
        <v>26</v>
      </c>
    </row>
    <row r="557" spans="1:1" ht="13.2" x14ac:dyDescent="0.25">
      <c r="A557" s="1" t="s">
        <v>26</v>
      </c>
    </row>
    <row r="558" spans="1:1" ht="13.2" x14ac:dyDescent="0.25">
      <c r="A558" s="1" t="s">
        <v>26</v>
      </c>
    </row>
    <row r="559" spans="1:1" ht="13.2" x14ac:dyDescent="0.25">
      <c r="A559" s="1" t="s">
        <v>26</v>
      </c>
    </row>
    <row r="560" spans="1:1" ht="13.2" x14ac:dyDescent="0.25">
      <c r="A560" s="1" t="s">
        <v>26</v>
      </c>
    </row>
    <row r="561" spans="1:7" ht="13.2" x14ac:dyDescent="0.25">
      <c r="A561" s="1" t="s">
        <v>26</v>
      </c>
    </row>
    <row r="563" spans="1:7" ht="13.2" x14ac:dyDescent="0.25">
      <c r="B563" t="str">
        <f ca="1">IFERROR(__xludf.DUMMYFUNCTION("IMPORTHTML(""http://www.mlssoccer.com/rosters/2018/portland-timbers"", ""table"", 1)"),"30-man Active Roster (Spots 1-30)")</f>
        <v>30-man Active Roster (Spots 1-30)</v>
      </c>
      <c r="C563" t="str">
        <f ca="1">IFERROR(__xludf.DUMMYFUNCTION("""COMPUTED_VALUE"""),"#")</f>
        <v>#</v>
      </c>
      <c r="D563" t="str">
        <f ca="1">IFERROR(__xludf.DUMMYFUNCTION("""COMPUTED_VALUE"""),"POS")</f>
        <v>POS</v>
      </c>
      <c r="E563" t="str">
        <f ca="1">IFERROR(__xludf.DUMMYFUNCTION("""COMPUTED_VALUE"""),"ROSTER STATUSR.S.")</f>
        <v>ROSTER STATUSR.S.</v>
      </c>
      <c r="F563" t="str">
        <f ca="1">IFERROR(__xludf.DUMMYFUNCTION("""COMPUTED_VALUE"""),"PLAYER CATEGORYCAT.")</f>
        <v>PLAYER CATEGORYCAT.</v>
      </c>
      <c r="G563" t="str">
        <f ca="1">IFERROR(__xludf.DUMMYFUNCTION("""COMPUTED_VALUE"""),"*NOTE*")</f>
        <v>*NOTE*</v>
      </c>
    </row>
    <row r="564" spans="1:7" ht="13.2" x14ac:dyDescent="0.25">
      <c r="A564" s="1" t="s">
        <v>27</v>
      </c>
      <c r="B564" t="str">
        <f ca="1">IFERROR(__xludf.DUMMYFUNCTION("""COMPUTED_VALUE"""),"Arboleda, Victor")</f>
        <v>Arboleda, Victor</v>
      </c>
      <c r="C564">
        <f ca="1">IFERROR(__xludf.DUMMYFUNCTION("""COMPUTED_VALUE"""),19)</f>
        <v>19</v>
      </c>
      <c r="D564" t="str">
        <f ca="1">IFERROR(__xludf.DUMMYFUNCTION("""COMPUTED_VALUE"""),"F/M")</f>
        <v>F/M</v>
      </c>
      <c r="E564" t="str">
        <f ca="1">IFERROR(__xludf.DUMMYFUNCTION("""COMPUTED_VALUE"""),"SeniorSR, On loanOL")</f>
        <v>SeniorSR, On loanOL</v>
      </c>
      <c r="F564" t="str">
        <f ca="1">IFERROR(__xludf.DUMMYFUNCTION("""COMPUTED_VALUE"""),"INTL")</f>
        <v>INTL</v>
      </c>
      <c r="G564" t="str">
        <f ca="1">IFERROR(__xludf.DUMMYFUNCTION("""COMPUTED_VALUE"""),"*On loanOL*")</f>
        <v>*On loanOL*</v>
      </c>
    </row>
    <row r="565" spans="1:7" ht="13.2" x14ac:dyDescent="0.25">
      <c r="A565" s="1" t="s">
        <v>27</v>
      </c>
      <c r="B565" t="str">
        <f ca="1">IFERROR(__xludf.DUMMYFUNCTION("""COMPUTED_VALUE"""),"Armenteros, Samuel")</f>
        <v>Armenteros, Samuel</v>
      </c>
      <c r="C565">
        <f ca="1">IFERROR(__xludf.DUMMYFUNCTION("""COMPUTED_VALUE"""),99)</f>
        <v>99</v>
      </c>
      <c r="D565" t="str">
        <f ca="1">IFERROR(__xludf.DUMMYFUNCTION("""COMPUTED_VALUE"""),"F")</f>
        <v>F</v>
      </c>
      <c r="E565" t="str">
        <f ca="1">IFERROR(__xludf.DUMMYFUNCTION("""COMPUTED_VALUE"""),"SeniorSR")</f>
        <v>SeniorSR</v>
      </c>
      <c r="F565" t="str">
        <f ca="1">IFERROR(__xludf.DUMMYFUNCTION("""COMPUTED_VALUE"""),"INTL")</f>
        <v>INTL</v>
      </c>
      <c r="G565" t="str">
        <f ca="1">IFERROR(__xludf.DUMMYFUNCTION("""COMPUTED_VALUE"""),"")</f>
        <v/>
      </c>
    </row>
    <row r="566" spans="1:7" ht="13.2" x14ac:dyDescent="0.25">
      <c r="A566" s="1" t="s">
        <v>27</v>
      </c>
      <c r="B566" t="str">
        <f ca="1">IFERROR(__xludf.DUMMYFUNCTION("""COMPUTED_VALUE"""),"Asprilla, Dairon")</f>
        <v>Asprilla, Dairon</v>
      </c>
      <c r="C566">
        <f ca="1">IFERROR(__xludf.DUMMYFUNCTION("""COMPUTED_VALUE"""),27)</f>
        <v>27</v>
      </c>
      <c r="D566" t="str">
        <f ca="1">IFERROR(__xludf.DUMMYFUNCTION("""COMPUTED_VALUE"""),"M/F")</f>
        <v>M/F</v>
      </c>
      <c r="E566" t="str">
        <f ca="1">IFERROR(__xludf.DUMMYFUNCTION("""COMPUTED_VALUE"""),"SeniorSR")</f>
        <v>SeniorSR</v>
      </c>
      <c r="F566" t="str">
        <f ca="1">IFERROR(__xludf.DUMMYFUNCTION("""COMPUTED_VALUE"""),"")</f>
        <v/>
      </c>
      <c r="G566" t="str">
        <f ca="1">IFERROR(__xludf.DUMMYFUNCTION("""COMPUTED_VALUE"""),"")</f>
        <v/>
      </c>
    </row>
    <row r="567" spans="1:7" ht="13.2" x14ac:dyDescent="0.25">
      <c r="A567" s="1" t="s">
        <v>27</v>
      </c>
      <c r="B567" t="str">
        <f ca="1">IFERROR(__xludf.DUMMYFUNCTION("""COMPUTED_VALUE"""),"Attinella, Jeff")</f>
        <v>Attinella, Jeff</v>
      </c>
      <c r="C567">
        <f ca="1">IFERROR(__xludf.DUMMYFUNCTION("""COMPUTED_VALUE"""),1)</f>
        <v>1</v>
      </c>
      <c r="D567" t="str">
        <f ca="1">IFERROR(__xludf.DUMMYFUNCTION("""COMPUTED_VALUE"""),"GK")</f>
        <v>GK</v>
      </c>
      <c r="E567" t="str">
        <f ca="1">IFERROR(__xludf.DUMMYFUNCTION("""COMPUTED_VALUE"""),"SeniorSR")</f>
        <v>SeniorSR</v>
      </c>
      <c r="F567" t="str">
        <f ca="1">IFERROR(__xludf.DUMMYFUNCTION("""COMPUTED_VALUE"""),"")</f>
        <v/>
      </c>
      <c r="G567" t="str">
        <f ca="1">IFERROR(__xludf.DUMMYFUNCTION("""COMPUTED_VALUE"""),"")</f>
        <v/>
      </c>
    </row>
    <row r="568" spans="1:7" ht="13.2" x14ac:dyDescent="0.25">
      <c r="A568" s="1" t="s">
        <v>27</v>
      </c>
      <c r="B568" t="str">
        <f ca="1">IFERROR(__xludf.DUMMYFUNCTION("""COMPUTED_VALUE"""),"Barmby, Jack")</f>
        <v>Barmby, Jack</v>
      </c>
      <c r="C568">
        <f ca="1">IFERROR(__xludf.DUMMYFUNCTION("""COMPUTED_VALUE"""),23)</f>
        <v>23</v>
      </c>
      <c r="D568" t="str">
        <f ca="1">IFERROR(__xludf.DUMMYFUNCTION("""COMPUTED_VALUE"""),"M/D")</f>
        <v>M/D</v>
      </c>
      <c r="E568" t="str">
        <f ca="1">IFERROR(__xludf.DUMMYFUNCTION("""COMPUTED_VALUE"""),"SupplementalSUP")</f>
        <v>SupplementalSUP</v>
      </c>
      <c r="F568" t="str">
        <f ca="1">IFERROR(__xludf.DUMMYFUNCTION("""COMPUTED_VALUE"""),"")</f>
        <v/>
      </c>
      <c r="G568" t="str">
        <f ca="1">IFERROR(__xludf.DUMMYFUNCTION("""COMPUTED_VALUE"""),"")</f>
        <v/>
      </c>
    </row>
    <row r="569" spans="1:7" ht="13.2" x14ac:dyDescent="0.25">
      <c r="A569" s="1" t="s">
        <v>27</v>
      </c>
      <c r="B569" t="str">
        <f ca="1">IFERROR(__xludf.DUMMYFUNCTION("""COMPUTED_VALUE"""),"Blanco, Sebastian")</f>
        <v>Blanco, Sebastian</v>
      </c>
      <c r="C569">
        <f ca="1">IFERROR(__xludf.DUMMYFUNCTION("""COMPUTED_VALUE"""),10)</f>
        <v>10</v>
      </c>
      <c r="D569" t="str">
        <f ca="1">IFERROR(__xludf.DUMMYFUNCTION("""COMPUTED_VALUE"""),"M/F")</f>
        <v>M/F</v>
      </c>
      <c r="E569" t="str">
        <f ca="1">IFERROR(__xludf.DUMMYFUNCTION("""COMPUTED_VALUE"""),"SeniorSR")</f>
        <v>SeniorSR</v>
      </c>
      <c r="F569" t="str">
        <f ca="1">IFERROR(__xludf.DUMMYFUNCTION("""COMPUTED_VALUE"""),"DP")</f>
        <v>DP</v>
      </c>
      <c r="G569" t="str">
        <f ca="1">IFERROR(__xludf.DUMMYFUNCTION("""COMPUTED_VALUE"""),"")</f>
        <v/>
      </c>
    </row>
    <row r="570" spans="1:7" ht="13.2" x14ac:dyDescent="0.25">
      <c r="A570" s="1" t="s">
        <v>27</v>
      </c>
      <c r="B570" t="str">
        <f ca="1">IFERROR(__xludf.DUMMYFUNCTION("""COMPUTED_VALUE"""),"Cascante, Julio")</f>
        <v>Cascante, Julio</v>
      </c>
      <c r="C570">
        <f ca="1">IFERROR(__xludf.DUMMYFUNCTION("""COMPUTED_VALUE"""),18)</f>
        <v>18</v>
      </c>
      <c r="D570" t="str">
        <f ca="1">IFERROR(__xludf.DUMMYFUNCTION("""COMPUTED_VALUE"""),"D")</f>
        <v>D</v>
      </c>
      <c r="E570" t="str">
        <f ca="1">IFERROR(__xludf.DUMMYFUNCTION("""COMPUTED_VALUE"""),"SeniorSR")</f>
        <v>SeniorSR</v>
      </c>
      <c r="F570" t="str">
        <f ca="1">IFERROR(__xludf.DUMMYFUNCTION("""COMPUTED_VALUE"""),"INTL")</f>
        <v>INTL</v>
      </c>
      <c r="G570" t="str">
        <f ca="1">IFERROR(__xludf.DUMMYFUNCTION("""COMPUTED_VALUE"""),"")</f>
        <v/>
      </c>
    </row>
    <row r="571" spans="1:7" ht="13.2" x14ac:dyDescent="0.25">
      <c r="A571" s="1" t="s">
        <v>27</v>
      </c>
      <c r="B571" t="str">
        <f ca="1">IFERROR(__xludf.DUMMYFUNCTION("""COMPUTED_VALUE"""),"Chara, Diego")</f>
        <v>Chara, Diego</v>
      </c>
      <c r="C571">
        <f ca="1">IFERROR(__xludf.DUMMYFUNCTION("""COMPUTED_VALUE"""),21)</f>
        <v>21</v>
      </c>
      <c r="D571" t="str">
        <f ca="1">IFERROR(__xludf.DUMMYFUNCTION("""COMPUTED_VALUE"""),"M")</f>
        <v>M</v>
      </c>
      <c r="E571" t="str">
        <f ca="1">IFERROR(__xludf.DUMMYFUNCTION("""COMPUTED_VALUE"""),"SeniorSR")</f>
        <v>SeniorSR</v>
      </c>
      <c r="F571" t="str">
        <f ca="1">IFERROR(__xludf.DUMMYFUNCTION("""COMPUTED_VALUE"""),"")</f>
        <v/>
      </c>
      <c r="G571" t="str">
        <f ca="1">IFERROR(__xludf.DUMMYFUNCTION("""COMPUTED_VALUE"""),"")</f>
        <v/>
      </c>
    </row>
    <row r="572" spans="1:7" ht="13.2" x14ac:dyDescent="0.25">
      <c r="A572" s="1" t="s">
        <v>27</v>
      </c>
      <c r="B572" t="str">
        <f ca="1">IFERROR(__xludf.DUMMYFUNCTION("""COMPUTED_VALUE"""),"Clark, Steven")</f>
        <v>Clark, Steven</v>
      </c>
      <c r="C572">
        <f ca="1">IFERROR(__xludf.DUMMYFUNCTION("""COMPUTED_VALUE"""),12)</f>
        <v>12</v>
      </c>
      <c r="D572" t="str">
        <f ca="1">IFERROR(__xludf.DUMMYFUNCTION("""COMPUTED_VALUE"""),"GK")</f>
        <v>GK</v>
      </c>
      <c r="E572" t="str">
        <f ca="1">IFERROR(__xludf.DUMMYFUNCTION("""COMPUTED_VALUE"""),"SeniorSR")</f>
        <v>SeniorSR</v>
      </c>
      <c r="F572" t="str">
        <f ca="1">IFERROR(__xludf.DUMMYFUNCTION("""COMPUTED_VALUE"""),"")</f>
        <v/>
      </c>
      <c r="G572" t="str">
        <f ca="1">IFERROR(__xludf.DUMMYFUNCTION("""COMPUTED_VALUE"""),"")</f>
        <v/>
      </c>
    </row>
    <row r="573" spans="1:7" ht="13.2" x14ac:dyDescent="0.25">
      <c r="A573" s="1" t="s">
        <v>27</v>
      </c>
      <c r="B573" t="str">
        <f ca="1">IFERROR(__xludf.DUMMYFUNCTION("""COMPUTED_VALUE"""),"Conechny, Tomas")</f>
        <v>Conechny, Tomas</v>
      </c>
      <c r="C573">
        <f ca="1">IFERROR(__xludf.DUMMYFUNCTION("""COMPUTED_VALUE"""),19)</f>
        <v>19</v>
      </c>
      <c r="D573" t="str">
        <f ca="1">IFERROR(__xludf.DUMMYFUNCTION("""COMPUTED_VALUE"""),"M")</f>
        <v>M</v>
      </c>
      <c r="E573" t="str">
        <f ca="1">IFERROR(__xludf.DUMMYFUNCTION("""COMPUTED_VALUE"""),"SeniorSR")</f>
        <v>SeniorSR</v>
      </c>
      <c r="F573" t="str">
        <f ca="1">IFERROR(__xludf.DUMMYFUNCTION("""COMPUTED_VALUE"""),"INTL")</f>
        <v>INTL</v>
      </c>
      <c r="G573" t="str">
        <f ca="1">IFERROR(__xludf.DUMMYFUNCTION("""COMPUTED_VALUE"""),"")</f>
        <v/>
      </c>
    </row>
    <row r="574" spans="1:7" ht="13.2" x14ac:dyDescent="0.25">
      <c r="A574" s="1" t="s">
        <v>27</v>
      </c>
      <c r="B574" t="str">
        <f ca="1">IFERROR(__xludf.DUMMYFUNCTION("""COMPUTED_VALUE"""),"Ebobisse, Jeremy")</f>
        <v>Ebobisse, Jeremy</v>
      </c>
      <c r="C574">
        <f ca="1">IFERROR(__xludf.DUMMYFUNCTION("""COMPUTED_VALUE"""),17)</f>
        <v>17</v>
      </c>
      <c r="D574" t="str">
        <f ca="1">IFERROR(__xludf.DUMMYFUNCTION("""COMPUTED_VALUE"""),"F")</f>
        <v>F</v>
      </c>
      <c r="E574" t="str">
        <f ca="1">IFERROR(__xludf.DUMMYFUNCTION("""COMPUTED_VALUE"""),"SupplementalSUP")</f>
        <v>SupplementalSUP</v>
      </c>
      <c r="F574" t="str">
        <f ca="1">IFERROR(__xludf.DUMMYFUNCTION("""COMPUTED_VALUE"""),"GA")</f>
        <v>GA</v>
      </c>
      <c r="G574" t="str">
        <f ca="1">IFERROR(__xludf.DUMMYFUNCTION("""COMPUTED_VALUE"""),"")</f>
        <v/>
      </c>
    </row>
    <row r="575" spans="1:7" ht="13.2" x14ac:dyDescent="0.25">
      <c r="A575" s="1" t="s">
        <v>27</v>
      </c>
      <c r="B575" t="str">
        <f ca="1">IFERROR(__xludf.DUMMYFUNCTION("""COMPUTED_VALUE"""),"Farfan, Marco")</f>
        <v>Farfan, Marco</v>
      </c>
      <c r="C575">
        <f ca="1">IFERROR(__xludf.DUMMYFUNCTION("""COMPUTED_VALUE"""),32)</f>
        <v>32</v>
      </c>
      <c r="D575" t="str">
        <f ca="1">IFERROR(__xludf.DUMMYFUNCTION("""COMPUTED_VALUE"""),"D")</f>
        <v>D</v>
      </c>
      <c r="E575" t="str">
        <f ca="1">IFERROR(__xludf.DUMMYFUNCTION("""COMPUTED_VALUE"""),"ReserveRES")</f>
        <v>ReserveRES</v>
      </c>
      <c r="F575" t="str">
        <f ca="1">IFERROR(__xludf.DUMMYFUNCTION("""COMPUTED_VALUE"""),"HG")</f>
        <v>HG</v>
      </c>
      <c r="G575" t="str">
        <f ca="1">IFERROR(__xludf.DUMMYFUNCTION("""COMPUTED_VALUE"""),"")</f>
        <v/>
      </c>
    </row>
    <row r="576" spans="1:7" ht="13.2" x14ac:dyDescent="0.25">
      <c r="A576" s="1" t="s">
        <v>27</v>
      </c>
      <c r="B576" t="str">
        <f ca="1">IFERROR(__xludf.DUMMYFUNCTION("""COMPUTED_VALUE"""),"Flores, Andres")</f>
        <v>Flores, Andres</v>
      </c>
      <c r="C576">
        <f ca="1">IFERROR(__xludf.DUMMYFUNCTION("""COMPUTED_VALUE"""),14)</f>
        <v>14</v>
      </c>
      <c r="D576" t="str">
        <f ca="1">IFERROR(__xludf.DUMMYFUNCTION("""COMPUTED_VALUE"""),"M")</f>
        <v>M</v>
      </c>
      <c r="E576" t="str">
        <f ca="1">IFERROR(__xludf.DUMMYFUNCTION("""COMPUTED_VALUE"""),"SupplementalSUP")</f>
        <v>SupplementalSUP</v>
      </c>
      <c r="F576" t="str">
        <f ca="1">IFERROR(__xludf.DUMMYFUNCTION("""COMPUTED_VALUE"""),"")</f>
        <v/>
      </c>
      <c r="G576" t="str">
        <f ca="1">IFERROR(__xludf.DUMMYFUNCTION("""COMPUTED_VALUE"""),"")</f>
        <v/>
      </c>
    </row>
    <row r="577" spans="1:7" ht="13.2" x14ac:dyDescent="0.25">
      <c r="A577" s="1" t="s">
        <v>27</v>
      </c>
      <c r="B577" t="str">
        <f ca="1">IFERROR(__xludf.DUMMYFUNCTION("""COMPUTED_VALUE"""),"Gleeson, Jake")</f>
        <v>Gleeson, Jake</v>
      </c>
      <c r="C577">
        <f ca="1">IFERROR(__xludf.DUMMYFUNCTION("""COMPUTED_VALUE"""),90)</f>
        <v>90</v>
      </c>
      <c r="D577" t="str">
        <f ca="1">IFERROR(__xludf.DUMMYFUNCTION("""COMPUTED_VALUE"""),"GK")</f>
        <v>GK</v>
      </c>
      <c r="E577" t="str">
        <f ca="1">IFERROR(__xludf.DUMMYFUNCTION("""COMPUTED_VALUE"""),"ReserveRES")</f>
        <v>ReserveRES</v>
      </c>
      <c r="F577" t="str">
        <f ca="1">IFERROR(__xludf.DUMMYFUNCTION("""COMPUTED_VALUE"""),"")</f>
        <v/>
      </c>
      <c r="G577" t="str">
        <f ca="1">IFERROR(__xludf.DUMMYFUNCTION("""COMPUTED_VALUE"""),"")</f>
        <v/>
      </c>
    </row>
    <row r="578" spans="1:7" ht="13.2" x14ac:dyDescent="0.25">
      <c r="A578" s="1" t="s">
        <v>27</v>
      </c>
      <c r="B578" t="str">
        <f ca="1">IFERROR(__xludf.DUMMYFUNCTION("""COMPUTED_VALUE"""),"Guzman, David")</f>
        <v>Guzman, David</v>
      </c>
      <c r="C578">
        <f ca="1">IFERROR(__xludf.DUMMYFUNCTION("""COMPUTED_VALUE"""),20)</f>
        <v>20</v>
      </c>
      <c r="D578" t="str">
        <f ca="1">IFERROR(__xludf.DUMMYFUNCTION("""COMPUTED_VALUE"""),"M")</f>
        <v>M</v>
      </c>
      <c r="E578" t="str">
        <f ca="1">IFERROR(__xludf.DUMMYFUNCTION("""COMPUTED_VALUE"""),"SeniorSR")</f>
        <v>SeniorSR</v>
      </c>
      <c r="F578" t="str">
        <f ca="1">IFERROR(__xludf.DUMMYFUNCTION("""COMPUTED_VALUE"""),"")</f>
        <v/>
      </c>
      <c r="G578" t="str">
        <f ca="1">IFERROR(__xludf.DUMMYFUNCTION("""COMPUTED_VALUE"""),"")</f>
        <v/>
      </c>
    </row>
    <row r="579" spans="1:7" ht="13.2" x14ac:dyDescent="0.25">
      <c r="A579" s="1" t="s">
        <v>27</v>
      </c>
      <c r="B579" t="str">
        <f ca="1">IFERROR(__xludf.DUMMYFUNCTION("""COMPUTED_VALUE"""),"Jadama, Modou")</f>
        <v>Jadama, Modou</v>
      </c>
      <c r="C579">
        <f ca="1">IFERROR(__xludf.DUMMYFUNCTION("""COMPUTED_VALUE"""),26)</f>
        <v>26</v>
      </c>
      <c r="D579" t="str">
        <f ca="1">IFERROR(__xludf.DUMMYFUNCTION("""COMPUTED_VALUE"""),"D")</f>
        <v>D</v>
      </c>
      <c r="E579" t="str">
        <f ca="1">IFERROR(__xludf.DUMMYFUNCTION("""COMPUTED_VALUE"""),"ReserveRES")</f>
        <v>ReserveRES</v>
      </c>
      <c r="F579" t="str">
        <f ca="1">IFERROR(__xludf.DUMMYFUNCTION("""COMPUTED_VALUE"""),"")</f>
        <v/>
      </c>
      <c r="G579" t="str">
        <f ca="1">IFERROR(__xludf.DUMMYFUNCTION("""COMPUTED_VALUE"""),"")</f>
        <v/>
      </c>
    </row>
    <row r="580" spans="1:7" ht="13.2" x14ac:dyDescent="0.25">
      <c r="A580" s="1" t="s">
        <v>27</v>
      </c>
      <c r="B580" t="str">
        <f ca="1">IFERROR(__xludf.DUMMYFUNCTION("""COMPUTED_VALUE"""),"Langsdorf, Foster")</f>
        <v>Langsdorf, Foster</v>
      </c>
      <c r="C580">
        <f ca="1">IFERROR(__xludf.DUMMYFUNCTION("""COMPUTED_VALUE"""),28)</f>
        <v>28</v>
      </c>
      <c r="D580" t="str">
        <f ca="1">IFERROR(__xludf.DUMMYFUNCTION("""COMPUTED_VALUE"""),"F")</f>
        <v>F</v>
      </c>
      <c r="E580" t="str">
        <f ca="1">IFERROR(__xludf.DUMMYFUNCTION("""COMPUTED_VALUE"""),"ReserveRES")</f>
        <v>ReserveRES</v>
      </c>
      <c r="F580" t="str">
        <f ca="1">IFERROR(__xludf.DUMMYFUNCTION("""COMPUTED_VALUE"""),"HG")</f>
        <v>HG</v>
      </c>
      <c r="G580" t="str">
        <f ca="1">IFERROR(__xludf.DUMMYFUNCTION("""COMPUTED_VALUE"""),"")</f>
        <v/>
      </c>
    </row>
    <row r="581" spans="1:7" ht="13.2" x14ac:dyDescent="0.25">
      <c r="A581" s="1" t="s">
        <v>27</v>
      </c>
      <c r="B581" t="str">
        <f ca="1">IFERROR(__xludf.DUMMYFUNCTION("""COMPUTED_VALUE"""),"Mabiala, Larrys")</f>
        <v>Mabiala, Larrys</v>
      </c>
      <c r="C581">
        <f ca="1">IFERROR(__xludf.DUMMYFUNCTION("""COMPUTED_VALUE"""),33)</f>
        <v>33</v>
      </c>
      <c r="D581" t="str">
        <f ca="1">IFERROR(__xludf.DUMMYFUNCTION("""COMPUTED_VALUE"""),"D")</f>
        <v>D</v>
      </c>
      <c r="E581" t="str">
        <f ca="1">IFERROR(__xludf.DUMMYFUNCTION("""COMPUTED_VALUE"""),"SeniorSR")</f>
        <v>SeniorSR</v>
      </c>
      <c r="F581" t="str">
        <f ca="1">IFERROR(__xludf.DUMMYFUNCTION("""COMPUTED_VALUE"""),"INTL")</f>
        <v>INTL</v>
      </c>
      <c r="G581" t="str">
        <f ca="1">IFERROR(__xludf.DUMMYFUNCTION("""COMPUTED_VALUE"""),"")</f>
        <v/>
      </c>
    </row>
    <row r="582" spans="1:7" ht="13.2" x14ac:dyDescent="0.25">
      <c r="A582" s="1" t="s">
        <v>27</v>
      </c>
      <c r="B582" t="str">
        <f ca="1">IFERROR(__xludf.DUMMYFUNCTION("""COMPUTED_VALUE"""),"Melano, Lucas")</f>
        <v>Melano, Lucas</v>
      </c>
      <c r="C582">
        <f ca="1">IFERROR(__xludf.DUMMYFUNCTION("""COMPUTED_VALUE"""),26)</f>
        <v>26</v>
      </c>
      <c r="D582" t="str">
        <f ca="1">IFERROR(__xludf.DUMMYFUNCTION("""COMPUTED_VALUE"""),"F")</f>
        <v>F</v>
      </c>
      <c r="E582" t="str">
        <f ca="1">IFERROR(__xludf.DUMMYFUNCTION("""COMPUTED_VALUE"""),"SeniorSR")</f>
        <v>SeniorSR</v>
      </c>
      <c r="F582" t="str">
        <f ca="1">IFERROR(__xludf.DUMMYFUNCTION("""COMPUTED_VALUE"""),"")</f>
        <v/>
      </c>
      <c r="G582" t="str">
        <f ca="1">IFERROR(__xludf.DUMMYFUNCTION("""COMPUTED_VALUE"""),"")</f>
        <v/>
      </c>
    </row>
    <row r="583" spans="1:7" ht="13.2" x14ac:dyDescent="0.25">
      <c r="A583" s="1" t="s">
        <v>27</v>
      </c>
      <c r="B583" t="str">
        <f ca="1">IFERROR(__xludf.DUMMYFUNCTION("""COMPUTED_VALUE"""),"Miller, Roy")</f>
        <v>Miller, Roy</v>
      </c>
      <c r="C583">
        <f ca="1">IFERROR(__xludf.DUMMYFUNCTION("""COMPUTED_VALUE"""),7)</f>
        <v>7</v>
      </c>
      <c r="D583" t="str">
        <f ca="1">IFERROR(__xludf.DUMMYFUNCTION("""COMPUTED_VALUE"""),"D")</f>
        <v>D</v>
      </c>
      <c r="E583" t="str">
        <f ca="1">IFERROR(__xludf.DUMMYFUNCTION("""COMPUTED_VALUE"""),"SeniorSR")</f>
        <v>SeniorSR</v>
      </c>
      <c r="F583" t="str">
        <f ca="1">IFERROR(__xludf.DUMMYFUNCTION("""COMPUTED_VALUE"""),"")</f>
        <v/>
      </c>
      <c r="G583" t="str">
        <f ca="1">IFERROR(__xludf.DUMMYFUNCTION("""COMPUTED_VALUE"""),"")</f>
        <v/>
      </c>
    </row>
    <row r="584" spans="1:7" ht="13.2" x14ac:dyDescent="0.25">
      <c r="A584" s="1" t="s">
        <v>27</v>
      </c>
      <c r="B584" t="str">
        <f ca="1">IFERROR(__xludf.DUMMYFUNCTION("""COMPUTED_VALUE"""),"Olum, Lawrence")</f>
        <v>Olum, Lawrence</v>
      </c>
      <c r="C584">
        <f ca="1">IFERROR(__xludf.DUMMYFUNCTION("""COMPUTED_VALUE"""),13)</f>
        <v>13</v>
      </c>
      <c r="D584" t="str">
        <f ca="1">IFERROR(__xludf.DUMMYFUNCTION("""COMPUTED_VALUE"""),"M/D")</f>
        <v>M/D</v>
      </c>
      <c r="E584" t="str">
        <f ca="1">IFERROR(__xludf.DUMMYFUNCTION("""COMPUTED_VALUE"""),"SeniorSR")</f>
        <v>SeniorSR</v>
      </c>
      <c r="F584" t="str">
        <f ca="1">IFERROR(__xludf.DUMMYFUNCTION("""COMPUTED_VALUE"""),"")</f>
        <v/>
      </c>
      <c r="G584" t="str">
        <f ca="1">IFERROR(__xludf.DUMMYFUNCTION("""COMPUTED_VALUE"""),"")</f>
        <v/>
      </c>
    </row>
    <row r="585" spans="1:7" ht="13.2" x14ac:dyDescent="0.25">
      <c r="A585" s="1" t="s">
        <v>27</v>
      </c>
      <c r="B585" t="str">
        <f ca="1">IFERROR(__xludf.DUMMYFUNCTION("""COMPUTED_VALUE"""),"Paredes, Cristhian")</f>
        <v>Paredes, Cristhian</v>
      </c>
      <c r="C585">
        <f ca="1">IFERROR(__xludf.DUMMYFUNCTION("""COMPUTED_VALUE"""),22)</f>
        <v>22</v>
      </c>
      <c r="D585" t="str">
        <f ca="1">IFERROR(__xludf.DUMMYFUNCTION("""COMPUTED_VALUE"""),"M")</f>
        <v>M</v>
      </c>
      <c r="E585" t="str">
        <f ca="1">IFERROR(__xludf.DUMMYFUNCTION("""COMPUTED_VALUE"""),"SeniorSR")</f>
        <v>SeniorSR</v>
      </c>
      <c r="F585" t="str">
        <f ca="1">IFERROR(__xludf.DUMMYFUNCTION("""COMPUTED_VALUE"""),"INTL")</f>
        <v>INTL</v>
      </c>
      <c r="G585" t="str">
        <f ca="1">IFERROR(__xludf.DUMMYFUNCTION("""COMPUTED_VALUE"""),"")</f>
        <v/>
      </c>
    </row>
    <row r="586" spans="1:7" ht="13.2" x14ac:dyDescent="0.25">
      <c r="A586" s="1" t="s">
        <v>27</v>
      </c>
      <c r="B586" t="str">
        <f ca="1">IFERROR(__xludf.DUMMYFUNCTION("""COMPUTED_VALUE"""),"Polo, Andy")</f>
        <v>Polo, Andy</v>
      </c>
      <c r="C586">
        <f ca="1">IFERROR(__xludf.DUMMYFUNCTION("""COMPUTED_VALUE"""),11)</f>
        <v>11</v>
      </c>
      <c r="D586" t="str">
        <f ca="1">IFERROR(__xludf.DUMMYFUNCTION("""COMPUTED_VALUE"""),"F")</f>
        <v>F</v>
      </c>
      <c r="E586" t="str">
        <f ca="1">IFERROR(__xludf.DUMMYFUNCTION("""COMPUTED_VALUE"""),"SeniorSR")</f>
        <v>SeniorSR</v>
      </c>
      <c r="F586" t="str">
        <f ca="1">IFERROR(__xludf.DUMMYFUNCTION("""COMPUTED_VALUE"""),"INTL")</f>
        <v>INTL</v>
      </c>
      <c r="G586" t="str">
        <f ca="1">IFERROR(__xludf.DUMMYFUNCTION("""COMPUTED_VALUE"""),"")</f>
        <v/>
      </c>
    </row>
    <row r="587" spans="1:7" ht="13.2" x14ac:dyDescent="0.25">
      <c r="A587" s="1" t="s">
        <v>27</v>
      </c>
      <c r="B587" t="str">
        <f ca="1">IFERROR(__xludf.DUMMYFUNCTION("""COMPUTED_VALUE"""),"Powell, Alvas")</f>
        <v>Powell, Alvas</v>
      </c>
      <c r="C587">
        <f ca="1">IFERROR(__xludf.DUMMYFUNCTION("""COMPUTED_VALUE"""),2)</f>
        <v>2</v>
      </c>
      <c r="D587" t="str">
        <f ca="1">IFERROR(__xludf.DUMMYFUNCTION("""COMPUTED_VALUE"""),"D")</f>
        <v>D</v>
      </c>
      <c r="E587" t="str">
        <f ca="1">IFERROR(__xludf.DUMMYFUNCTION("""COMPUTED_VALUE"""),"SeniorSR")</f>
        <v>SeniorSR</v>
      </c>
      <c r="F587" t="str">
        <f ca="1">IFERROR(__xludf.DUMMYFUNCTION("""COMPUTED_VALUE"""),"")</f>
        <v/>
      </c>
      <c r="G587" t="str">
        <f ca="1">IFERROR(__xludf.DUMMYFUNCTION("""COMPUTED_VALUE"""),"")</f>
        <v/>
      </c>
    </row>
    <row r="588" spans="1:7" ht="13.2" x14ac:dyDescent="0.25">
      <c r="A588" s="1" t="s">
        <v>27</v>
      </c>
      <c r="B588" t="str">
        <f ca="1">IFERROR(__xludf.DUMMYFUNCTION("""COMPUTED_VALUE"""),"Ridgewell, Liam")</f>
        <v>Ridgewell, Liam</v>
      </c>
      <c r="C588">
        <f ca="1">IFERROR(__xludf.DUMMYFUNCTION("""COMPUTED_VALUE"""),24)</f>
        <v>24</v>
      </c>
      <c r="D588" t="str">
        <f ca="1">IFERROR(__xludf.DUMMYFUNCTION("""COMPUTED_VALUE"""),"D")</f>
        <v>D</v>
      </c>
      <c r="E588" t="str">
        <f ca="1">IFERROR(__xludf.DUMMYFUNCTION("""COMPUTED_VALUE"""),"SeniorSR")</f>
        <v>SeniorSR</v>
      </c>
      <c r="F588" t="str">
        <f ca="1">IFERROR(__xludf.DUMMYFUNCTION("""COMPUTED_VALUE"""),"")</f>
        <v/>
      </c>
      <c r="G588" t="str">
        <f ca="1">IFERROR(__xludf.DUMMYFUNCTION("""COMPUTED_VALUE"""),"")</f>
        <v/>
      </c>
    </row>
    <row r="589" spans="1:7" ht="13.2" x14ac:dyDescent="0.25">
      <c r="A589" s="1" t="s">
        <v>27</v>
      </c>
      <c r="B589" t="str">
        <f ca="1">IFERROR(__xludf.DUMMYFUNCTION("""COMPUTED_VALUE"""),"Tuiloma, Bill")</f>
        <v>Tuiloma, Bill</v>
      </c>
      <c r="C589">
        <f ca="1">IFERROR(__xludf.DUMMYFUNCTION("""COMPUTED_VALUE"""),25)</f>
        <v>25</v>
      </c>
      <c r="D589" t="str">
        <f ca="1">IFERROR(__xludf.DUMMYFUNCTION("""COMPUTED_VALUE"""),"D/M")</f>
        <v>D/M</v>
      </c>
      <c r="E589" t="str">
        <f ca="1">IFERROR(__xludf.DUMMYFUNCTION("""COMPUTED_VALUE"""),"SupplementalSUP")</f>
        <v>SupplementalSUP</v>
      </c>
      <c r="F589" t="str">
        <f ca="1">IFERROR(__xludf.DUMMYFUNCTION("""COMPUTED_VALUE"""),"INTL")</f>
        <v>INTL</v>
      </c>
      <c r="G589" t="str">
        <f ca="1">IFERROR(__xludf.DUMMYFUNCTION("""COMPUTED_VALUE"""),"")</f>
        <v/>
      </c>
    </row>
    <row r="590" spans="1:7" ht="13.2" x14ac:dyDescent="0.25">
      <c r="A590" s="1" t="s">
        <v>27</v>
      </c>
      <c r="B590" t="str">
        <f ca="1">IFERROR(__xludf.DUMMYFUNCTION("""COMPUTED_VALUE"""),"Valentin, Zarek")</f>
        <v>Valentin, Zarek</v>
      </c>
      <c r="C590">
        <f ca="1">IFERROR(__xludf.DUMMYFUNCTION("""COMPUTED_VALUE"""),16)</f>
        <v>16</v>
      </c>
      <c r="D590" t="str">
        <f ca="1">IFERROR(__xludf.DUMMYFUNCTION("""COMPUTED_VALUE"""),"D")</f>
        <v>D</v>
      </c>
      <c r="E590" t="str">
        <f ca="1">IFERROR(__xludf.DUMMYFUNCTION("""COMPUTED_VALUE"""),"SeniorSR")</f>
        <v>SeniorSR</v>
      </c>
      <c r="F590" t="str">
        <f ca="1">IFERROR(__xludf.DUMMYFUNCTION("""COMPUTED_VALUE"""),"")</f>
        <v/>
      </c>
      <c r="G590" t="str">
        <f ca="1">IFERROR(__xludf.DUMMYFUNCTION("""COMPUTED_VALUE"""),"")</f>
        <v/>
      </c>
    </row>
    <row r="591" spans="1:7" ht="13.2" x14ac:dyDescent="0.25">
      <c r="A591" s="1" t="s">
        <v>27</v>
      </c>
      <c r="B591" t="str">
        <f ca="1">IFERROR(__xludf.DUMMYFUNCTION("""COMPUTED_VALUE"""),"Valeri, Diego")</f>
        <v>Valeri, Diego</v>
      </c>
      <c r="C591">
        <f ca="1">IFERROR(__xludf.DUMMYFUNCTION("""COMPUTED_VALUE"""),8)</f>
        <v>8</v>
      </c>
      <c r="D591" t="str">
        <f ca="1">IFERROR(__xludf.DUMMYFUNCTION("""COMPUTED_VALUE"""),"M")</f>
        <v>M</v>
      </c>
      <c r="E591" t="str">
        <f ca="1">IFERROR(__xludf.DUMMYFUNCTION("""COMPUTED_VALUE"""),"SeniorSR")</f>
        <v>SeniorSR</v>
      </c>
      <c r="F591" t="str">
        <f ca="1">IFERROR(__xludf.DUMMYFUNCTION("""COMPUTED_VALUE"""),"DP")</f>
        <v>DP</v>
      </c>
      <c r="G591" t="str">
        <f ca="1">IFERROR(__xludf.DUMMYFUNCTION("""COMPUTED_VALUE"""),"")</f>
        <v/>
      </c>
    </row>
    <row r="592" spans="1:7" ht="13.2" x14ac:dyDescent="0.25">
      <c r="A592" s="1" t="s">
        <v>27</v>
      </c>
      <c r="B592" t="str">
        <f ca="1">IFERROR(__xludf.DUMMYFUNCTION("""COMPUTED_VALUE"""),"Villafaña, Jorge")</f>
        <v>Villafaña, Jorge</v>
      </c>
      <c r="C592" t="str">
        <f ca="1">IFERROR(__xludf.DUMMYFUNCTION("""COMPUTED_VALUE"""),"")</f>
        <v/>
      </c>
      <c r="D592" t="str">
        <f ca="1">IFERROR(__xludf.DUMMYFUNCTION("""COMPUTED_VALUE"""),"D")</f>
        <v>D</v>
      </c>
      <c r="E592" t="str">
        <f ca="1">IFERROR(__xludf.DUMMYFUNCTION("""COMPUTED_VALUE"""),"SeniorSR")</f>
        <v>SeniorSR</v>
      </c>
      <c r="F592" t="str">
        <f ca="1">IFERROR(__xludf.DUMMYFUNCTION("""COMPUTED_VALUE"""),"")</f>
        <v/>
      </c>
      <c r="G592" t="str">
        <f ca="1">IFERROR(__xludf.DUMMYFUNCTION("""COMPUTED_VALUE"""),"")</f>
        <v/>
      </c>
    </row>
    <row r="593" spans="1:7" ht="13.2" x14ac:dyDescent="0.25">
      <c r="A593" s="1" t="s">
        <v>27</v>
      </c>
      <c r="B593" t="str">
        <f ca="1">IFERROR(__xludf.DUMMYFUNCTION("""COMPUTED_VALUE"""),"Williamson, Eryk")</f>
        <v>Williamson, Eryk</v>
      </c>
      <c r="C593">
        <f ca="1">IFERROR(__xludf.DUMMYFUNCTION("""COMPUTED_VALUE"""),30)</f>
        <v>30</v>
      </c>
      <c r="D593" t="str">
        <f ca="1">IFERROR(__xludf.DUMMYFUNCTION("""COMPUTED_VALUE"""),"M")</f>
        <v>M</v>
      </c>
      <c r="E593" t="str">
        <f ca="1">IFERROR(__xludf.DUMMYFUNCTION("""COMPUTED_VALUE"""),"ReserveRES, On loanOL")</f>
        <v>ReserveRES, On loanOL</v>
      </c>
      <c r="F593" t="str">
        <f ca="1">IFERROR(__xludf.DUMMYFUNCTION("""COMPUTED_VALUE"""),"HG")</f>
        <v>HG</v>
      </c>
      <c r="G593" t="str">
        <f ca="1">IFERROR(__xludf.DUMMYFUNCTION("""COMPUTED_VALUE"""),"*Loaned to: CD Santa ClaraOL: CD Santa Clara*")</f>
        <v>*Loaned to: CD Santa ClaraOL: CD Santa Clara*</v>
      </c>
    </row>
    <row r="594" spans="1:7" ht="13.2" x14ac:dyDescent="0.25">
      <c r="A594" s="1" t="s">
        <v>27</v>
      </c>
      <c r="B594" t="str">
        <f ca="1">IFERROR(__xludf.DUMMYFUNCTION("""COMPUTED_VALUE"""),"30 of 30 spots filled")</f>
        <v>30 of 30 spots filled</v>
      </c>
      <c r="C594" t="str">
        <f ca="1">IFERROR(__xludf.DUMMYFUNCTION("""COMPUTED_VALUE"""),"")</f>
        <v/>
      </c>
      <c r="D594" t="str">
        <f ca="1">IFERROR(__xludf.DUMMYFUNCTION("""COMPUTED_VALUE"""),"")</f>
        <v/>
      </c>
      <c r="E594" t="str">
        <f ca="1">IFERROR(__xludf.DUMMYFUNCTION("""COMPUTED_VALUE"""),"")</f>
        <v/>
      </c>
      <c r="F594" t="str">
        <f ca="1">IFERROR(__xludf.DUMMYFUNCTION("""COMPUTED_VALUE"""),"")</f>
        <v/>
      </c>
      <c r="G594" t="str">
        <f ca="1">IFERROR(__xludf.DUMMYFUNCTION("""COMPUTED_VALUE"""),"")</f>
        <v/>
      </c>
    </row>
    <row r="595" spans="1:7" ht="13.2" x14ac:dyDescent="0.25">
      <c r="A595" s="1" t="s">
        <v>27</v>
      </c>
      <c r="B595" t="str">
        <f ca="1">IFERROR(__xludf.DUMMYFUNCTION("""COMPUTED_VALUE"""),"*Players that do not count against the 30-man active roster*")</f>
        <v>*Players that do not count against the 30-man active roster*</v>
      </c>
      <c r="C595" t="str">
        <f ca="1">IFERROR(__xludf.DUMMYFUNCTION("""COMPUTED_VALUE"""),"")</f>
        <v/>
      </c>
      <c r="D595" t="str">
        <f ca="1">IFERROR(__xludf.DUMMYFUNCTION("""COMPUTED_VALUE"""),"")</f>
        <v/>
      </c>
      <c r="E595" t="str">
        <f ca="1">IFERROR(__xludf.DUMMYFUNCTION("""COMPUTED_VALUE"""),"")</f>
        <v/>
      </c>
      <c r="F595" t="str">
        <f ca="1">IFERROR(__xludf.DUMMYFUNCTION("""COMPUTED_VALUE"""),"")</f>
        <v/>
      </c>
      <c r="G595" t="str">
        <f ca="1">IFERROR(__xludf.DUMMYFUNCTION("""COMPUTED_VALUE"""),"")</f>
        <v/>
      </c>
    </row>
    <row r="596" spans="1:7" ht="13.2" x14ac:dyDescent="0.25">
      <c r="A596" s="1" t="s">
        <v>27</v>
      </c>
      <c r="B596" t="str">
        <f ca="1">IFERROR(__xludf.DUMMYFUNCTION("""COMPUTED_VALUE"""),"McIntosh, Kendall")</f>
        <v>McIntosh, Kendall</v>
      </c>
      <c r="C596">
        <f ca="1">IFERROR(__xludf.DUMMYFUNCTION("""COMPUTED_VALUE"""),43)</f>
        <v>43</v>
      </c>
      <c r="D596" t="str">
        <f ca="1">IFERROR(__xludf.DUMMYFUNCTION("""COMPUTED_VALUE"""),"GK")</f>
        <v>GK</v>
      </c>
      <c r="E596" t="str">
        <f ca="1">IFERROR(__xludf.DUMMYFUNCTION("""COMPUTED_VALUE"""),"ReserveRES, On loanOL")</f>
        <v>ReserveRES, On loanOL</v>
      </c>
      <c r="F596" t="str">
        <f ca="1">IFERROR(__xludf.DUMMYFUNCTION("""COMPUTED_VALUE"""),"*Loaned to: USLOL: USL*")</f>
        <v>*Loaned to: USLOL: USL*</v>
      </c>
      <c r="G596" t="str">
        <f ca="1">IFERROR(__xludf.DUMMYFUNCTION("""COMPUTED_VALUE"""),"")</f>
        <v/>
      </c>
    </row>
    <row r="597" spans="1:7" ht="13.2" x14ac:dyDescent="0.25">
      <c r="A597" s="1" t="s">
        <v>27</v>
      </c>
    </row>
    <row r="598" spans="1:7" ht="13.2" x14ac:dyDescent="0.25">
      <c r="A598" s="1" t="s">
        <v>27</v>
      </c>
    </row>
    <row r="599" spans="1:7" ht="13.2" x14ac:dyDescent="0.25">
      <c r="A599" s="1" t="s">
        <v>27</v>
      </c>
    </row>
    <row r="600" spans="1:7" ht="13.2" x14ac:dyDescent="0.25">
      <c r="A600" s="1" t="s">
        <v>27</v>
      </c>
    </row>
    <row r="601" spans="1:7" ht="13.2" x14ac:dyDescent="0.25">
      <c r="A601" s="1" t="s">
        <v>27</v>
      </c>
    </row>
    <row r="603" spans="1:7" ht="13.2" x14ac:dyDescent="0.25">
      <c r="B603" t="str">
        <f ca="1">IFERROR(__xludf.DUMMYFUNCTION("IMPORTHTML(""http://www.mlssoccer.com/rosters/2018/real-salt-lake"", ""table"", 1)"),"30-man Active Roster (Spots 1-30)")</f>
        <v>30-man Active Roster (Spots 1-30)</v>
      </c>
      <c r="C603" t="str">
        <f ca="1">IFERROR(__xludf.DUMMYFUNCTION("""COMPUTED_VALUE"""),"#")</f>
        <v>#</v>
      </c>
      <c r="D603" t="str">
        <f ca="1">IFERROR(__xludf.DUMMYFUNCTION("""COMPUTED_VALUE"""),"POS")</f>
        <v>POS</v>
      </c>
      <c r="E603" t="str">
        <f ca="1">IFERROR(__xludf.DUMMYFUNCTION("""COMPUTED_VALUE"""),"ROSTER STATUSR.S.")</f>
        <v>ROSTER STATUSR.S.</v>
      </c>
      <c r="F603" t="str">
        <f ca="1">IFERROR(__xludf.DUMMYFUNCTION("""COMPUTED_VALUE"""),"PLAYER CATEGORYCAT.")</f>
        <v>PLAYER CATEGORYCAT.</v>
      </c>
      <c r="G603" t="str">
        <f ca="1">IFERROR(__xludf.DUMMYFUNCTION("""COMPUTED_VALUE"""),"*NOTE*")</f>
        <v>*NOTE*</v>
      </c>
    </row>
    <row r="604" spans="1:7" ht="13.2" x14ac:dyDescent="0.25">
      <c r="A604" s="1" t="s">
        <v>28</v>
      </c>
      <c r="B604" t="str">
        <f ca="1">IFERROR(__xludf.DUMMYFUNCTION("""COMPUTED_VALUE"""),"Acosta, Danilo")</f>
        <v>Acosta, Danilo</v>
      </c>
      <c r="C604">
        <f ca="1">IFERROR(__xludf.DUMMYFUNCTION("""COMPUTED_VALUE"""),25)</f>
        <v>25</v>
      </c>
      <c r="D604" t="str">
        <f ca="1">IFERROR(__xludf.DUMMYFUNCTION("""COMPUTED_VALUE"""),"D")</f>
        <v>D</v>
      </c>
      <c r="E604" t="str">
        <f ca="1">IFERROR(__xludf.DUMMYFUNCTION("""COMPUTED_VALUE"""),"ReserveRES")</f>
        <v>ReserveRES</v>
      </c>
      <c r="F604" t="str">
        <f ca="1">IFERROR(__xludf.DUMMYFUNCTION("""COMPUTED_VALUE"""),"HG")</f>
        <v>HG</v>
      </c>
      <c r="G604" t="str">
        <f ca="1">IFERROR(__xludf.DUMMYFUNCTION("""COMPUTED_VALUE"""),"")</f>
        <v/>
      </c>
    </row>
    <row r="605" spans="1:7" ht="13.2" x14ac:dyDescent="0.25">
      <c r="A605" s="1" t="s">
        <v>28</v>
      </c>
      <c r="B605" t="str">
        <f ca="1">IFERROR(__xludf.DUMMYFUNCTION("""COMPUTED_VALUE"""),"Allen, Jordan")</f>
        <v>Allen, Jordan</v>
      </c>
      <c r="C605">
        <f ca="1">IFERROR(__xludf.DUMMYFUNCTION("""COMPUTED_VALUE"""),70)</f>
        <v>70</v>
      </c>
      <c r="D605" t="str">
        <f ca="1">IFERROR(__xludf.DUMMYFUNCTION("""COMPUTED_VALUE"""),"M/F")</f>
        <v>M/F</v>
      </c>
      <c r="E605" t="str">
        <f ca="1">IFERROR(__xludf.DUMMYFUNCTION("""COMPUTED_VALUE"""),"SeniorSR")</f>
        <v>SeniorSR</v>
      </c>
      <c r="F605" t="str">
        <f ca="1">IFERROR(__xludf.DUMMYFUNCTION("""COMPUTED_VALUE"""),"")</f>
        <v/>
      </c>
      <c r="G605" t="str">
        <f ca="1">IFERROR(__xludf.DUMMYFUNCTION("""COMPUTED_VALUE"""),"")</f>
        <v/>
      </c>
    </row>
    <row r="606" spans="1:7" ht="13.2" x14ac:dyDescent="0.25">
      <c r="A606" s="1" t="s">
        <v>28</v>
      </c>
      <c r="B606" t="str">
        <f ca="1">IFERROR(__xludf.DUMMYFUNCTION("""COMPUTED_VALUE"""),"Baird, Corey")</f>
        <v>Baird, Corey</v>
      </c>
      <c r="C606">
        <f ca="1">IFERROR(__xludf.DUMMYFUNCTION("""COMPUTED_VALUE"""),27)</f>
        <v>27</v>
      </c>
      <c r="D606" t="str">
        <f ca="1">IFERROR(__xludf.DUMMYFUNCTION("""COMPUTED_VALUE"""),"F")</f>
        <v>F</v>
      </c>
      <c r="E606" t="str">
        <f ca="1">IFERROR(__xludf.DUMMYFUNCTION("""COMPUTED_VALUE"""),"ReserveRES")</f>
        <v>ReserveRES</v>
      </c>
      <c r="F606" t="str">
        <f ca="1">IFERROR(__xludf.DUMMYFUNCTION("""COMPUTED_VALUE"""),"HG")</f>
        <v>HG</v>
      </c>
      <c r="G606" t="str">
        <f ca="1">IFERROR(__xludf.DUMMYFUNCTION("""COMPUTED_VALUE"""),"")</f>
        <v/>
      </c>
    </row>
    <row r="607" spans="1:7" ht="13.2" x14ac:dyDescent="0.25">
      <c r="A607" s="1" t="s">
        <v>28</v>
      </c>
      <c r="B607" t="str">
        <f ca="1">IFERROR(__xludf.DUMMYFUNCTION("""COMPUTED_VALUE"""),"Barry, Shawn")</f>
        <v>Barry, Shawn</v>
      </c>
      <c r="C607">
        <f ca="1">IFERROR(__xludf.DUMMYFUNCTION("""COMPUTED_VALUE"""),26)</f>
        <v>26</v>
      </c>
      <c r="D607" t="str">
        <f ca="1">IFERROR(__xludf.DUMMYFUNCTION("""COMPUTED_VALUE"""),"D")</f>
        <v>D</v>
      </c>
      <c r="E607" t="str">
        <f ca="1">IFERROR(__xludf.DUMMYFUNCTION("""COMPUTED_VALUE"""),"SeniorSR, On loanOL")</f>
        <v>SeniorSR, On loanOL</v>
      </c>
      <c r="F607" t="str">
        <f ca="1">IFERROR(__xludf.DUMMYFUNCTION("""COMPUTED_VALUE"""),"")</f>
        <v/>
      </c>
      <c r="G607" t="str">
        <f ca="1">IFERROR(__xludf.DUMMYFUNCTION("""COMPUTED_VALUE"""),"*On loanOL*")</f>
        <v>*On loanOL*</v>
      </c>
    </row>
    <row r="608" spans="1:7" ht="13.2" x14ac:dyDescent="0.25">
      <c r="A608" s="1" t="s">
        <v>28</v>
      </c>
      <c r="B608" t="str">
        <f ca="1">IFERROR(__xludf.DUMMYFUNCTION("""COMPUTED_VALUE"""),"Beckerman, Kyle")</f>
        <v>Beckerman, Kyle</v>
      </c>
      <c r="C608">
        <f ca="1">IFERROR(__xludf.DUMMYFUNCTION("""COMPUTED_VALUE"""),5)</f>
        <v>5</v>
      </c>
      <c r="D608" t="str">
        <f ca="1">IFERROR(__xludf.DUMMYFUNCTION("""COMPUTED_VALUE"""),"M/F")</f>
        <v>M/F</v>
      </c>
      <c r="E608" t="str">
        <f ca="1">IFERROR(__xludf.DUMMYFUNCTION("""COMPUTED_VALUE"""),"SeniorSR")</f>
        <v>SeniorSR</v>
      </c>
      <c r="F608" t="str">
        <f ca="1">IFERROR(__xludf.DUMMYFUNCTION("""COMPUTED_VALUE"""),"")</f>
        <v/>
      </c>
      <c r="G608" t="str">
        <f ca="1">IFERROR(__xludf.DUMMYFUNCTION("""COMPUTED_VALUE"""),"")</f>
        <v/>
      </c>
    </row>
    <row r="609" spans="1:7" ht="13.2" x14ac:dyDescent="0.25">
      <c r="A609" s="1" t="s">
        <v>28</v>
      </c>
      <c r="B609" t="str">
        <f ca="1">IFERROR(__xludf.DUMMYFUNCTION("""COMPUTED_VALUE"""),"Beltran, Tony")</f>
        <v>Beltran, Tony</v>
      </c>
      <c r="C609">
        <f ca="1">IFERROR(__xludf.DUMMYFUNCTION("""COMPUTED_VALUE"""),2)</f>
        <v>2</v>
      </c>
      <c r="D609" t="str">
        <f ca="1">IFERROR(__xludf.DUMMYFUNCTION("""COMPUTED_VALUE"""),"D")</f>
        <v>D</v>
      </c>
      <c r="E609" t="str">
        <f ca="1">IFERROR(__xludf.DUMMYFUNCTION("""COMPUTED_VALUE"""),"SeniorSR")</f>
        <v>SeniorSR</v>
      </c>
      <c r="F609" t="str">
        <f ca="1">IFERROR(__xludf.DUMMYFUNCTION("""COMPUTED_VALUE"""),"")</f>
        <v/>
      </c>
      <c r="G609" t="str">
        <f ca="1">IFERROR(__xludf.DUMMYFUNCTION("""COMPUTED_VALUE"""),"")</f>
        <v/>
      </c>
    </row>
    <row r="610" spans="1:7" ht="13.2" x14ac:dyDescent="0.25">
      <c r="A610" s="1" t="s">
        <v>28</v>
      </c>
      <c r="B610" t="str">
        <f ca="1">IFERROR(__xludf.DUMMYFUNCTION("""COMPUTED_VALUE"""),"Besler, Nick")</f>
        <v>Besler, Nick</v>
      </c>
      <c r="C610">
        <f ca="1">IFERROR(__xludf.DUMMYFUNCTION("""COMPUTED_VALUE"""),13)</f>
        <v>13</v>
      </c>
      <c r="D610" t="str">
        <f ca="1">IFERROR(__xludf.DUMMYFUNCTION("""COMPUTED_VALUE"""),"M/F")</f>
        <v>M/F</v>
      </c>
      <c r="E610" t="str">
        <f ca="1">IFERROR(__xludf.DUMMYFUNCTION("""COMPUTED_VALUE"""),"SupplementalSUP")</f>
        <v>SupplementalSUP</v>
      </c>
      <c r="F610" t="str">
        <f ca="1">IFERROR(__xludf.DUMMYFUNCTION("""COMPUTED_VALUE"""),"")</f>
        <v/>
      </c>
      <c r="G610" t="str">
        <f ca="1">IFERROR(__xludf.DUMMYFUNCTION("""COMPUTED_VALUE"""),"")</f>
        <v/>
      </c>
    </row>
    <row r="611" spans="1:7" ht="13.2" x14ac:dyDescent="0.25">
      <c r="A611" s="1" t="s">
        <v>28</v>
      </c>
      <c r="B611" t="str">
        <f ca="1">IFERROR(__xludf.DUMMYFUNCTION("""COMPUTED_VALUE"""),"Glad, Justen")</f>
        <v>Glad, Justen</v>
      </c>
      <c r="C611">
        <f ca="1">IFERROR(__xludf.DUMMYFUNCTION("""COMPUTED_VALUE"""),15)</f>
        <v>15</v>
      </c>
      <c r="D611" t="str">
        <f ca="1">IFERROR(__xludf.DUMMYFUNCTION("""COMPUTED_VALUE"""),"D")</f>
        <v>D</v>
      </c>
      <c r="E611" t="str">
        <f ca="1">IFERROR(__xludf.DUMMYFUNCTION("""COMPUTED_VALUE"""),"SeniorSR")</f>
        <v>SeniorSR</v>
      </c>
      <c r="F611" t="str">
        <f ca="1">IFERROR(__xludf.DUMMYFUNCTION("""COMPUTED_VALUE"""),"")</f>
        <v/>
      </c>
      <c r="G611" t="str">
        <f ca="1">IFERROR(__xludf.DUMMYFUNCTION("""COMPUTED_VALUE"""),"")</f>
        <v/>
      </c>
    </row>
    <row r="612" spans="1:7" ht="13.2" x14ac:dyDescent="0.25">
      <c r="A612" s="1" t="s">
        <v>28</v>
      </c>
      <c r="B612" t="str">
        <f ca="1">IFERROR(__xludf.DUMMYFUNCTION("""COMPUTED_VALUE"""),"Henley, Adam")</f>
        <v>Henley, Adam</v>
      </c>
      <c r="C612">
        <f ca="1">IFERROR(__xludf.DUMMYFUNCTION("""COMPUTED_VALUE"""),3)</f>
        <v>3</v>
      </c>
      <c r="D612" t="str">
        <f ca="1">IFERROR(__xludf.DUMMYFUNCTION("""COMPUTED_VALUE"""),"D")</f>
        <v>D</v>
      </c>
      <c r="E612" t="str">
        <f ca="1">IFERROR(__xludf.DUMMYFUNCTION("""COMPUTED_VALUE"""),"SeniorSR")</f>
        <v>SeniorSR</v>
      </c>
      <c r="F612" t="str">
        <f ca="1">IFERROR(__xludf.DUMMYFUNCTION("""COMPUTED_VALUE"""),"")</f>
        <v/>
      </c>
      <c r="G612" t="str">
        <f ca="1">IFERROR(__xludf.DUMMYFUNCTION("""COMPUTED_VALUE"""),"")</f>
        <v/>
      </c>
    </row>
    <row r="613" spans="1:7" ht="13.2" x14ac:dyDescent="0.25">
      <c r="A613" s="1" t="s">
        <v>28</v>
      </c>
      <c r="B613" t="str">
        <f ca="1">IFERROR(__xludf.DUMMYFUNCTION("""COMPUTED_VALUE"""),"Herrera, Aaron")</f>
        <v>Herrera, Aaron</v>
      </c>
      <c r="C613">
        <f ca="1">IFERROR(__xludf.DUMMYFUNCTION("""COMPUTED_VALUE"""),22)</f>
        <v>22</v>
      </c>
      <c r="D613" t="str">
        <f ca="1">IFERROR(__xludf.DUMMYFUNCTION("""COMPUTED_VALUE"""),"D")</f>
        <v>D</v>
      </c>
      <c r="E613" t="str">
        <f ca="1">IFERROR(__xludf.DUMMYFUNCTION("""COMPUTED_VALUE"""),"ReserveRES")</f>
        <v>ReserveRES</v>
      </c>
      <c r="F613" t="str">
        <f ca="1">IFERROR(__xludf.DUMMYFUNCTION("""COMPUTED_VALUE"""),"HG")</f>
        <v>HG</v>
      </c>
      <c r="G613" t="str">
        <f ca="1">IFERROR(__xludf.DUMMYFUNCTION("""COMPUTED_VALUE"""),"")</f>
        <v/>
      </c>
    </row>
    <row r="614" spans="1:7" ht="13.2" x14ac:dyDescent="0.25">
      <c r="A614" s="1" t="s">
        <v>28</v>
      </c>
      <c r="B614" t="str">
        <f ca="1">IFERROR(__xludf.DUMMYFUNCTION("""COMPUTED_VALUE"""),"Kreilach, Damir")</f>
        <v>Kreilach, Damir</v>
      </c>
      <c r="C614">
        <f ca="1">IFERROR(__xludf.DUMMYFUNCTION("""COMPUTED_VALUE"""),6)</f>
        <v>6</v>
      </c>
      <c r="D614" t="str">
        <f ca="1">IFERROR(__xludf.DUMMYFUNCTION("""COMPUTED_VALUE"""),"M")</f>
        <v>M</v>
      </c>
      <c r="E614" t="str">
        <f ca="1">IFERROR(__xludf.DUMMYFUNCTION("""COMPUTED_VALUE"""),"SeniorSR")</f>
        <v>SeniorSR</v>
      </c>
      <c r="F614" t="str">
        <f ca="1">IFERROR(__xludf.DUMMYFUNCTION("""COMPUTED_VALUE"""),"INTL")</f>
        <v>INTL</v>
      </c>
      <c r="G614" t="str">
        <f ca="1">IFERROR(__xludf.DUMMYFUNCTION("""COMPUTED_VALUE"""),"")</f>
        <v/>
      </c>
    </row>
    <row r="615" spans="1:7" ht="13.2" x14ac:dyDescent="0.25">
      <c r="A615" s="1" t="s">
        <v>28</v>
      </c>
      <c r="B615" t="str">
        <f ca="1">IFERROR(__xludf.DUMMYFUNCTION("""COMPUTED_VALUE"""),"Leeker, Jacob")</f>
        <v>Leeker, Jacob</v>
      </c>
      <c r="C615" t="str">
        <f ca="1">IFERROR(__xludf.DUMMYFUNCTION("""COMPUTED_VALUE"""),"")</f>
        <v/>
      </c>
      <c r="D615" t="str">
        <f ca="1">IFERROR(__xludf.DUMMYFUNCTION("""COMPUTED_VALUE"""),"GK")</f>
        <v>GK</v>
      </c>
      <c r="E615" t="str">
        <f ca="1">IFERROR(__xludf.DUMMYFUNCTION("""COMPUTED_VALUE"""),"SeniorSR")</f>
        <v>SeniorSR</v>
      </c>
      <c r="F615" t="str">
        <f ca="1">IFERROR(__xludf.DUMMYFUNCTION("""COMPUTED_VALUE"""),"")</f>
        <v/>
      </c>
      <c r="G615" t="str">
        <f ca="1">IFERROR(__xludf.DUMMYFUNCTION("""COMPUTED_VALUE"""),"")</f>
        <v/>
      </c>
    </row>
    <row r="616" spans="1:7" ht="13.2" x14ac:dyDescent="0.25">
      <c r="A616" s="1" t="s">
        <v>28</v>
      </c>
      <c r="B616" t="str">
        <f ca="1">IFERROR(__xludf.DUMMYFUNCTION("""COMPUTED_VALUE"""),"Lennon, Brooks")</f>
        <v>Lennon, Brooks</v>
      </c>
      <c r="C616">
        <f ca="1">IFERROR(__xludf.DUMMYFUNCTION("""COMPUTED_VALUE"""),12)</f>
        <v>12</v>
      </c>
      <c r="D616" t="str">
        <f ca="1">IFERROR(__xludf.DUMMYFUNCTION("""COMPUTED_VALUE"""),"F")</f>
        <v>F</v>
      </c>
      <c r="E616" t="str">
        <f ca="1">IFERROR(__xludf.DUMMYFUNCTION("""COMPUTED_VALUE"""),"ReserveRES")</f>
        <v>ReserveRES</v>
      </c>
      <c r="F616" t="str">
        <f ca="1">IFERROR(__xludf.DUMMYFUNCTION("""COMPUTED_VALUE"""),"HG")</f>
        <v>HG</v>
      </c>
      <c r="G616" t="str">
        <f ca="1">IFERROR(__xludf.DUMMYFUNCTION("""COMPUTED_VALUE"""),"")</f>
        <v/>
      </c>
    </row>
    <row r="617" spans="1:7" ht="13.2" x14ac:dyDescent="0.25">
      <c r="A617" s="1" t="s">
        <v>28</v>
      </c>
      <c r="B617" t="str">
        <f ca="1">IFERROR(__xludf.DUMMYFUNCTION("""COMPUTED_VALUE"""),"Lopez-Espin, Ricky")</f>
        <v>Lopez-Espin, Ricky</v>
      </c>
      <c r="C617">
        <f ca="1">IFERROR(__xludf.DUMMYFUNCTION("""COMPUTED_VALUE"""),28)</f>
        <v>28</v>
      </c>
      <c r="D617" t="str">
        <f ca="1">IFERROR(__xludf.DUMMYFUNCTION("""COMPUTED_VALUE"""),"F")</f>
        <v>F</v>
      </c>
      <c r="E617" t="str">
        <f ca="1">IFERROR(__xludf.DUMMYFUNCTION("""COMPUTED_VALUE"""),"SupplementalSUP")</f>
        <v>SupplementalSUP</v>
      </c>
      <c r="F617" t="str">
        <f ca="1">IFERROR(__xludf.DUMMYFUNCTION("""COMPUTED_VALUE"""),"")</f>
        <v/>
      </c>
      <c r="G617" t="str">
        <f ca="1">IFERROR(__xludf.DUMMYFUNCTION("""COMPUTED_VALUE"""),"")</f>
        <v/>
      </c>
    </row>
    <row r="618" spans="1:7" ht="13.2" x14ac:dyDescent="0.25">
      <c r="A618" s="1" t="s">
        <v>28</v>
      </c>
      <c r="B618" t="str">
        <f ca="1">IFERROR(__xludf.DUMMYFUNCTION("""COMPUTED_VALUE"""),"Mulholland, Luke")</f>
        <v>Mulholland, Luke</v>
      </c>
      <c r="C618">
        <f ca="1">IFERROR(__xludf.DUMMYFUNCTION("""COMPUTED_VALUE"""),19)</f>
        <v>19</v>
      </c>
      <c r="D618" t="str">
        <f ca="1">IFERROR(__xludf.DUMMYFUNCTION("""COMPUTED_VALUE"""),"M")</f>
        <v>M</v>
      </c>
      <c r="E618" t="str">
        <f ca="1">IFERROR(__xludf.DUMMYFUNCTION("""COMPUTED_VALUE"""),"SeniorSR")</f>
        <v>SeniorSR</v>
      </c>
      <c r="F618" t="str">
        <f ca="1">IFERROR(__xludf.DUMMYFUNCTION("""COMPUTED_VALUE"""),"")</f>
        <v/>
      </c>
      <c r="G618" t="str">
        <f ca="1">IFERROR(__xludf.DUMMYFUNCTION("""COMPUTED_VALUE"""),"")</f>
        <v/>
      </c>
    </row>
    <row r="619" spans="1:7" ht="13.2" x14ac:dyDescent="0.25">
      <c r="A619" s="1" t="s">
        <v>28</v>
      </c>
      <c r="B619" t="str">
        <f ca="1">IFERROR(__xludf.DUMMYFUNCTION("""COMPUTED_VALUE"""),"Onuoha, Nedum")</f>
        <v>Onuoha, Nedum</v>
      </c>
      <c r="C619">
        <f ca="1">IFERROR(__xludf.DUMMYFUNCTION("""COMPUTED_VALUE"""),14)</f>
        <v>14</v>
      </c>
      <c r="D619" t="str">
        <f ca="1">IFERROR(__xludf.DUMMYFUNCTION("""COMPUTED_VALUE"""),"D")</f>
        <v>D</v>
      </c>
      <c r="E619" t="str">
        <f ca="1">IFERROR(__xludf.DUMMYFUNCTION("""COMPUTED_VALUE"""),"SeniorSR")</f>
        <v>SeniorSR</v>
      </c>
      <c r="F619" t="str">
        <f ca="1">IFERROR(__xludf.DUMMYFUNCTION("""COMPUTED_VALUE"""),"INTL")</f>
        <v>INTL</v>
      </c>
      <c r="G619" t="str">
        <f ca="1">IFERROR(__xludf.DUMMYFUNCTION("""COMPUTED_VALUE"""),"")</f>
        <v/>
      </c>
    </row>
    <row r="620" spans="1:7" ht="13.2" x14ac:dyDescent="0.25">
      <c r="A620" s="1" t="s">
        <v>28</v>
      </c>
      <c r="B620" t="str">
        <f ca="1">IFERROR(__xludf.DUMMYFUNCTION("""COMPUTED_VALUE"""),"Peay, Taylor")</f>
        <v>Peay, Taylor</v>
      </c>
      <c r="C620">
        <f ca="1">IFERROR(__xludf.DUMMYFUNCTION("""COMPUTED_VALUE"""),21)</f>
        <v>21</v>
      </c>
      <c r="D620" t="str">
        <f ca="1">IFERROR(__xludf.DUMMYFUNCTION("""COMPUTED_VALUE"""),"D")</f>
        <v>D</v>
      </c>
      <c r="E620" t="str">
        <f ca="1">IFERROR(__xludf.DUMMYFUNCTION("""COMPUTED_VALUE"""),"SupplementalSUP")</f>
        <v>SupplementalSUP</v>
      </c>
      <c r="F620" t="str">
        <f ca="1">IFERROR(__xludf.DUMMYFUNCTION("""COMPUTED_VALUE"""),"")</f>
        <v/>
      </c>
      <c r="G620" t="str">
        <f ca="1">IFERROR(__xludf.DUMMYFUNCTION("""COMPUTED_VALUE"""),"")</f>
        <v/>
      </c>
    </row>
    <row r="621" spans="1:7" ht="13.2" x14ac:dyDescent="0.25">
      <c r="A621" s="1" t="s">
        <v>28</v>
      </c>
      <c r="B621" t="str">
        <f ca="1">IFERROR(__xludf.DUMMYFUNCTION("""COMPUTED_VALUE"""),"Phillips, Demar")</f>
        <v>Phillips, Demar</v>
      </c>
      <c r="C621">
        <f ca="1">IFERROR(__xludf.DUMMYFUNCTION("""COMPUTED_VALUE"""),17)</f>
        <v>17</v>
      </c>
      <c r="D621" t="str">
        <f ca="1">IFERROR(__xludf.DUMMYFUNCTION("""COMPUTED_VALUE"""),"D")</f>
        <v>D</v>
      </c>
      <c r="E621" t="str">
        <f ca="1">IFERROR(__xludf.DUMMYFUNCTION("""COMPUTED_VALUE"""),"SeniorSR")</f>
        <v>SeniorSR</v>
      </c>
      <c r="F621" t="str">
        <f ca="1">IFERROR(__xludf.DUMMYFUNCTION("""COMPUTED_VALUE"""),"")</f>
        <v/>
      </c>
      <c r="G621" t="str">
        <f ca="1">IFERROR(__xludf.DUMMYFUNCTION("""COMPUTED_VALUE"""),"")</f>
        <v/>
      </c>
    </row>
    <row r="622" spans="1:7" ht="13.2" x14ac:dyDescent="0.25">
      <c r="A622" s="1" t="s">
        <v>28</v>
      </c>
      <c r="B622" t="str">
        <f ca="1">IFERROR(__xludf.DUMMYFUNCTION("""COMPUTED_VALUE"""),"Plata, Joao")</f>
        <v>Plata, Joao</v>
      </c>
      <c r="C622">
        <f ca="1">IFERROR(__xludf.DUMMYFUNCTION("""COMPUTED_VALUE"""),10)</f>
        <v>10</v>
      </c>
      <c r="D622" t="str">
        <f ca="1">IFERROR(__xludf.DUMMYFUNCTION("""COMPUTED_VALUE"""),"F")</f>
        <v>F</v>
      </c>
      <c r="E622" t="str">
        <f ca="1">IFERROR(__xludf.DUMMYFUNCTION("""COMPUTED_VALUE"""),"SeniorSR")</f>
        <v>SeniorSR</v>
      </c>
      <c r="F622" t="str">
        <f ca="1">IFERROR(__xludf.DUMMYFUNCTION("""COMPUTED_VALUE"""),"")</f>
        <v/>
      </c>
      <c r="G622" t="str">
        <f ca="1">IFERROR(__xludf.DUMMYFUNCTION("""COMPUTED_VALUE"""),"")</f>
        <v/>
      </c>
    </row>
    <row r="623" spans="1:7" ht="13.2" x14ac:dyDescent="0.25">
      <c r="A623" s="1" t="s">
        <v>28</v>
      </c>
      <c r="B623" t="str">
        <f ca="1">IFERROR(__xludf.DUMMYFUNCTION("""COMPUTED_VALUE"""),"Putna, Andrew")</f>
        <v>Putna, Andrew</v>
      </c>
      <c r="C623">
        <f ca="1">IFERROR(__xludf.DUMMYFUNCTION("""COMPUTED_VALUE"""),51)</f>
        <v>51</v>
      </c>
      <c r="D623" t="str">
        <f ca="1">IFERROR(__xludf.DUMMYFUNCTION("""COMPUTED_VALUE"""),"GK")</f>
        <v>GK</v>
      </c>
      <c r="E623" t="str">
        <f ca="1">IFERROR(__xludf.DUMMYFUNCTION("""COMPUTED_VALUE"""),"ReserveRES")</f>
        <v>ReserveRES</v>
      </c>
      <c r="F623" t="str">
        <f ca="1">IFERROR(__xludf.DUMMYFUNCTION("""COMPUTED_VALUE"""),"")</f>
        <v/>
      </c>
      <c r="G623" t="str">
        <f ca="1">IFERROR(__xludf.DUMMYFUNCTION("""COMPUTED_VALUE"""),"")</f>
        <v/>
      </c>
    </row>
    <row r="624" spans="1:7" ht="13.2" x14ac:dyDescent="0.25">
      <c r="A624" s="1" t="s">
        <v>28</v>
      </c>
      <c r="B624" t="str">
        <f ca="1">IFERROR(__xludf.DUMMYFUNCTION("""COMPUTED_VALUE"""),"Rimando, Nick")</f>
        <v>Rimando, Nick</v>
      </c>
      <c r="C624">
        <f ca="1">IFERROR(__xludf.DUMMYFUNCTION("""COMPUTED_VALUE"""),18)</f>
        <v>18</v>
      </c>
      <c r="D624" t="str">
        <f ca="1">IFERROR(__xludf.DUMMYFUNCTION("""COMPUTED_VALUE"""),"GK")</f>
        <v>GK</v>
      </c>
      <c r="E624" t="str">
        <f ca="1">IFERROR(__xludf.DUMMYFUNCTION("""COMPUTED_VALUE"""),"SeniorSR")</f>
        <v>SeniorSR</v>
      </c>
      <c r="F624" t="str">
        <f ca="1">IFERROR(__xludf.DUMMYFUNCTION("""COMPUTED_VALUE"""),"")</f>
        <v/>
      </c>
      <c r="G624" t="str">
        <f ca="1">IFERROR(__xludf.DUMMYFUNCTION("""COMPUTED_VALUE"""),"")</f>
        <v/>
      </c>
    </row>
    <row r="625" spans="1:7" ht="13.2" x14ac:dyDescent="0.25">
      <c r="A625" s="1" t="s">
        <v>28</v>
      </c>
      <c r="B625" t="str">
        <f ca="1">IFERROR(__xludf.DUMMYFUNCTION("""COMPUTED_VALUE"""),"Ruiz, Pablo")</f>
        <v>Ruiz, Pablo</v>
      </c>
      <c r="C625">
        <f ca="1">IFERROR(__xludf.DUMMYFUNCTION("""COMPUTED_VALUE"""),31)</f>
        <v>31</v>
      </c>
      <c r="D625" t="str">
        <f ca="1">IFERROR(__xludf.DUMMYFUNCTION("""COMPUTED_VALUE"""),"M")</f>
        <v>M</v>
      </c>
      <c r="E625" t="str">
        <f ca="1">IFERROR(__xludf.DUMMYFUNCTION("""COMPUTED_VALUE"""),"SeniorSR")</f>
        <v>SeniorSR</v>
      </c>
      <c r="F625" t="str">
        <f ca="1">IFERROR(__xludf.DUMMYFUNCTION("""COMPUTED_VALUE"""),"INTL")</f>
        <v>INTL</v>
      </c>
      <c r="G625" t="str">
        <f ca="1">IFERROR(__xludf.DUMMYFUNCTION("""COMPUTED_VALUE"""),"")</f>
        <v/>
      </c>
    </row>
    <row r="626" spans="1:7" ht="13.2" x14ac:dyDescent="0.25">
      <c r="A626" s="1" t="s">
        <v>28</v>
      </c>
      <c r="B626" t="str">
        <f ca="1">IFERROR(__xludf.DUMMYFUNCTION("""COMPUTED_VALUE"""),"Rusnak, Albert")</f>
        <v>Rusnak, Albert</v>
      </c>
      <c r="C626">
        <f ca="1">IFERROR(__xludf.DUMMYFUNCTION("""COMPUTED_VALUE"""),11)</f>
        <v>11</v>
      </c>
      <c r="D626" t="str">
        <f ca="1">IFERROR(__xludf.DUMMYFUNCTION("""COMPUTED_VALUE"""),"M")</f>
        <v>M</v>
      </c>
      <c r="E626" t="str">
        <f ca="1">IFERROR(__xludf.DUMMYFUNCTION("""COMPUTED_VALUE"""),"SeniorSR")</f>
        <v>SeniorSR</v>
      </c>
      <c r="F626" t="str">
        <f ca="1">IFERROR(__xludf.DUMMYFUNCTION("""COMPUTED_VALUE"""),"DP, INTL")</f>
        <v>DP, INTL</v>
      </c>
      <c r="G626" t="str">
        <f ca="1">IFERROR(__xludf.DUMMYFUNCTION("""COMPUTED_VALUE"""),"")</f>
        <v/>
      </c>
    </row>
    <row r="627" spans="1:7" ht="13.2" x14ac:dyDescent="0.25">
      <c r="A627" s="1" t="s">
        <v>28</v>
      </c>
      <c r="B627" t="str">
        <f ca="1">IFERROR(__xludf.DUMMYFUNCTION("""COMPUTED_VALUE"""),"Saucedo, Sebastian")</f>
        <v>Saucedo, Sebastian</v>
      </c>
      <c r="C627">
        <f ca="1">IFERROR(__xludf.DUMMYFUNCTION("""COMPUTED_VALUE"""),23)</f>
        <v>23</v>
      </c>
      <c r="D627" t="str">
        <f ca="1">IFERROR(__xludf.DUMMYFUNCTION("""COMPUTED_VALUE"""),"M")</f>
        <v>M</v>
      </c>
      <c r="E627" t="str">
        <f ca="1">IFERROR(__xludf.DUMMYFUNCTION("""COMPUTED_VALUE"""),"SeniorSR")</f>
        <v>SeniorSR</v>
      </c>
      <c r="F627" t="str">
        <f ca="1">IFERROR(__xludf.DUMMYFUNCTION("""COMPUTED_VALUE"""),"")</f>
        <v/>
      </c>
      <c r="G627" t="str">
        <f ca="1">IFERROR(__xludf.DUMMYFUNCTION("""COMPUTED_VALUE"""),"")</f>
        <v/>
      </c>
    </row>
    <row r="628" spans="1:7" ht="13.2" x14ac:dyDescent="0.25">
      <c r="A628" s="1" t="s">
        <v>28</v>
      </c>
      <c r="B628" t="str">
        <f ca="1">IFERROR(__xludf.DUMMYFUNCTION("""COMPUTED_VALUE"""),"Savarino, Jefferson")</f>
        <v>Savarino, Jefferson</v>
      </c>
      <c r="C628">
        <f ca="1">IFERROR(__xludf.DUMMYFUNCTION("""COMPUTED_VALUE"""),7)</f>
        <v>7</v>
      </c>
      <c r="D628" t="str">
        <f ca="1">IFERROR(__xludf.DUMMYFUNCTION("""COMPUTED_VALUE"""),"F")</f>
        <v>F</v>
      </c>
      <c r="E628" t="str">
        <f ca="1">IFERROR(__xludf.DUMMYFUNCTION("""COMPUTED_VALUE"""),"SeniorSR")</f>
        <v>SeniorSR</v>
      </c>
      <c r="F628" t="str">
        <f ca="1">IFERROR(__xludf.DUMMYFUNCTION("""COMPUTED_VALUE"""),"Young DPYDP, INTL")</f>
        <v>Young DPYDP, INTL</v>
      </c>
      <c r="G628" t="str">
        <f ca="1">IFERROR(__xludf.DUMMYFUNCTION("""COMPUTED_VALUE"""),"")</f>
        <v/>
      </c>
    </row>
    <row r="629" spans="1:7" ht="13.2" x14ac:dyDescent="0.25">
      <c r="A629" s="1" t="s">
        <v>28</v>
      </c>
      <c r="B629" t="str">
        <f ca="1">IFERROR(__xludf.DUMMYFUNCTION("""COMPUTED_VALUE"""),"Silva, Luis")</f>
        <v>Silva, Luis</v>
      </c>
      <c r="C629">
        <f ca="1">IFERROR(__xludf.DUMMYFUNCTION("""COMPUTED_VALUE"""),20)</f>
        <v>20</v>
      </c>
      <c r="D629" t="str">
        <f ca="1">IFERROR(__xludf.DUMMYFUNCTION("""COMPUTED_VALUE"""),"F")</f>
        <v>F</v>
      </c>
      <c r="E629" t="str">
        <f ca="1">IFERROR(__xludf.DUMMYFUNCTION("""COMPUTED_VALUE"""),"SeniorSR")</f>
        <v>SeniorSR</v>
      </c>
      <c r="F629" t="str">
        <f ca="1">IFERROR(__xludf.DUMMYFUNCTION("""COMPUTED_VALUE"""),"")</f>
        <v/>
      </c>
      <c r="G629" t="str">
        <f ca="1">IFERROR(__xludf.DUMMYFUNCTION("""COMPUTED_VALUE"""),"")</f>
        <v/>
      </c>
    </row>
    <row r="630" spans="1:7" ht="13.2" x14ac:dyDescent="0.25">
      <c r="A630" s="1" t="s">
        <v>28</v>
      </c>
      <c r="B630" t="str">
        <f ca="1">IFERROR(__xludf.DUMMYFUNCTION("""COMPUTED_VALUE"""),"Silva, Marcelo")</f>
        <v>Silva, Marcelo</v>
      </c>
      <c r="C630">
        <f ca="1">IFERROR(__xludf.DUMMYFUNCTION("""COMPUTED_VALUE"""),30)</f>
        <v>30</v>
      </c>
      <c r="D630" t="str">
        <f ca="1">IFERROR(__xludf.DUMMYFUNCTION("""COMPUTED_VALUE"""),"D")</f>
        <v>D</v>
      </c>
      <c r="E630" t="str">
        <f ca="1">IFERROR(__xludf.DUMMYFUNCTION("""COMPUTED_VALUE"""),"SeniorSR")</f>
        <v>SeniorSR</v>
      </c>
      <c r="F630" t="str">
        <f ca="1">IFERROR(__xludf.DUMMYFUNCTION("""COMPUTED_VALUE"""),"INTL")</f>
        <v>INTL</v>
      </c>
      <c r="G630" t="str">
        <f ca="1">IFERROR(__xludf.DUMMYFUNCTION("""COMPUTED_VALUE"""),"")</f>
        <v/>
      </c>
    </row>
    <row r="631" spans="1:7" ht="13.2" x14ac:dyDescent="0.25">
      <c r="A631" s="1" t="s">
        <v>28</v>
      </c>
      <c r="B631" t="str">
        <f ca="1">IFERROR(__xludf.DUMMYFUNCTION("""COMPUTED_VALUE"""),"Sparrow, Connor")</f>
        <v>Sparrow, Connor</v>
      </c>
      <c r="C631">
        <f ca="1">IFERROR(__xludf.DUMMYFUNCTION("""COMPUTED_VALUE"""),24)</f>
        <v>24</v>
      </c>
      <c r="D631" t="str">
        <f ca="1">IFERROR(__xludf.DUMMYFUNCTION("""COMPUTED_VALUE"""),"GK")</f>
        <v>GK</v>
      </c>
      <c r="E631" t="str">
        <f ca="1">IFERROR(__xludf.DUMMYFUNCTION("""COMPUTED_VALUE"""),"ReserveRES")</f>
        <v>ReserveRES</v>
      </c>
      <c r="F631" t="str">
        <f ca="1">IFERROR(__xludf.DUMMYFUNCTION("""COMPUTED_VALUE"""),"")</f>
        <v/>
      </c>
      <c r="G631" t="str">
        <f ca="1">IFERROR(__xludf.DUMMYFUNCTION("""COMPUTED_VALUE"""),"")</f>
        <v/>
      </c>
    </row>
    <row r="632" spans="1:7" ht="13.2" x14ac:dyDescent="0.25">
      <c r="A632" s="1" t="s">
        <v>28</v>
      </c>
      <c r="B632" t="str">
        <f ca="1">IFERROR(__xludf.DUMMYFUNCTION("""COMPUTED_VALUE"""),"Stephen, Sunday")</f>
        <v>Stephen, Sunday</v>
      </c>
      <c r="C632">
        <f ca="1">IFERROR(__xludf.DUMMYFUNCTION("""COMPUTED_VALUE"""),8)</f>
        <v>8</v>
      </c>
      <c r="D632" t="str">
        <f ca="1">IFERROR(__xludf.DUMMYFUNCTION("""COMPUTED_VALUE"""),"M")</f>
        <v>M</v>
      </c>
      <c r="E632" t="str">
        <f ca="1">IFERROR(__xludf.DUMMYFUNCTION("""COMPUTED_VALUE"""),"SeniorSR")</f>
        <v>SeniorSR</v>
      </c>
      <c r="F632" t="str">
        <f ca="1">IFERROR(__xludf.DUMMYFUNCTION("""COMPUTED_VALUE"""),"")</f>
        <v/>
      </c>
      <c r="G632" t="str">
        <f ca="1">IFERROR(__xludf.DUMMYFUNCTION("""COMPUTED_VALUE"""),"")</f>
        <v/>
      </c>
    </row>
    <row r="633" spans="1:7" ht="13.2" x14ac:dyDescent="0.25">
      <c r="A633" s="1" t="s">
        <v>28</v>
      </c>
      <c r="B633" t="str">
        <f ca="1">IFERROR(__xludf.DUMMYFUNCTION("""COMPUTED_VALUE"""),"")</f>
        <v/>
      </c>
      <c r="C633" t="str">
        <f ca="1">IFERROR(__xludf.DUMMYFUNCTION("""COMPUTED_VALUE"""),"")</f>
        <v/>
      </c>
      <c r="D633" t="str">
        <f ca="1">IFERROR(__xludf.DUMMYFUNCTION("""COMPUTED_VALUE"""),"")</f>
        <v/>
      </c>
      <c r="E633" t="str">
        <f ca="1">IFERROR(__xludf.DUMMYFUNCTION("""COMPUTED_VALUE"""),"")</f>
        <v/>
      </c>
      <c r="F633" t="str">
        <f ca="1">IFERROR(__xludf.DUMMYFUNCTION("""COMPUTED_VALUE"""),"")</f>
        <v/>
      </c>
      <c r="G633" t="str">
        <f ca="1">IFERROR(__xludf.DUMMYFUNCTION("""COMPUTED_VALUE"""),"")</f>
        <v/>
      </c>
    </row>
    <row r="634" spans="1:7" ht="13.2" x14ac:dyDescent="0.25">
      <c r="A634" s="1" t="s">
        <v>28</v>
      </c>
      <c r="B634" t="str">
        <f ca="1">IFERROR(__xludf.DUMMYFUNCTION("""COMPUTED_VALUE"""),"29 of 30 spots filled")</f>
        <v>29 of 30 spots filled</v>
      </c>
      <c r="C634" t="str">
        <f ca="1">IFERROR(__xludf.DUMMYFUNCTION("""COMPUTED_VALUE"""),"")</f>
        <v/>
      </c>
      <c r="D634" t="str">
        <f ca="1">IFERROR(__xludf.DUMMYFUNCTION("""COMPUTED_VALUE"""),"")</f>
        <v/>
      </c>
      <c r="E634" t="str">
        <f ca="1">IFERROR(__xludf.DUMMYFUNCTION("""COMPUTED_VALUE"""),"")</f>
        <v/>
      </c>
      <c r="F634" t="str">
        <f ca="1">IFERROR(__xludf.DUMMYFUNCTION("""COMPUTED_VALUE"""),"")</f>
        <v/>
      </c>
      <c r="G634" t="str">
        <f ca="1">IFERROR(__xludf.DUMMYFUNCTION("""COMPUTED_VALUE"""),"")</f>
        <v/>
      </c>
    </row>
    <row r="635" spans="1:7" ht="13.2" x14ac:dyDescent="0.25">
      <c r="A635" s="1" t="s">
        <v>28</v>
      </c>
      <c r="B635" t="str">
        <f ca="1">IFERROR(__xludf.DUMMYFUNCTION("""COMPUTED_VALUE"""),"*Players that do not count against the 30-man active roster*")</f>
        <v>*Players that do not count against the 30-man active roster*</v>
      </c>
      <c r="C635" t="str">
        <f ca="1">IFERROR(__xludf.DUMMYFUNCTION("""COMPUTED_VALUE"""),"")</f>
        <v/>
      </c>
      <c r="D635" t="str">
        <f ca="1">IFERROR(__xludf.DUMMYFUNCTION("""COMPUTED_VALUE"""),"")</f>
        <v/>
      </c>
      <c r="E635" t="str">
        <f ca="1">IFERROR(__xludf.DUMMYFUNCTION("""COMPUTED_VALUE"""),"")</f>
        <v/>
      </c>
      <c r="F635" t="str">
        <f ca="1">IFERROR(__xludf.DUMMYFUNCTION("""COMPUTED_VALUE"""),"")</f>
        <v/>
      </c>
      <c r="G635" t="str">
        <f ca="1">IFERROR(__xludf.DUMMYFUNCTION("""COMPUTED_VALUE"""),"")</f>
        <v/>
      </c>
    </row>
    <row r="636" spans="1:7" ht="13.2" x14ac:dyDescent="0.25">
      <c r="A636" s="1" t="s">
        <v>28</v>
      </c>
      <c r="B636" t="str">
        <f ca="1">IFERROR(__xludf.DUMMYFUNCTION("""COMPUTED_VALUE"""),"Horst, David")</f>
        <v>Horst, David</v>
      </c>
      <c r="C636">
        <f ca="1">IFERROR(__xludf.DUMMYFUNCTION("""COMPUTED_VALUE"""),4)</f>
        <v>4</v>
      </c>
      <c r="D636" t="str">
        <f ca="1">IFERROR(__xludf.DUMMYFUNCTION("""COMPUTED_VALUE"""),"D")</f>
        <v>D</v>
      </c>
      <c r="E636" t="str">
        <f ca="1">IFERROR(__xludf.DUMMYFUNCTION("""COMPUTED_VALUE"""),"SeniorSR, Season-Ending InjurySEI")</f>
        <v>SeniorSR, Season-Ending InjurySEI</v>
      </c>
      <c r="F636" t="str">
        <f ca="1">IFERROR(__xludf.DUMMYFUNCTION("""COMPUTED_VALUE"""),"*Season-Ending InjurySEI*")</f>
        <v>*Season-Ending InjurySEI*</v>
      </c>
      <c r="G636" t="str">
        <f ca="1">IFERROR(__xludf.DUMMYFUNCTION("""COMPUTED_VALUE"""),"")</f>
        <v/>
      </c>
    </row>
    <row r="637" spans="1:7" ht="13.2" x14ac:dyDescent="0.25">
      <c r="A637" s="1" t="s">
        <v>28</v>
      </c>
      <c r="B637" t="str">
        <f ca="1">IFERROR(__xludf.DUMMYFUNCTION("""COMPUTED_VALUE"""),"Horwath, Alex")</f>
        <v>Horwath, Alex</v>
      </c>
      <c r="C637">
        <f ca="1">IFERROR(__xludf.DUMMYFUNCTION("""COMPUTED_VALUE"""),1)</f>
        <v>1</v>
      </c>
      <c r="D637" t="str">
        <f ca="1">IFERROR(__xludf.DUMMYFUNCTION("""COMPUTED_VALUE"""),"GK")</f>
        <v>GK</v>
      </c>
      <c r="E637" t="str">
        <f ca="1">IFERROR(__xludf.DUMMYFUNCTION("""COMPUTED_VALUE"""),"SupplementalSUP, Season-Ending InjurySEI")</f>
        <v>SupplementalSUP, Season-Ending InjurySEI</v>
      </c>
      <c r="F637" t="str">
        <f ca="1">IFERROR(__xludf.DUMMYFUNCTION("""COMPUTED_VALUE"""),"*Season-Ending InjurySEI*")</f>
        <v>*Season-Ending InjurySEI*</v>
      </c>
      <c r="G637" t="str">
        <f ca="1">IFERROR(__xludf.DUMMYFUNCTION("""COMPUTED_VALUE"""),"")</f>
        <v/>
      </c>
    </row>
    <row r="638" spans="1:7" ht="13.2" x14ac:dyDescent="0.25">
      <c r="A638" s="1" t="s">
        <v>28</v>
      </c>
      <c r="B638" t="str">
        <f ca="1">IFERROR(__xludf.DUMMYFUNCTION("""COMPUTED_VALUE"""),"Hernandez, Jose")</f>
        <v>Hernandez, Jose</v>
      </c>
      <c r="C638">
        <f ca="1">IFERROR(__xludf.DUMMYFUNCTION("""COMPUTED_VALUE"""),19)</f>
        <v>19</v>
      </c>
      <c r="D638" t="str">
        <f ca="1">IFERROR(__xludf.DUMMYFUNCTION("""COMPUTED_VALUE"""),"M")</f>
        <v>M</v>
      </c>
      <c r="E638" t="str">
        <f ca="1">IFERROR(__xludf.DUMMYFUNCTION("""COMPUTED_VALUE"""),"ReserveRES, On loanOL")</f>
        <v>ReserveRES, On loanOL</v>
      </c>
      <c r="F638" t="str">
        <f ca="1">IFERROR(__xludf.DUMMYFUNCTION("""COMPUTED_VALUE"""),"*Loaned to: USLOL: USL*")</f>
        <v>*Loaned to: USLOL: USL*</v>
      </c>
      <c r="G638" t="str">
        <f ca="1">IFERROR(__xludf.DUMMYFUNCTION("""COMPUTED_VALUE"""),"")</f>
        <v/>
      </c>
    </row>
    <row r="640" spans="1:7" ht="13.2" x14ac:dyDescent="0.25">
      <c r="B640" t="str">
        <f ca="1">IFERROR(__xludf.DUMMYFUNCTION("IMPORTHTML(""http://www.mlssoccer.com/rosters/2018/san-jose-earthquakes"", ""table"", 1)"),"30-man Active Roster (Spots 1-30)")</f>
        <v>30-man Active Roster (Spots 1-30)</v>
      </c>
      <c r="C640" t="str">
        <f ca="1">IFERROR(__xludf.DUMMYFUNCTION("""COMPUTED_VALUE"""),"#")</f>
        <v>#</v>
      </c>
      <c r="D640" t="str">
        <f ca="1">IFERROR(__xludf.DUMMYFUNCTION("""COMPUTED_VALUE"""),"POS")</f>
        <v>POS</v>
      </c>
      <c r="E640" t="str">
        <f ca="1">IFERROR(__xludf.DUMMYFUNCTION("""COMPUTED_VALUE"""),"ROSTER STATUSR.S.")</f>
        <v>ROSTER STATUSR.S.</v>
      </c>
      <c r="F640" t="str">
        <f ca="1">IFERROR(__xludf.DUMMYFUNCTION("""COMPUTED_VALUE"""),"PLAYER CATEGORYCAT.")</f>
        <v>PLAYER CATEGORYCAT.</v>
      </c>
      <c r="G640" t="str">
        <f ca="1">IFERROR(__xludf.DUMMYFUNCTION("""COMPUTED_VALUE"""),"*NOTE*")</f>
        <v>*NOTE*</v>
      </c>
    </row>
    <row r="641" spans="1:7" ht="13.2" x14ac:dyDescent="0.25">
      <c r="A641" s="1" t="s">
        <v>29</v>
      </c>
      <c r="B641" t="str">
        <f ca="1">IFERROR(__xludf.DUMMYFUNCTION("""COMPUTED_VALUE"""),"Affolter, Francois")</f>
        <v>Affolter, Francois</v>
      </c>
      <c r="C641">
        <f ca="1">IFERROR(__xludf.DUMMYFUNCTION("""COMPUTED_VALUE"""),3)</f>
        <v>3</v>
      </c>
      <c r="D641" t="str">
        <f ca="1">IFERROR(__xludf.DUMMYFUNCTION("""COMPUTED_VALUE"""),"D")</f>
        <v>D</v>
      </c>
      <c r="E641" t="str">
        <f ca="1">IFERROR(__xludf.DUMMYFUNCTION("""COMPUTED_VALUE"""),"SeniorSR")</f>
        <v>SeniorSR</v>
      </c>
      <c r="F641" t="str">
        <f ca="1">IFERROR(__xludf.DUMMYFUNCTION("""COMPUTED_VALUE"""),"")</f>
        <v/>
      </c>
      <c r="G641" t="str">
        <f ca="1">IFERROR(__xludf.DUMMYFUNCTION("""COMPUTED_VALUE"""),"")</f>
        <v/>
      </c>
    </row>
    <row r="642" spans="1:7" ht="13.2" x14ac:dyDescent="0.25">
      <c r="A642" s="1" t="s">
        <v>29</v>
      </c>
      <c r="B642" t="str">
        <f ca="1">IFERROR(__xludf.DUMMYFUNCTION("""COMPUTED_VALUE"""),"Akanyirige, Jacob")</f>
        <v>Akanyirige, Jacob</v>
      </c>
      <c r="C642">
        <f ca="1">IFERROR(__xludf.DUMMYFUNCTION("""COMPUTED_VALUE"""),29)</f>
        <v>29</v>
      </c>
      <c r="D642" t="str">
        <f ca="1">IFERROR(__xludf.DUMMYFUNCTION("""COMPUTED_VALUE"""),"D")</f>
        <v>D</v>
      </c>
      <c r="E642" t="str">
        <f ca="1">IFERROR(__xludf.DUMMYFUNCTION("""COMPUTED_VALUE"""),"ReserveRES")</f>
        <v>ReserveRES</v>
      </c>
      <c r="F642" t="str">
        <f ca="1">IFERROR(__xludf.DUMMYFUNCTION("""COMPUTED_VALUE"""),"HG")</f>
        <v>HG</v>
      </c>
      <c r="G642" t="str">
        <f ca="1">IFERROR(__xludf.DUMMYFUNCTION("""COMPUTED_VALUE"""),"")</f>
        <v/>
      </c>
    </row>
    <row r="643" spans="1:7" ht="13.2" x14ac:dyDescent="0.25">
      <c r="A643" s="1" t="s">
        <v>29</v>
      </c>
      <c r="B643" t="str">
        <f ca="1">IFERROR(__xludf.DUMMYFUNCTION("""COMPUTED_VALUE"""),"Bersano, Matt")</f>
        <v>Bersano, Matt</v>
      </c>
      <c r="C643">
        <f ca="1">IFERROR(__xludf.DUMMYFUNCTION("""COMPUTED_VALUE"""),12)</f>
        <v>12</v>
      </c>
      <c r="D643" t="str">
        <f ca="1">IFERROR(__xludf.DUMMYFUNCTION("""COMPUTED_VALUE"""),"GK")</f>
        <v>GK</v>
      </c>
      <c r="E643" t="str">
        <f ca="1">IFERROR(__xludf.DUMMYFUNCTION("""COMPUTED_VALUE"""),"SeniorSR")</f>
        <v>SeniorSR</v>
      </c>
      <c r="F643" t="str">
        <f ca="1">IFERROR(__xludf.DUMMYFUNCTION("""COMPUTED_VALUE"""),"")</f>
        <v/>
      </c>
      <c r="G643" t="str">
        <f ca="1">IFERROR(__xludf.DUMMYFUNCTION("""COMPUTED_VALUE"""),"")</f>
        <v/>
      </c>
    </row>
    <row r="644" spans="1:7" ht="13.2" x14ac:dyDescent="0.25">
      <c r="A644" s="1" t="s">
        <v>29</v>
      </c>
      <c r="B644" t="str">
        <f ca="1">IFERROR(__xludf.DUMMYFUNCTION("""COMPUTED_VALUE"""),"Calvillo, Eric")</f>
        <v>Calvillo, Eric</v>
      </c>
      <c r="C644">
        <f ca="1">IFERROR(__xludf.DUMMYFUNCTION("""COMPUTED_VALUE"""),26)</f>
        <v>26</v>
      </c>
      <c r="D644" t="str">
        <f ca="1">IFERROR(__xludf.DUMMYFUNCTION("""COMPUTED_VALUE"""),"M")</f>
        <v>M</v>
      </c>
      <c r="E644" t="str">
        <f ca="1">IFERROR(__xludf.DUMMYFUNCTION("""COMPUTED_VALUE"""),"SeniorSR")</f>
        <v>SeniorSR</v>
      </c>
      <c r="F644" t="str">
        <f ca="1">IFERROR(__xludf.DUMMYFUNCTION("""COMPUTED_VALUE"""),"")</f>
        <v/>
      </c>
      <c r="G644" t="str">
        <f ca="1">IFERROR(__xludf.DUMMYFUNCTION("""COMPUTED_VALUE"""),"")</f>
        <v/>
      </c>
    </row>
    <row r="645" spans="1:7" ht="13.2" x14ac:dyDescent="0.25">
      <c r="A645" s="1" t="s">
        <v>29</v>
      </c>
      <c r="B645" t="str">
        <f ca="1">IFERROR(__xludf.DUMMYFUNCTION("""COMPUTED_VALUE"""),"Cummings, Harold")</f>
        <v>Cummings, Harold</v>
      </c>
      <c r="C645">
        <f ca="1">IFERROR(__xludf.DUMMYFUNCTION("""COMPUTED_VALUE"""),31)</f>
        <v>31</v>
      </c>
      <c r="D645" t="str">
        <f ca="1">IFERROR(__xludf.DUMMYFUNCTION("""COMPUTED_VALUE"""),"D")</f>
        <v>D</v>
      </c>
      <c r="E645" t="str">
        <f ca="1">IFERROR(__xludf.DUMMYFUNCTION("""COMPUTED_VALUE"""),"SeniorSR")</f>
        <v>SeniorSR</v>
      </c>
      <c r="F645" t="str">
        <f ca="1">IFERROR(__xludf.DUMMYFUNCTION("""COMPUTED_VALUE"""),"INTL")</f>
        <v>INTL</v>
      </c>
      <c r="G645" t="str">
        <f ca="1">IFERROR(__xludf.DUMMYFUNCTION("""COMPUTED_VALUE"""),"")</f>
        <v/>
      </c>
    </row>
    <row r="646" spans="1:7" ht="13.2" x14ac:dyDescent="0.25">
      <c r="A646" s="1" t="s">
        <v>29</v>
      </c>
      <c r="B646" t="str">
        <f ca="1">IFERROR(__xludf.DUMMYFUNCTION("""COMPUTED_VALUE"""),"Eriksson, Magnus")</f>
        <v>Eriksson, Magnus</v>
      </c>
      <c r="C646">
        <f ca="1">IFERROR(__xludf.DUMMYFUNCTION("""COMPUTED_VALUE"""),7)</f>
        <v>7</v>
      </c>
      <c r="D646" t="str">
        <f ca="1">IFERROR(__xludf.DUMMYFUNCTION("""COMPUTED_VALUE"""),"M")</f>
        <v>M</v>
      </c>
      <c r="E646" t="str">
        <f ca="1">IFERROR(__xludf.DUMMYFUNCTION("""COMPUTED_VALUE"""),"SeniorSR")</f>
        <v>SeniorSR</v>
      </c>
      <c r="F646" t="str">
        <f ca="1">IFERROR(__xludf.DUMMYFUNCTION("""COMPUTED_VALUE"""),"INTL")</f>
        <v>INTL</v>
      </c>
      <c r="G646" t="str">
        <f ca="1">IFERROR(__xludf.DUMMYFUNCTION("""COMPUTED_VALUE"""),"")</f>
        <v/>
      </c>
    </row>
    <row r="647" spans="1:7" ht="13.2" x14ac:dyDescent="0.25">
      <c r="A647" s="1" t="s">
        <v>29</v>
      </c>
      <c r="B647" t="str">
        <f ca="1">IFERROR(__xludf.DUMMYFUNCTION("""COMPUTED_VALUE"""),"Felipe, Luis")</f>
        <v>Felipe, Luis</v>
      </c>
      <c r="C647">
        <f ca="1">IFERROR(__xludf.DUMMYFUNCTION("""COMPUTED_VALUE"""),96)</f>
        <v>96</v>
      </c>
      <c r="D647" t="str">
        <f ca="1">IFERROR(__xludf.DUMMYFUNCTION("""COMPUTED_VALUE"""),"M")</f>
        <v>M</v>
      </c>
      <c r="E647" t="str">
        <f ca="1">IFERROR(__xludf.DUMMYFUNCTION("""COMPUTED_VALUE"""),"SupplementalSUP")</f>
        <v>SupplementalSUP</v>
      </c>
      <c r="F647" t="str">
        <f ca="1">IFERROR(__xludf.DUMMYFUNCTION("""COMPUTED_VALUE"""),"")</f>
        <v/>
      </c>
      <c r="G647" t="str">
        <f ca="1">IFERROR(__xludf.DUMMYFUNCTION("""COMPUTED_VALUE"""),"")</f>
        <v/>
      </c>
    </row>
    <row r="648" spans="1:7" ht="13.2" x14ac:dyDescent="0.25">
      <c r="A648" s="1" t="s">
        <v>29</v>
      </c>
      <c r="B648" t="str">
        <f ca="1">IFERROR(__xludf.DUMMYFUNCTION("""COMPUTED_VALUE"""),"Fuentes, Gilbert")</f>
        <v>Fuentes, Gilbert</v>
      </c>
      <c r="C648">
        <f ca="1">IFERROR(__xludf.DUMMYFUNCTION("""COMPUTED_VALUE"""),35)</f>
        <v>35</v>
      </c>
      <c r="D648" t="str">
        <f ca="1">IFERROR(__xludf.DUMMYFUNCTION("""COMPUTED_VALUE"""),"M")</f>
        <v>M</v>
      </c>
      <c r="E648" t="str">
        <f ca="1">IFERROR(__xludf.DUMMYFUNCTION("""COMPUTED_VALUE"""),"ReserveRES")</f>
        <v>ReserveRES</v>
      </c>
      <c r="F648" t="str">
        <f ca="1">IFERROR(__xludf.DUMMYFUNCTION("""COMPUTED_VALUE"""),"HG")</f>
        <v>HG</v>
      </c>
      <c r="G648" t="str">
        <f ca="1">IFERROR(__xludf.DUMMYFUNCTION("""COMPUTED_VALUE"""),"")</f>
        <v/>
      </c>
    </row>
    <row r="649" spans="1:7" ht="13.2" x14ac:dyDescent="0.25">
      <c r="A649" s="1" t="s">
        <v>29</v>
      </c>
      <c r="B649" t="str">
        <f ca="1">IFERROR(__xludf.DUMMYFUNCTION("""COMPUTED_VALUE"""),"Godoy, Anibal")</f>
        <v>Godoy, Anibal</v>
      </c>
      <c r="C649">
        <f ca="1">IFERROR(__xludf.DUMMYFUNCTION("""COMPUTED_VALUE"""),20)</f>
        <v>20</v>
      </c>
      <c r="D649" t="str">
        <f ca="1">IFERROR(__xludf.DUMMYFUNCTION("""COMPUTED_VALUE"""),"M")</f>
        <v>M</v>
      </c>
      <c r="E649" t="str">
        <f ca="1">IFERROR(__xludf.DUMMYFUNCTION("""COMPUTED_VALUE"""),"SeniorSR")</f>
        <v>SeniorSR</v>
      </c>
      <c r="F649" t="str">
        <f ca="1">IFERROR(__xludf.DUMMYFUNCTION("""COMPUTED_VALUE"""),"")</f>
        <v/>
      </c>
      <c r="G649" t="str">
        <f ca="1">IFERROR(__xludf.DUMMYFUNCTION("""COMPUTED_VALUE"""),"")</f>
        <v/>
      </c>
    </row>
    <row r="650" spans="1:7" ht="13.2" x14ac:dyDescent="0.25">
      <c r="A650" s="1" t="s">
        <v>29</v>
      </c>
      <c r="B650" t="str">
        <f ca="1">IFERROR(__xludf.DUMMYFUNCTION("""COMPUTED_VALUE"""),"Hoesen, Danny")</f>
        <v>Hoesen, Danny</v>
      </c>
      <c r="C650">
        <f ca="1">IFERROR(__xludf.DUMMYFUNCTION("""COMPUTED_VALUE"""),9)</f>
        <v>9</v>
      </c>
      <c r="D650" t="str">
        <f ca="1">IFERROR(__xludf.DUMMYFUNCTION("""COMPUTED_VALUE"""),"F")</f>
        <v>F</v>
      </c>
      <c r="E650" t="str">
        <f ca="1">IFERROR(__xludf.DUMMYFUNCTION("""COMPUTED_VALUE"""),"SeniorSR")</f>
        <v>SeniorSR</v>
      </c>
      <c r="F650" t="str">
        <f ca="1">IFERROR(__xludf.DUMMYFUNCTION("""COMPUTED_VALUE"""),"INTL")</f>
        <v>INTL</v>
      </c>
      <c r="G650" t="str">
        <f ca="1">IFERROR(__xludf.DUMMYFUNCTION("""COMPUTED_VALUE"""),"")</f>
        <v/>
      </c>
    </row>
    <row r="651" spans="1:7" ht="13.2" x14ac:dyDescent="0.25">
      <c r="A651" s="1" t="s">
        <v>29</v>
      </c>
      <c r="B651" t="str">
        <f ca="1">IFERROR(__xludf.DUMMYFUNCTION("""COMPUTED_VALUE"""),"Hyka, Jahmir")</f>
        <v>Hyka, Jahmir</v>
      </c>
      <c r="C651">
        <f ca="1">IFERROR(__xludf.DUMMYFUNCTION("""COMPUTED_VALUE"""),10)</f>
        <v>10</v>
      </c>
      <c r="D651" t="str">
        <f ca="1">IFERROR(__xludf.DUMMYFUNCTION("""COMPUTED_VALUE"""),"M")</f>
        <v>M</v>
      </c>
      <c r="E651" t="str">
        <f ca="1">IFERROR(__xludf.DUMMYFUNCTION("""COMPUTED_VALUE"""),"SeniorSR")</f>
        <v>SeniorSR</v>
      </c>
      <c r="F651" t="str">
        <f ca="1">IFERROR(__xludf.DUMMYFUNCTION("""COMPUTED_VALUE"""),"")</f>
        <v/>
      </c>
      <c r="G651" t="str">
        <f ca="1">IFERROR(__xludf.DUMMYFUNCTION("""COMPUTED_VALUE"""),"")</f>
        <v/>
      </c>
    </row>
    <row r="652" spans="1:7" ht="13.2" x14ac:dyDescent="0.25">
      <c r="A652" s="1" t="s">
        <v>29</v>
      </c>
      <c r="B652" t="str">
        <f ca="1">IFERROR(__xludf.DUMMYFUNCTION("""COMPUTED_VALUE"""),"Jungwirth, Florian")</f>
        <v>Jungwirth, Florian</v>
      </c>
      <c r="C652">
        <f ca="1">IFERROR(__xludf.DUMMYFUNCTION("""COMPUTED_VALUE"""),23)</f>
        <v>23</v>
      </c>
      <c r="D652" t="str">
        <f ca="1">IFERROR(__xludf.DUMMYFUNCTION("""COMPUTED_VALUE"""),"M")</f>
        <v>M</v>
      </c>
      <c r="E652" t="str">
        <f ca="1">IFERROR(__xludf.DUMMYFUNCTION("""COMPUTED_VALUE"""),"SeniorSR")</f>
        <v>SeniorSR</v>
      </c>
      <c r="F652" t="str">
        <f ca="1">IFERROR(__xludf.DUMMYFUNCTION("""COMPUTED_VALUE"""),"")</f>
        <v/>
      </c>
      <c r="G652" t="str">
        <f ca="1">IFERROR(__xludf.DUMMYFUNCTION("""COMPUTED_VALUE"""),"")</f>
        <v/>
      </c>
    </row>
    <row r="653" spans="1:7" ht="13.2" x14ac:dyDescent="0.25">
      <c r="A653" s="1" t="s">
        <v>29</v>
      </c>
      <c r="B653" t="str">
        <f ca="1">IFERROR(__xludf.DUMMYFUNCTION("""COMPUTED_VALUE"""),"Kashia, Guram")</f>
        <v>Kashia, Guram</v>
      </c>
      <c r="C653" t="str">
        <f ca="1">IFERROR(__xludf.DUMMYFUNCTION("""COMPUTED_VALUE"""),"")</f>
        <v/>
      </c>
      <c r="D653" t="str">
        <f ca="1">IFERROR(__xludf.DUMMYFUNCTION("""COMPUTED_VALUE"""),"D")</f>
        <v>D</v>
      </c>
      <c r="E653" t="str">
        <f ca="1">IFERROR(__xludf.DUMMYFUNCTION("""COMPUTED_VALUE"""),"SeniorSR")</f>
        <v>SeniorSR</v>
      </c>
      <c r="F653" t="str">
        <f ca="1">IFERROR(__xludf.DUMMYFUNCTION("""COMPUTED_VALUE"""),"INTL")</f>
        <v>INTL</v>
      </c>
      <c r="G653" t="str">
        <f ca="1">IFERROR(__xludf.DUMMYFUNCTION("""COMPUTED_VALUE"""),"")</f>
        <v/>
      </c>
    </row>
    <row r="654" spans="1:7" ht="13.2" x14ac:dyDescent="0.25">
      <c r="A654" s="1" t="s">
        <v>29</v>
      </c>
      <c r="B654" t="str">
        <f ca="1">IFERROR(__xludf.DUMMYFUNCTION("""COMPUTED_VALUE"""),"Lima, Nick")</f>
        <v>Lima, Nick</v>
      </c>
      <c r="C654">
        <f ca="1">IFERROR(__xludf.DUMMYFUNCTION("""COMPUTED_VALUE"""),24)</f>
        <v>24</v>
      </c>
      <c r="D654" t="str">
        <f ca="1">IFERROR(__xludf.DUMMYFUNCTION("""COMPUTED_VALUE"""),"D")</f>
        <v>D</v>
      </c>
      <c r="E654" t="str">
        <f ca="1">IFERROR(__xludf.DUMMYFUNCTION("""COMPUTED_VALUE"""),"SeniorSR")</f>
        <v>SeniorSR</v>
      </c>
      <c r="F654" t="str">
        <f ca="1">IFERROR(__xludf.DUMMYFUNCTION("""COMPUTED_VALUE"""),"HG")</f>
        <v>HG</v>
      </c>
      <c r="G654" t="str">
        <f ca="1">IFERROR(__xludf.DUMMYFUNCTION("""COMPUTED_VALUE"""),"")</f>
        <v/>
      </c>
    </row>
    <row r="655" spans="1:7" ht="13.2" x14ac:dyDescent="0.25">
      <c r="A655" s="1" t="s">
        <v>29</v>
      </c>
      <c r="B655" t="str">
        <f ca="1">IFERROR(__xludf.DUMMYFUNCTION("""COMPUTED_VALUE"""),"Marcinkowski, JT")</f>
        <v>Marcinkowski, JT</v>
      </c>
      <c r="C655">
        <f ca="1">IFERROR(__xludf.DUMMYFUNCTION("""COMPUTED_VALUE"""),18)</f>
        <v>18</v>
      </c>
      <c r="D655" t="str">
        <f ca="1">IFERROR(__xludf.DUMMYFUNCTION("""COMPUTED_VALUE"""),"GK")</f>
        <v>GK</v>
      </c>
      <c r="E655" t="str">
        <f ca="1">IFERROR(__xludf.DUMMYFUNCTION("""COMPUTED_VALUE"""),"SupplementalSUP")</f>
        <v>SupplementalSUP</v>
      </c>
      <c r="F655" t="str">
        <f ca="1">IFERROR(__xludf.DUMMYFUNCTION("""COMPUTED_VALUE"""),"HG")</f>
        <v>HG</v>
      </c>
      <c r="G655" t="str">
        <f ca="1">IFERROR(__xludf.DUMMYFUNCTION("""COMPUTED_VALUE"""),"")</f>
        <v/>
      </c>
    </row>
    <row r="656" spans="1:7" ht="13.2" x14ac:dyDescent="0.25">
      <c r="A656" s="1" t="s">
        <v>29</v>
      </c>
      <c r="B656" t="str">
        <f ca="1">IFERROR(__xludf.DUMMYFUNCTION("""COMPUTED_VALUE"""),"Marie, Paul")</f>
        <v>Marie, Paul</v>
      </c>
      <c r="C656">
        <f ca="1">IFERROR(__xludf.DUMMYFUNCTION("""COMPUTED_VALUE"""),33)</f>
        <v>33</v>
      </c>
      <c r="D656" t="str">
        <f ca="1">IFERROR(__xludf.DUMMYFUNCTION("""COMPUTED_VALUE"""),"M")</f>
        <v>M</v>
      </c>
      <c r="E656" t="str">
        <f ca="1">IFERROR(__xludf.DUMMYFUNCTION("""COMPUTED_VALUE"""),"ReserveRES, On loanOL")</f>
        <v>ReserveRES, On loanOL</v>
      </c>
      <c r="F656" t="str">
        <f ca="1">IFERROR(__xludf.DUMMYFUNCTION("""COMPUTED_VALUE"""),"")</f>
        <v/>
      </c>
      <c r="G656" t="str">
        <f ca="1">IFERROR(__xludf.DUMMYFUNCTION("""COMPUTED_VALUE"""),"*On loanOL*")</f>
        <v>*On loanOL*</v>
      </c>
    </row>
    <row r="657" spans="1:7" ht="13.2" x14ac:dyDescent="0.25">
      <c r="A657" s="1" t="s">
        <v>29</v>
      </c>
      <c r="B657" t="str">
        <f ca="1">IFERROR(__xludf.DUMMYFUNCTION("""COMPUTED_VALUE"""),"Musovski, Danny")</f>
        <v>Musovski, Danny</v>
      </c>
      <c r="C657">
        <f ca="1">IFERROR(__xludf.DUMMYFUNCTION("""COMPUTED_VALUE"""),18)</f>
        <v>18</v>
      </c>
      <c r="D657" t="str">
        <f ca="1">IFERROR(__xludf.DUMMYFUNCTION("""COMPUTED_VALUE"""),"GK")</f>
        <v>GK</v>
      </c>
      <c r="E657" t="str">
        <f ca="1">IFERROR(__xludf.DUMMYFUNCTION("""COMPUTED_VALUE"""),"ReserveRES, On loanOL")</f>
        <v>ReserveRES, On loanOL</v>
      </c>
      <c r="F657" t="str">
        <f ca="1">IFERROR(__xludf.DUMMYFUNCTION("""COMPUTED_VALUE"""),"")</f>
        <v/>
      </c>
      <c r="G657" t="str">
        <f ca="1">IFERROR(__xludf.DUMMYFUNCTION("""COMPUTED_VALUE"""),"*On loanOL*")</f>
        <v>*On loanOL*</v>
      </c>
    </row>
    <row r="658" spans="1:7" ht="13.2" x14ac:dyDescent="0.25">
      <c r="A658" s="1" t="s">
        <v>29</v>
      </c>
      <c r="B658" t="str">
        <f ca="1">IFERROR(__xludf.DUMMYFUNCTION("""COMPUTED_VALUE"""),"Ockford, Jimmy")</f>
        <v>Ockford, Jimmy</v>
      </c>
      <c r="C658">
        <f ca="1">IFERROR(__xludf.DUMMYFUNCTION("""COMPUTED_VALUE"""),15)</f>
        <v>15</v>
      </c>
      <c r="D658" t="str">
        <f ca="1">IFERROR(__xludf.DUMMYFUNCTION("""COMPUTED_VALUE"""),"D")</f>
        <v>D</v>
      </c>
      <c r="E658" t="str">
        <f ca="1">IFERROR(__xludf.DUMMYFUNCTION("""COMPUTED_VALUE"""),"SeniorSR")</f>
        <v>SeniorSR</v>
      </c>
      <c r="F658" t="str">
        <f ca="1">IFERROR(__xludf.DUMMYFUNCTION("""COMPUTED_VALUE"""),"")</f>
        <v/>
      </c>
      <c r="G658" t="str">
        <f ca="1">IFERROR(__xludf.DUMMYFUNCTION("""COMPUTED_VALUE"""),"")</f>
        <v/>
      </c>
    </row>
    <row r="659" spans="1:7" ht="13.2" x14ac:dyDescent="0.25">
      <c r="A659" s="1" t="s">
        <v>29</v>
      </c>
      <c r="B659" t="str">
        <f ca="1">IFERROR(__xludf.DUMMYFUNCTION("""COMPUTED_VALUE"""),"Oduro, Dominic")</f>
        <v>Oduro, Dominic</v>
      </c>
      <c r="C659">
        <f ca="1">IFERROR(__xludf.DUMMYFUNCTION("""COMPUTED_VALUE"""),7)</f>
        <v>7</v>
      </c>
      <c r="D659" t="str">
        <f ca="1">IFERROR(__xludf.DUMMYFUNCTION("""COMPUTED_VALUE"""),"F")</f>
        <v>F</v>
      </c>
      <c r="E659" t="str">
        <f ca="1">IFERROR(__xludf.DUMMYFUNCTION("""COMPUTED_VALUE"""),"SeniorSR")</f>
        <v>SeniorSR</v>
      </c>
      <c r="F659" t="str">
        <f ca="1">IFERROR(__xludf.DUMMYFUNCTION("""COMPUTED_VALUE"""),"")</f>
        <v/>
      </c>
      <c r="G659" t="str">
        <f ca="1">IFERROR(__xludf.DUMMYFUNCTION("""COMPUTED_VALUE"""),"")</f>
        <v/>
      </c>
    </row>
    <row r="660" spans="1:7" ht="13.2" x14ac:dyDescent="0.25">
      <c r="A660" s="1" t="s">
        <v>29</v>
      </c>
      <c r="B660" t="str">
        <f ca="1">IFERROR(__xludf.DUMMYFUNCTION("""COMPUTED_VALUE"""),"Quintana, Yeferson")</f>
        <v>Quintana, Yeferson</v>
      </c>
      <c r="C660">
        <f ca="1">IFERROR(__xludf.DUMMYFUNCTION("""COMPUTED_VALUE"""),30)</f>
        <v>30</v>
      </c>
      <c r="D660" t="str">
        <f ca="1">IFERROR(__xludf.DUMMYFUNCTION("""COMPUTED_VALUE"""),"D")</f>
        <v>D</v>
      </c>
      <c r="E660" t="str">
        <f ca="1">IFERROR(__xludf.DUMMYFUNCTION("""COMPUTED_VALUE"""),"SeniorSR")</f>
        <v>SeniorSR</v>
      </c>
      <c r="F660" t="str">
        <f ca="1">IFERROR(__xludf.DUMMYFUNCTION("""COMPUTED_VALUE"""),"INTL")</f>
        <v>INTL</v>
      </c>
      <c r="G660" t="str">
        <f ca="1">IFERROR(__xludf.DUMMYFUNCTION("""COMPUTED_VALUE"""),"")</f>
        <v/>
      </c>
    </row>
    <row r="661" spans="1:7" ht="13.2" x14ac:dyDescent="0.25">
      <c r="A661" s="1" t="s">
        <v>29</v>
      </c>
      <c r="B661" t="str">
        <f ca="1">IFERROR(__xludf.DUMMYFUNCTION("""COMPUTED_VALUE"""),"Qwiberg, Joel")</f>
        <v>Qwiberg, Joel</v>
      </c>
      <c r="C661">
        <f ca="1">IFERROR(__xludf.DUMMYFUNCTION("""COMPUTED_VALUE"""),2)</f>
        <v>2</v>
      </c>
      <c r="D661" t="str">
        <f ca="1">IFERROR(__xludf.DUMMYFUNCTION("""COMPUTED_VALUE"""),"D")</f>
        <v>D</v>
      </c>
      <c r="E661" t="str">
        <f ca="1">IFERROR(__xludf.DUMMYFUNCTION("""COMPUTED_VALUE"""),"SeniorSR")</f>
        <v>SeniorSR</v>
      </c>
      <c r="F661" t="str">
        <f ca="1">IFERROR(__xludf.DUMMYFUNCTION("""COMPUTED_VALUE"""),"INTL")</f>
        <v>INTL</v>
      </c>
      <c r="G661" t="str">
        <f ca="1">IFERROR(__xludf.DUMMYFUNCTION("""COMPUTED_VALUE"""),"")</f>
        <v/>
      </c>
    </row>
    <row r="662" spans="1:7" ht="13.2" x14ac:dyDescent="0.25">
      <c r="A662" s="1" t="s">
        <v>29</v>
      </c>
      <c r="B662" t="str">
        <f ca="1">IFERROR(__xludf.DUMMYFUNCTION("""COMPUTED_VALUE"""),"Salinas, Shea")</f>
        <v>Salinas, Shea</v>
      </c>
      <c r="C662">
        <f ca="1">IFERROR(__xludf.DUMMYFUNCTION("""COMPUTED_VALUE"""),6)</f>
        <v>6</v>
      </c>
      <c r="D662" t="str">
        <f ca="1">IFERROR(__xludf.DUMMYFUNCTION("""COMPUTED_VALUE"""),"M")</f>
        <v>M</v>
      </c>
      <c r="E662" t="str">
        <f ca="1">IFERROR(__xludf.DUMMYFUNCTION("""COMPUTED_VALUE"""),"SeniorSR")</f>
        <v>SeniorSR</v>
      </c>
      <c r="F662" t="str">
        <f ca="1">IFERROR(__xludf.DUMMYFUNCTION("""COMPUTED_VALUE"""),"")</f>
        <v/>
      </c>
      <c r="G662" t="str">
        <f ca="1">IFERROR(__xludf.DUMMYFUNCTION("""COMPUTED_VALUE"""),"")</f>
        <v/>
      </c>
    </row>
    <row r="663" spans="1:7" ht="13.2" x14ac:dyDescent="0.25">
      <c r="A663" s="1" t="s">
        <v>29</v>
      </c>
      <c r="B663" t="str">
        <f ca="1">IFERROR(__xludf.DUMMYFUNCTION("""COMPUTED_VALUE"""),"Tarbell, Andrew")</f>
        <v>Tarbell, Andrew</v>
      </c>
      <c r="C663">
        <f ca="1">IFERROR(__xludf.DUMMYFUNCTION("""COMPUTED_VALUE"""),28)</f>
        <v>28</v>
      </c>
      <c r="D663" t="str">
        <f ca="1">IFERROR(__xludf.DUMMYFUNCTION("""COMPUTED_VALUE"""),"GK")</f>
        <v>GK</v>
      </c>
      <c r="E663" t="str">
        <f ca="1">IFERROR(__xludf.DUMMYFUNCTION("""COMPUTED_VALUE"""),"SeniorSR")</f>
        <v>SeniorSR</v>
      </c>
      <c r="F663" t="str">
        <f ca="1">IFERROR(__xludf.DUMMYFUNCTION("""COMPUTED_VALUE"""),"")</f>
        <v/>
      </c>
      <c r="G663" t="str">
        <f ca="1">IFERROR(__xludf.DUMMYFUNCTION("""COMPUTED_VALUE"""),"")</f>
        <v/>
      </c>
    </row>
    <row r="664" spans="1:7" ht="13.2" x14ac:dyDescent="0.25">
      <c r="A664" s="1" t="s">
        <v>29</v>
      </c>
      <c r="B664" t="str">
        <f ca="1">IFERROR(__xludf.DUMMYFUNCTION("""COMPUTED_VALUE"""),"Thiaw, Mohamed")</f>
        <v>Thiaw, Mohamed</v>
      </c>
      <c r="C664">
        <f ca="1">IFERROR(__xludf.DUMMYFUNCTION("""COMPUTED_VALUE"""),17)</f>
        <v>17</v>
      </c>
      <c r="D664" t="str">
        <f ca="1">IFERROR(__xludf.DUMMYFUNCTION("""COMPUTED_VALUE"""),"F")</f>
        <v>F</v>
      </c>
      <c r="E664" t="str">
        <f ca="1">IFERROR(__xludf.DUMMYFUNCTION("""COMPUTED_VALUE"""),"ReserveRES")</f>
        <v>ReserveRES</v>
      </c>
      <c r="F664" t="str">
        <f ca="1">IFERROR(__xludf.DUMMYFUNCTION("""COMPUTED_VALUE"""),"")</f>
        <v/>
      </c>
      <c r="G664" t="str">
        <f ca="1">IFERROR(__xludf.DUMMYFUNCTION("""COMPUTED_VALUE"""),"")</f>
        <v/>
      </c>
    </row>
    <row r="665" spans="1:7" ht="13.2" x14ac:dyDescent="0.25">
      <c r="A665" s="1" t="s">
        <v>29</v>
      </c>
      <c r="B665" t="str">
        <f ca="1">IFERROR(__xludf.DUMMYFUNCTION("""COMPUTED_VALUE"""),"Thompson, Tommy")</f>
        <v>Thompson, Tommy</v>
      </c>
      <c r="C665">
        <f ca="1">IFERROR(__xludf.DUMMYFUNCTION("""COMPUTED_VALUE"""),22)</f>
        <v>22</v>
      </c>
      <c r="D665" t="str">
        <f ca="1">IFERROR(__xludf.DUMMYFUNCTION("""COMPUTED_VALUE"""),"M")</f>
        <v>M</v>
      </c>
      <c r="E665" t="str">
        <f ca="1">IFERROR(__xludf.DUMMYFUNCTION("""COMPUTED_VALUE"""),"SupplementalSUP")</f>
        <v>SupplementalSUP</v>
      </c>
      <c r="F665" t="str">
        <f ca="1">IFERROR(__xludf.DUMMYFUNCTION("""COMPUTED_VALUE"""),"HG")</f>
        <v>HG</v>
      </c>
      <c r="G665" t="str">
        <f ca="1">IFERROR(__xludf.DUMMYFUNCTION("""COMPUTED_VALUE"""),"")</f>
        <v/>
      </c>
    </row>
    <row r="666" spans="1:7" ht="13.2" x14ac:dyDescent="0.25">
      <c r="A666" s="1" t="s">
        <v>29</v>
      </c>
      <c r="B666" t="str">
        <f ca="1">IFERROR(__xludf.DUMMYFUNCTION("""COMPUTED_VALUE"""),"Vako")</f>
        <v>Vako</v>
      </c>
      <c r="C666">
        <f ca="1">IFERROR(__xludf.DUMMYFUNCTION("""COMPUTED_VALUE"""),11)</f>
        <v>11</v>
      </c>
      <c r="D666" t="str">
        <f ca="1">IFERROR(__xludf.DUMMYFUNCTION("""COMPUTED_VALUE"""),"M")</f>
        <v>M</v>
      </c>
      <c r="E666" t="str">
        <f ca="1">IFERROR(__xludf.DUMMYFUNCTION("""COMPUTED_VALUE"""),"SeniorSR")</f>
        <v>SeniorSR</v>
      </c>
      <c r="F666" t="str">
        <f ca="1">IFERROR(__xludf.DUMMYFUNCTION("""COMPUTED_VALUE"""),"DP, INTL")</f>
        <v>DP, INTL</v>
      </c>
      <c r="G666" t="str">
        <f ca="1">IFERROR(__xludf.DUMMYFUNCTION("""COMPUTED_VALUE"""),"")</f>
        <v/>
      </c>
    </row>
    <row r="667" spans="1:7" ht="13.2" x14ac:dyDescent="0.25">
      <c r="A667" s="1" t="s">
        <v>29</v>
      </c>
      <c r="B667" t="str">
        <f ca="1">IFERROR(__xludf.DUMMYFUNCTION("""COMPUTED_VALUE"""),"Wehan, Chris")</f>
        <v>Wehan, Chris</v>
      </c>
      <c r="C667">
        <f ca="1">IFERROR(__xludf.DUMMYFUNCTION("""COMPUTED_VALUE"""),16)</f>
        <v>16</v>
      </c>
      <c r="D667" t="str">
        <f ca="1">IFERROR(__xludf.DUMMYFUNCTION("""COMPUTED_VALUE"""),"M")</f>
        <v>M</v>
      </c>
      <c r="E667" t="str">
        <f ca="1">IFERROR(__xludf.DUMMYFUNCTION("""COMPUTED_VALUE"""),"ReserveRES")</f>
        <v>ReserveRES</v>
      </c>
      <c r="F667" t="str">
        <f ca="1">IFERROR(__xludf.DUMMYFUNCTION("""COMPUTED_VALUE"""),"")</f>
        <v/>
      </c>
      <c r="G667" t="str">
        <f ca="1">IFERROR(__xludf.DUMMYFUNCTION("""COMPUTED_VALUE"""),"")</f>
        <v/>
      </c>
    </row>
    <row r="668" spans="1:7" ht="13.2" x14ac:dyDescent="0.25">
      <c r="A668" s="1" t="s">
        <v>29</v>
      </c>
      <c r="B668" t="str">
        <f ca="1">IFERROR(__xludf.DUMMYFUNCTION("""COMPUTED_VALUE"""),"Wondolowski, Chris")</f>
        <v>Wondolowski, Chris</v>
      </c>
      <c r="C668">
        <f ca="1">IFERROR(__xludf.DUMMYFUNCTION("""COMPUTED_VALUE"""),8)</f>
        <v>8</v>
      </c>
      <c r="D668" t="str">
        <f ca="1">IFERROR(__xludf.DUMMYFUNCTION("""COMPUTED_VALUE"""),"F")</f>
        <v>F</v>
      </c>
      <c r="E668" t="str">
        <f ca="1">IFERROR(__xludf.DUMMYFUNCTION("""COMPUTED_VALUE"""),"SeniorSR")</f>
        <v>SeniorSR</v>
      </c>
      <c r="F668" t="str">
        <f ca="1">IFERROR(__xludf.DUMMYFUNCTION("""COMPUTED_VALUE"""),"DP")</f>
        <v>DP</v>
      </c>
      <c r="G668" t="str">
        <f ca="1">IFERROR(__xludf.DUMMYFUNCTION("""COMPUTED_VALUE"""),"")</f>
        <v/>
      </c>
    </row>
    <row r="669" spans="1:7" ht="13.2" x14ac:dyDescent="0.25">
      <c r="A669" s="1" t="s">
        <v>29</v>
      </c>
      <c r="B669" t="str">
        <f ca="1">IFERROR(__xludf.DUMMYFUNCTION("""COMPUTED_VALUE"""),"Yueill, Jackson")</f>
        <v>Yueill, Jackson</v>
      </c>
      <c r="C669">
        <f ca="1">IFERROR(__xludf.DUMMYFUNCTION("""COMPUTED_VALUE"""),14)</f>
        <v>14</v>
      </c>
      <c r="D669" t="str">
        <f ca="1">IFERROR(__xludf.DUMMYFUNCTION("""COMPUTED_VALUE"""),"M")</f>
        <v>M</v>
      </c>
      <c r="E669" t="str">
        <f ca="1">IFERROR(__xludf.DUMMYFUNCTION("""COMPUTED_VALUE"""),"SupplementalSUP")</f>
        <v>SupplementalSUP</v>
      </c>
      <c r="F669" t="str">
        <f ca="1">IFERROR(__xludf.DUMMYFUNCTION("""COMPUTED_VALUE"""),"GA")</f>
        <v>GA</v>
      </c>
      <c r="G669" t="str">
        <f ca="1">IFERROR(__xludf.DUMMYFUNCTION("""COMPUTED_VALUE"""),"")</f>
        <v/>
      </c>
    </row>
    <row r="670" spans="1:7" ht="13.2" x14ac:dyDescent="0.25">
      <c r="A670" s="1" t="s">
        <v>29</v>
      </c>
      <c r="B670" t="str">
        <f ca="1">IFERROR(__xludf.DUMMYFUNCTION("""COMPUTED_VALUE"""),"")</f>
        <v/>
      </c>
      <c r="C670" t="str">
        <f ca="1">IFERROR(__xludf.DUMMYFUNCTION("""COMPUTED_VALUE"""),"")</f>
        <v/>
      </c>
      <c r="D670" t="str">
        <f ca="1">IFERROR(__xludf.DUMMYFUNCTION("""COMPUTED_VALUE"""),"")</f>
        <v/>
      </c>
      <c r="E670" t="str">
        <f ca="1">IFERROR(__xludf.DUMMYFUNCTION("""COMPUTED_VALUE"""),"")</f>
        <v/>
      </c>
      <c r="F670" t="str">
        <f ca="1">IFERROR(__xludf.DUMMYFUNCTION("""COMPUTED_VALUE"""),"")</f>
        <v/>
      </c>
      <c r="G670" t="str">
        <f ca="1">IFERROR(__xludf.DUMMYFUNCTION("""COMPUTED_VALUE"""),"")</f>
        <v/>
      </c>
    </row>
    <row r="671" spans="1:7" ht="13.2" x14ac:dyDescent="0.25">
      <c r="A671" s="1" t="s">
        <v>29</v>
      </c>
      <c r="B671" t="str">
        <f ca="1">IFERROR(__xludf.DUMMYFUNCTION("""COMPUTED_VALUE"""),"29 of 30 spots filled")</f>
        <v>29 of 30 spots filled</v>
      </c>
      <c r="C671" t="str">
        <f ca="1">IFERROR(__xludf.DUMMYFUNCTION("""COMPUTED_VALUE"""),"")</f>
        <v/>
      </c>
      <c r="D671" t="str">
        <f ca="1">IFERROR(__xludf.DUMMYFUNCTION("""COMPUTED_VALUE"""),"")</f>
        <v/>
      </c>
      <c r="E671" t="str">
        <f ca="1">IFERROR(__xludf.DUMMYFUNCTION("""COMPUTED_VALUE"""),"")</f>
        <v/>
      </c>
      <c r="F671" t="str">
        <f ca="1">IFERROR(__xludf.DUMMYFUNCTION("""COMPUTED_VALUE"""),"")</f>
        <v/>
      </c>
      <c r="G671" t="str">
        <f ca="1">IFERROR(__xludf.DUMMYFUNCTION("""COMPUTED_VALUE"""),"")</f>
        <v/>
      </c>
    </row>
    <row r="672" spans="1:7" ht="13.2" x14ac:dyDescent="0.25">
      <c r="A672" s="1" t="s">
        <v>29</v>
      </c>
    </row>
    <row r="673" spans="1:7" ht="13.2" x14ac:dyDescent="0.25">
      <c r="A673" s="1" t="s">
        <v>29</v>
      </c>
    </row>
    <row r="674" spans="1:7" ht="13.2" x14ac:dyDescent="0.25">
      <c r="A674" s="1" t="s">
        <v>29</v>
      </c>
    </row>
    <row r="675" spans="1:7" ht="13.2" x14ac:dyDescent="0.25">
      <c r="A675" s="1" t="s">
        <v>29</v>
      </c>
    </row>
    <row r="676" spans="1:7" ht="13.2" x14ac:dyDescent="0.25">
      <c r="A676" s="1" t="s">
        <v>29</v>
      </c>
    </row>
    <row r="678" spans="1:7" ht="13.2" x14ac:dyDescent="0.25">
      <c r="B678" t="str">
        <f ca="1">IFERROR(__xludf.DUMMYFUNCTION("IMPORTHTML(""http://www.mlssoccer.com/rosters/2018/seattle-sounders"", ""table"", 1)"),"30-man Active Roster (Spots 1-30)")</f>
        <v>30-man Active Roster (Spots 1-30)</v>
      </c>
      <c r="C678" t="str">
        <f ca="1">IFERROR(__xludf.DUMMYFUNCTION("""COMPUTED_VALUE"""),"#")</f>
        <v>#</v>
      </c>
      <c r="D678" t="str">
        <f ca="1">IFERROR(__xludf.DUMMYFUNCTION("""COMPUTED_VALUE"""),"POS")</f>
        <v>POS</v>
      </c>
      <c r="E678" t="str">
        <f ca="1">IFERROR(__xludf.DUMMYFUNCTION("""COMPUTED_VALUE"""),"ROSTER STATUSR.S.")</f>
        <v>ROSTER STATUSR.S.</v>
      </c>
      <c r="F678" t="str">
        <f ca="1">IFERROR(__xludf.DUMMYFUNCTION("""COMPUTED_VALUE"""),"PLAYER CATEGORYCAT.")</f>
        <v>PLAYER CATEGORYCAT.</v>
      </c>
      <c r="G678" t="str">
        <f ca="1">IFERROR(__xludf.DUMMYFUNCTION("""COMPUTED_VALUE"""),"*NOTE*")</f>
        <v>*NOTE*</v>
      </c>
    </row>
    <row r="679" spans="1:7" ht="13.2" x14ac:dyDescent="0.25">
      <c r="A679" s="1" t="s">
        <v>30</v>
      </c>
      <c r="B679" t="str">
        <f ca="1">IFERROR(__xludf.DUMMYFUNCTION("""COMPUTED_VALUE"""),"Alfaro, Tony")</f>
        <v>Alfaro, Tony</v>
      </c>
      <c r="C679">
        <f ca="1">IFERROR(__xludf.DUMMYFUNCTION("""COMPUTED_VALUE"""),15)</f>
        <v>15</v>
      </c>
      <c r="D679" t="str">
        <f ca="1">IFERROR(__xludf.DUMMYFUNCTION("""COMPUTED_VALUE"""),"D")</f>
        <v>D</v>
      </c>
      <c r="E679" t="str">
        <f ca="1">IFERROR(__xludf.DUMMYFUNCTION("""COMPUTED_VALUE"""),"SupplementalSUP")</f>
        <v>SupplementalSUP</v>
      </c>
      <c r="F679" t="str">
        <f ca="1">IFERROR(__xludf.DUMMYFUNCTION("""COMPUTED_VALUE"""),"")</f>
        <v/>
      </c>
      <c r="G679" t="str">
        <f ca="1">IFERROR(__xludf.DUMMYFUNCTION("""COMPUTED_VALUE"""),"")</f>
        <v/>
      </c>
    </row>
    <row r="680" spans="1:7" ht="13.2" x14ac:dyDescent="0.25">
      <c r="A680" s="1" t="s">
        <v>30</v>
      </c>
      <c r="B680" t="str">
        <f ca="1">IFERROR(__xludf.DUMMYFUNCTION("""COMPUTED_VALUE"""),"Alonso, Osvaldo")</f>
        <v>Alonso, Osvaldo</v>
      </c>
      <c r="C680">
        <f ca="1">IFERROR(__xludf.DUMMYFUNCTION("""COMPUTED_VALUE"""),6)</f>
        <v>6</v>
      </c>
      <c r="D680" t="str">
        <f ca="1">IFERROR(__xludf.DUMMYFUNCTION("""COMPUTED_VALUE"""),"M")</f>
        <v>M</v>
      </c>
      <c r="E680" t="str">
        <f ca="1">IFERROR(__xludf.DUMMYFUNCTION("""COMPUTED_VALUE"""),"SeniorSR")</f>
        <v>SeniorSR</v>
      </c>
      <c r="F680" t="str">
        <f ca="1">IFERROR(__xludf.DUMMYFUNCTION("""COMPUTED_VALUE"""),"")</f>
        <v/>
      </c>
      <c r="G680" t="str">
        <f ca="1">IFERROR(__xludf.DUMMYFUNCTION("""COMPUTED_VALUE"""),"")</f>
        <v/>
      </c>
    </row>
    <row r="681" spans="1:7" ht="13.2" x14ac:dyDescent="0.25">
      <c r="A681" s="1" t="s">
        <v>30</v>
      </c>
      <c r="B681" t="str">
        <f ca="1">IFERROR(__xludf.DUMMYFUNCTION("""COMPUTED_VALUE"""),"Brown, Calle")</f>
        <v>Brown, Calle</v>
      </c>
      <c r="C681">
        <f ca="1">IFERROR(__xludf.DUMMYFUNCTION("""COMPUTED_VALUE"""),25)</f>
        <v>25</v>
      </c>
      <c r="D681" t="str">
        <f ca="1">IFERROR(__xludf.DUMMYFUNCTION("""COMPUTED_VALUE"""),"GK")</f>
        <v>GK</v>
      </c>
      <c r="E681" t="str">
        <f ca="1">IFERROR(__xludf.DUMMYFUNCTION("""COMPUTED_VALUE"""),"SupplementalSUP")</f>
        <v>SupplementalSUP</v>
      </c>
      <c r="F681" t="str">
        <f ca="1">IFERROR(__xludf.DUMMYFUNCTION("""COMPUTED_VALUE"""),"")</f>
        <v/>
      </c>
      <c r="G681" t="str">
        <f ca="1">IFERROR(__xludf.DUMMYFUNCTION("""COMPUTED_VALUE"""),"")</f>
        <v/>
      </c>
    </row>
    <row r="682" spans="1:7" ht="13.2" x14ac:dyDescent="0.25">
      <c r="A682" s="1" t="s">
        <v>30</v>
      </c>
      <c r="B682" t="str">
        <f ca="1">IFERROR(__xludf.DUMMYFUNCTION("""COMPUTED_VALUE"""),"Bruin, Will")</f>
        <v>Bruin, Will</v>
      </c>
      <c r="C682">
        <f ca="1">IFERROR(__xludf.DUMMYFUNCTION("""COMPUTED_VALUE"""),17)</f>
        <v>17</v>
      </c>
      <c r="D682" t="str">
        <f ca="1">IFERROR(__xludf.DUMMYFUNCTION("""COMPUTED_VALUE"""),"F")</f>
        <v>F</v>
      </c>
      <c r="E682" t="str">
        <f ca="1">IFERROR(__xludf.DUMMYFUNCTION("""COMPUTED_VALUE"""),"SeniorSR")</f>
        <v>SeniorSR</v>
      </c>
      <c r="F682" t="str">
        <f ca="1">IFERROR(__xludf.DUMMYFUNCTION("""COMPUTED_VALUE"""),"")</f>
        <v/>
      </c>
      <c r="G682" t="str">
        <f ca="1">IFERROR(__xludf.DUMMYFUNCTION("""COMPUTED_VALUE"""),"")</f>
        <v/>
      </c>
    </row>
    <row r="683" spans="1:7" ht="13.2" x14ac:dyDescent="0.25">
      <c r="A683" s="1" t="s">
        <v>30</v>
      </c>
      <c r="B683" t="str">
        <f ca="1">IFERROR(__xludf.DUMMYFUNCTION("""COMPUTED_VALUE"""),"Bwana, Handwalla")</f>
        <v>Bwana, Handwalla</v>
      </c>
      <c r="C683">
        <f ca="1">IFERROR(__xludf.DUMMYFUNCTION("""COMPUTED_VALUE"""),70)</f>
        <v>70</v>
      </c>
      <c r="D683" t="str">
        <f ca="1">IFERROR(__xludf.DUMMYFUNCTION("""COMPUTED_VALUE"""),"M")</f>
        <v>M</v>
      </c>
      <c r="E683" t="str">
        <f ca="1">IFERROR(__xludf.DUMMYFUNCTION("""COMPUTED_VALUE"""),"ReserveRES")</f>
        <v>ReserveRES</v>
      </c>
      <c r="F683" t="str">
        <f ca="1">IFERROR(__xludf.DUMMYFUNCTION("""COMPUTED_VALUE"""),"HG")</f>
        <v>HG</v>
      </c>
      <c r="G683" t="str">
        <f ca="1">IFERROR(__xludf.DUMMYFUNCTION("""COMPUTED_VALUE"""),"")</f>
        <v/>
      </c>
    </row>
    <row r="684" spans="1:7" ht="13.2" x14ac:dyDescent="0.25">
      <c r="A684" s="1" t="s">
        <v>30</v>
      </c>
      <c r="B684" t="str">
        <f ca="1">IFERROR(__xludf.DUMMYFUNCTION("""COMPUTED_VALUE"""),"Chenkam, Felix")</f>
        <v>Chenkam, Felix</v>
      </c>
      <c r="C684">
        <f ca="1">IFERROR(__xludf.DUMMYFUNCTION("""COMPUTED_VALUE"""),99)</f>
        <v>99</v>
      </c>
      <c r="D684" t="str">
        <f ca="1">IFERROR(__xludf.DUMMYFUNCTION("""COMPUTED_VALUE"""),"F")</f>
        <v>F</v>
      </c>
      <c r="E684" t="str">
        <f ca="1">IFERROR(__xludf.DUMMYFUNCTION("""COMPUTED_VALUE"""),"ReserveRES, On loanOL")</f>
        <v>ReserveRES, On loanOL</v>
      </c>
      <c r="F684" t="str">
        <f ca="1">IFERROR(__xludf.DUMMYFUNCTION("""COMPUTED_VALUE"""),"INTL")</f>
        <v>INTL</v>
      </c>
      <c r="G684" t="str">
        <f ca="1">IFERROR(__xludf.DUMMYFUNCTION("""COMPUTED_VALUE"""),"*On loanOL*")</f>
        <v>*On loanOL*</v>
      </c>
    </row>
    <row r="685" spans="1:7" ht="13.2" x14ac:dyDescent="0.25">
      <c r="A685" s="1" t="s">
        <v>30</v>
      </c>
      <c r="B685" t="str">
        <f ca="1">IFERROR(__xludf.DUMMYFUNCTION("""COMPUTED_VALUE"""),"Delem, Jordy")</f>
        <v>Delem, Jordy</v>
      </c>
      <c r="C685">
        <f ca="1">IFERROR(__xludf.DUMMYFUNCTION("""COMPUTED_VALUE"""),21)</f>
        <v>21</v>
      </c>
      <c r="D685" t="str">
        <f ca="1">IFERROR(__xludf.DUMMYFUNCTION("""COMPUTED_VALUE"""),"M")</f>
        <v>M</v>
      </c>
      <c r="E685" t="str">
        <f ca="1">IFERROR(__xludf.DUMMYFUNCTION("""COMPUTED_VALUE"""),"SeniorSR")</f>
        <v>SeniorSR</v>
      </c>
      <c r="F685" t="str">
        <f ca="1">IFERROR(__xludf.DUMMYFUNCTION("""COMPUTED_VALUE"""),"INTL")</f>
        <v>INTL</v>
      </c>
      <c r="G685" t="str">
        <f ca="1">IFERROR(__xludf.DUMMYFUNCTION("""COMPUTED_VALUE"""),"")</f>
        <v/>
      </c>
    </row>
    <row r="686" spans="1:7" ht="13.2" x14ac:dyDescent="0.25">
      <c r="A686" s="1" t="s">
        <v>30</v>
      </c>
      <c r="B686" t="str">
        <f ca="1">IFERROR(__xludf.DUMMYFUNCTION("""COMPUTED_VALUE"""),"Francis, Waylon")</f>
        <v>Francis, Waylon</v>
      </c>
      <c r="C686">
        <f ca="1">IFERROR(__xludf.DUMMYFUNCTION("""COMPUTED_VALUE"""),90)</f>
        <v>90</v>
      </c>
      <c r="D686" t="str">
        <f ca="1">IFERROR(__xludf.DUMMYFUNCTION("""COMPUTED_VALUE"""),"D")</f>
        <v>D</v>
      </c>
      <c r="E686" t="str">
        <f ca="1">IFERROR(__xludf.DUMMYFUNCTION("""COMPUTED_VALUE"""),"SeniorSR")</f>
        <v>SeniorSR</v>
      </c>
      <c r="F686" t="str">
        <f ca="1">IFERROR(__xludf.DUMMYFUNCTION("""COMPUTED_VALUE"""),"")</f>
        <v/>
      </c>
      <c r="G686" t="str">
        <f ca="1">IFERROR(__xludf.DUMMYFUNCTION("""COMPUTED_VALUE"""),"")</f>
        <v/>
      </c>
    </row>
    <row r="687" spans="1:7" ht="13.2" x14ac:dyDescent="0.25">
      <c r="A687" s="1" t="s">
        <v>30</v>
      </c>
      <c r="B687" t="str">
        <f ca="1">IFERROR(__xludf.DUMMYFUNCTION("""COMPUTED_VALUE"""),"Frei, Stefan")</f>
        <v>Frei, Stefan</v>
      </c>
      <c r="C687">
        <f ca="1">IFERROR(__xludf.DUMMYFUNCTION("""COMPUTED_VALUE"""),24)</f>
        <v>24</v>
      </c>
      <c r="D687" t="str">
        <f ca="1">IFERROR(__xludf.DUMMYFUNCTION("""COMPUTED_VALUE"""),"GK")</f>
        <v>GK</v>
      </c>
      <c r="E687" t="str">
        <f ca="1">IFERROR(__xludf.DUMMYFUNCTION("""COMPUTED_VALUE"""),"SeniorSR")</f>
        <v>SeniorSR</v>
      </c>
      <c r="F687" t="str">
        <f ca="1">IFERROR(__xludf.DUMMYFUNCTION("""COMPUTED_VALUE"""),"")</f>
        <v/>
      </c>
      <c r="G687" t="str">
        <f ca="1">IFERROR(__xludf.DUMMYFUNCTION("""COMPUTED_VALUE"""),"")</f>
        <v/>
      </c>
    </row>
    <row r="688" spans="1:7" ht="13.2" x14ac:dyDescent="0.25">
      <c r="A688" s="1" t="s">
        <v>30</v>
      </c>
      <c r="B688" t="str">
        <f ca="1">IFERROR(__xludf.DUMMYFUNCTION("""COMPUTED_VALUE"""),"Kee-hee, Kim")</f>
        <v>Kee-hee, Kim</v>
      </c>
      <c r="C688">
        <f ca="1">IFERROR(__xludf.DUMMYFUNCTION("""COMPUTED_VALUE"""),20)</f>
        <v>20</v>
      </c>
      <c r="D688" t="str">
        <f ca="1">IFERROR(__xludf.DUMMYFUNCTION("""COMPUTED_VALUE"""),"D")</f>
        <v>D</v>
      </c>
      <c r="E688" t="str">
        <f ca="1">IFERROR(__xludf.DUMMYFUNCTION("""COMPUTED_VALUE"""),"SeniorSR")</f>
        <v>SeniorSR</v>
      </c>
      <c r="F688" t="str">
        <f ca="1">IFERROR(__xludf.DUMMYFUNCTION("""COMPUTED_VALUE"""),"INTL")</f>
        <v>INTL</v>
      </c>
      <c r="G688" t="str">
        <f ca="1">IFERROR(__xludf.DUMMYFUNCTION("""COMPUTED_VALUE"""),"")</f>
        <v/>
      </c>
    </row>
    <row r="689" spans="1:7" ht="13.2" x14ac:dyDescent="0.25">
      <c r="A689" s="1" t="s">
        <v>30</v>
      </c>
      <c r="B689" t="str">
        <f ca="1">IFERROR(__xludf.DUMMYFUNCTION("""COMPUTED_VALUE"""),"Leerdam, Kelvin")</f>
        <v>Leerdam, Kelvin</v>
      </c>
      <c r="C689">
        <f ca="1">IFERROR(__xludf.DUMMYFUNCTION("""COMPUTED_VALUE"""),18)</f>
        <v>18</v>
      </c>
      <c r="D689" t="str">
        <f ca="1">IFERROR(__xludf.DUMMYFUNCTION("""COMPUTED_VALUE"""),"D")</f>
        <v>D</v>
      </c>
      <c r="E689" t="str">
        <f ca="1">IFERROR(__xludf.DUMMYFUNCTION("""COMPUTED_VALUE"""),"SeniorSR")</f>
        <v>SeniorSR</v>
      </c>
      <c r="F689" t="str">
        <f ca="1">IFERROR(__xludf.DUMMYFUNCTION("""COMPUTED_VALUE"""),"INTL")</f>
        <v>INTL</v>
      </c>
      <c r="G689" t="str">
        <f ca="1">IFERROR(__xludf.DUMMYFUNCTION("""COMPUTED_VALUE"""),"")</f>
        <v/>
      </c>
    </row>
    <row r="690" spans="1:7" ht="13.2" x14ac:dyDescent="0.25">
      <c r="A690" s="1" t="s">
        <v>30</v>
      </c>
      <c r="B690" t="str">
        <f ca="1">IFERROR(__xludf.DUMMYFUNCTION("""COMPUTED_VALUE"""),"Lodeiro, Nicolas")</f>
        <v>Lodeiro, Nicolas</v>
      </c>
      <c r="C690">
        <f ca="1">IFERROR(__xludf.DUMMYFUNCTION("""COMPUTED_VALUE"""),10)</f>
        <v>10</v>
      </c>
      <c r="D690" t="str">
        <f ca="1">IFERROR(__xludf.DUMMYFUNCTION("""COMPUTED_VALUE"""),"M")</f>
        <v>M</v>
      </c>
      <c r="E690" t="str">
        <f ca="1">IFERROR(__xludf.DUMMYFUNCTION("""COMPUTED_VALUE"""),"SeniorSR")</f>
        <v>SeniorSR</v>
      </c>
      <c r="F690" t="str">
        <f ca="1">IFERROR(__xludf.DUMMYFUNCTION("""COMPUTED_VALUE"""),"DP")</f>
        <v>DP</v>
      </c>
      <c r="G690" t="str">
        <f ca="1">IFERROR(__xludf.DUMMYFUNCTION("""COMPUTED_VALUE"""),"")</f>
        <v/>
      </c>
    </row>
    <row r="691" spans="1:7" ht="13.2" x14ac:dyDescent="0.25">
      <c r="A691" s="1" t="s">
        <v>30</v>
      </c>
      <c r="B691" t="str">
        <f ca="1">IFERROR(__xludf.DUMMYFUNCTION("""COMPUTED_VALUE"""),"Lubin, Zachary")</f>
        <v>Lubin, Zachary</v>
      </c>
      <c r="C691" t="str">
        <f ca="1">IFERROR(__xludf.DUMMYFUNCTION("""COMPUTED_VALUE"""),"")</f>
        <v/>
      </c>
      <c r="D691" t="str">
        <f ca="1">IFERROR(__xludf.DUMMYFUNCTION("""COMPUTED_VALUE"""),"")</f>
        <v/>
      </c>
      <c r="E691" t="str">
        <f ca="1">IFERROR(__xludf.DUMMYFUNCTION("""COMPUTED_VALUE"""),"SeniorSR")</f>
        <v>SeniorSR</v>
      </c>
      <c r="F691" t="str">
        <f ca="1">IFERROR(__xludf.DUMMYFUNCTION("""COMPUTED_VALUE"""),"")</f>
        <v/>
      </c>
      <c r="G691" t="str">
        <f ca="1">IFERROR(__xludf.DUMMYFUNCTION("""COMPUTED_VALUE"""),"")</f>
        <v/>
      </c>
    </row>
    <row r="692" spans="1:7" ht="13.2" x14ac:dyDescent="0.25">
      <c r="A692" s="1" t="s">
        <v>30</v>
      </c>
      <c r="B692" t="str">
        <f ca="1">IFERROR(__xludf.DUMMYFUNCTION("""COMPUTED_VALUE"""),"Marshall, Chad")</f>
        <v>Marshall, Chad</v>
      </c>
      <c r="C692">
        <f ca="1">IFERROR(__xludf.DUMMYFUNCTION("""COMPUTED_VALUE"""),14)</f>
        <v>14</v>
      </c>
      <c r="D692" t="str">
        <f ca="1">IFERROR(__xludf.DUMMYFUNCTION("""COMPUTED_VALUE"""),"D")</f>
        <v>D</v>
      </c>
      <c r="E692" t="str">
        <f ca="1">IFERROR(__xludf.DUMMYFUNCTION("""COMPUTED_VALUE"""),"SeniorSR")</f>
        <v>SeniorSR</v>
      </c>
      <c r="F692" t="str">
        <f ca="1">IFERROR(__xludf.DUMMYFUNCTION("""COMPUTED_VALUE"""),"")</f>
        <v/>
      </c>
      <c r="G692" t="str">
        <f ca="1">IFERROR(__xludf.DUMMYFUNCTION("""COMPUTED_VALUE"""),"")</f>
        <v/>
      </c>
    </row>
    <row r="693" spans="1:7" ht="13.2" x14ac:dyDescent="0.25">
      <c r="A693" s="1" t="s">
        <v>30</v>
      </c>
      <c r="B693" t="str">
        <f ca="1">IFERROR(__xludf.DUMMYFUNCTION("""COMPUTED_VALUE"""),"McCrary, Jordan")</f>
        <v>McCrary, Jordan</v>
      </c>
      <c r="C693">
        <f ca="1">IFERROR(__xludf.DUMMYFUNCTION("""COMPUTED_VALUE"""),30)</f>
        <v>30</v>
      </c>
      <c r="D693" t="str">
        <f ca="1">IFERROR(__xludf.DUMMYFUNCTION("""COMPUTED_VALUE"""),"D")</f>
        <v>D</v>
      </c>
      <c r="E693" t="str">
        <f ca="1">IFERROR(__xludf.DUMMYFUNCTION("""COMPUTED_VALUE"""),"SeniorSR")</f>
        <v>SeniorSR</v>
      </c>
      <c r="F693" t="str">
        <f ca="1">IFERROR(__xludf.DUMMYFUNCTION("""COMPUTED_VALUE"""),"")</f>
        <v/>
      </c>
      <c r="G693" t="str">
        <f ca="1">IFERROR(__xludf.DUMMYFUNCTION("""COMPUTED_VALUE"""),"")</f>
        <v/>
      </c>
    </row>
    <row r="694" spans="1:7" ht="13.2" x14ac:dyDescent="0.25">
      <c r="A694" s="1" t="s">
        <v>30</v>
      </c>
      <c r="B694" t="str">
        <f ca="1">IFERROR(__xludf.DUMMYFUNCTION("""COMPUTED_VALUE"""),"Meredith, Bryan")</f>
        <v>Meredith, Bryan</v>
      </c>
      <c r="C694">
        <f ca="1">IFERROR(__xludf.DUMMYFUNCTION("""COMPUTED_VALUE"""),35)</f>
        <v>35</v>
      </c>
      <c r="D694" t="str">
        <f ca="1">IFERROR(__xludf.DUMMYFUNCTION("""COMPUTED_VALUE"""),"GK")</f>
        <v>GK</v>
      </c>
      <c r="E694" t="str">
        <f ca="1">IFERROR(__xludf.DUMMYFUNCTION("""COMPUTED_VALUE"""),"SupplementalSUP")</f>
        <v>SupplementalSUP</v>
      </c>
      <c r="F694" t="str">
        <f ca="1">IFERROR(__xludf.DUMMYFUNCTION("""COMPUTED_VALUE"""),"")</f>
        <v/>
      </c>
      <c r="G694" t="str">
        <f ca="1">IFERROR(__xludf.DUMMYFUNCTION("""COMPUTED_VALUE"""),"")</f>
        <v/>
      </c>
    </row>
    <row r="695" spans="1:7" ht="13.2" x14ac:dyDescent="0.25">
      <c r="A695" s="1" t="s">
        <v>30</v>
      </c>
      <c r="B695" t="str">
        <f ca="1">IFERROR(__xludf.DUMMYFUNCTION("""COMPUTED_VALUE"""),"Morris, Jordan")</f>
        <v>Morris, Jordan</v>
      </c>
      <c r="C695">
        <f ca="1">IFERROR(__xludf.DUMMYFUNCTION("""COMPUTED_VALUE"""),13)</f>
        <v>13</v>
      </c>
      <c r="D695" t="str">
        <f ca="1">IFERROR(__xludf.DUMMYFUNCTION("""COMPUTED_VALUE"""),"F")</f>
        <v>F</v>
      </c>
      <c r="E695" t="str">
        <f ca="1">IFERROR(__xludf.DUMMYFUNCTION("""COMPUTED_VALUE"""),"SupplementalSUP")</f>
        <v>SupplementalSUP</v>
      </c>
      <c r="F695" t="str">
        <f ca="1">IFERROR(__xludf.DUMMYFUNCTION("""COMPUTED_VALUE"""),"HG")</f>
        <v>HG</v>
      </c>
      <c r="G695" t="str">
        <f ca="1">IFERROR(__xludf.DUMMYFUNCTION("""COMPUTED_VALUE"""),"")</f>
        <v/>
      </c>
    </row>
    <row r="696" spans="1:7" ht="13.2" x14ac:dyDescent="0.25">
      <c r="A696" s="1" t="s">
        <v>30</v>
      </c>
      <c r="B696" t="str">
        <f ca="1">IFERROR(__xludf.DUMMYFUNCTION("""COMPUTED_VALUE"""),"Neagle, Lamar")</f>
        <v>Neagle, Lamar</v>
      </c>
      <c r="C696">
        <f ca="1">IFERROR(__xludf.DUMMYFUNCTION("""COMPUTED_VALUE"""),27)</f>
        <v>27</v>
      </c>
      <c r="D696" t="str">
        <f ca="1">IFERROR(__xludf.DUMMYFUNCTION("""COMPUTED_VALUE"""),"M/F")</f>
        <v>M/F</v>
      </c>
      <c r="E696" t="str">
        <f ca="1">IFERROR(__xludf.DUMMYFUNCTION("""COMPUTED_VALUE"""),"SeniorSR")</f>
        <v>SeniorSR</v>
      </c>
      <c r="F696" t="str">
        <f ca="1">IFERROR(__xludf.DUMMYFUNCTION("""COMPUTED_VALUE"""),"")</f>
        <v/>
      </c>
      <c r="G696" t="str">
        <f ca="1">IFERROR(__xludf.DUMMYFUNCTION("""COMPUTED_VALUE"""),"")</f>
        <v/>
      </c>
    </row>
    <row r="697" spans="1:7" ht="13.2" x14ac:dyDescent="0.25">
      <c r="A697" s="1" t="s">
        <v>30</v>
      </c>
      <c r="B697" t="str">
        <f ca="1">IFERROR(__xludf.DUMMYFUNCTION("""COMPUTED_VALUE"""),"Rodriguez, Victor")</f>
        <v>Rodriguez, Victor</v>
      </c>
      <c r="C697">
        <f ca="1">IFERROR(__xludf.DUMMYFUNCTION("""COMPUTED_VALUE"""),8)</f>
        <v>8</v>
      </c>
      <c r="D697" t="str">
        <f ca="1">IFERROR(__xludf.DUMMYFUNCTION("""COMPUTED_VALUE"""),"M")</f>
        <v>M</v>
      </c>
      <c r="E697" t="str">
        <f ca="1">IFERROR(__xludf.DUMMYFUNCTION("""COMPUTED_VALUE"""),"SeniorSR")</f>
        <v>SeniorSR</v>
      </c>
      <c r="F697" t="str">
        <f ca="1">IFERROR(__xludf.DUMMYFUNCTION("""COMPUTED_VALUE"""),"INTL")</f>
        <v>INTL</v>
      </c>
      <c r="G697" t="str">
        <f ca="1">IFERROR(__xludf.DUMMYFUNCTION("""COMPUTED_VALUE"""),"")</f>
        <v/>
      </c>
    </row>
    <row r="698" spans="1:7" ht="13.2" x14ac:dyDescent="0.25">
      <c r="A698" s="1" t="s">
        <v>30</v>
      </c>
      <c r="B698" t="str">
        <f ca="1">IFERROR(__xludf.DUMMYFUNCTION("""COMPUTED_VALUE"""),"Roldan, Cristian")</f>
        <v>Roldan, Cristian</v>
      </c>
      <c r="C698">
        <f ca="1">IFERROR(__xludf.DUMMYFUNCTION("""COMPUTED_VALUE"""),7)</f>
        <v>7</v>
      </c>
      <c r="D698" t="str">
        <f ca="1">IFERROR(__xludf.DUMMYFUNCTION("""COMPUTED_VALUE"""),"M")</f>
        <v>M</v>
      </c>
      <c r="E698" t="str">
        <f ca="1">IFERROR(__xludf.DUMMYFUNCTION("""COMPUTED_VALUE"""),"SeniorSR")</f>
        <v>SeniorSR</v>
      </c>
      <c r="F698" t="str">
        <f ca="1">IFERROR(__xludf.DUMMYFUNCTION("""COMPUTED_VALUE"""),"")</f>
        <v/>
      </c>
      <c r="G698" t="str">
        <f ca="1">IFERROR(__xludf.DUMMYFUNCTION("""COMPUTED_VALUE"""),"")</f>
        <v/>
      </c>
    </row>
    <row r="699" spans="1:7" ht="13.2" x14ac:dyDescent="0.25">
      <c r="A699" s="1" t="s">
        <v>30</v>
      </c>
      <c r="B699" t="str">
        <f ca="1">IFERROR(__xludf.DUMMYFUNCTION("""COMPUTED_VALUE"""),"Roldan, Alex")</f>
        <v>Roldan, Alex</v>
      </c>
      <c r="C699">
        <f ca="1">IFERROR(__xludf.DUMMYFUNCTION("""COMPUTED_VALUE"""),16)</f>
        <v>16</v>
      </c>
      <c r="D699" t="str">
        <f ca="1">IFERROR(__xludf.DUMMYFUNCTION("""COMPUTED_VALUE"""),"M")</f>
        <v>M</v>
      </c>
      <c r="E699" t="str">
        <f ca="1">IFERROR(__xludf.DUMMYFUNCTION("""COMPUTED_VALUE"""),"ReserveRES")</f>
        <v>ReserveRES</v>
      </c>
      <c r="F699" t="str">
        <f ca="1">IFERROR(__xludf.DUMMYFUNCTION("""COMPUTED_VALUE"""),"")</f>
        <v/>
      </c>
      <c r="G699" t="str">
        <f ca="1">IFERROR(__xludf.DUMMYFUNCTION("""COMPUTED_VALUE"""),"")</f>
        <v/>
      </c>
    </row>
    <row r="700" spans="1:7" ht="13.2" x14ac:dyDescent="0.25">
      <c r="A700" s="1" t="s">
        <v>30</v>
      </c>
      <c r="B700" t="str">
        <f ca="1">IFERROR(__xludf.DUMMYFUNCTION("""COMPUTED_VALUE"""),"Ruidiaz, Raul")</f>
        <v>Ruidiaz, Raul</v>
      </c>
      <c r="C700">
        <f ca="1">IFERROR(__xludf.DUMMYFUNCTION("""COMPUTED_VALUE"""),9)</f>
        <v>9</v>
      </c>
      <c r="D700" t="str">
        <f ca="1">IFERROR(__xludf.DUMMYFUNCTION("""COMPUTED_VALUE"""),"F")</f>
        <v>F</v>
      </c>
      <c r="E700" t="str">
        <f ca="1">IFERROR(__xludf.DUMMYFUNCTION("""COMPUTED_VALUE"""),"SeniorSR")</f>
        <v>SeniorSR</v>
      </c>
      <c r="F700" t="str">
        <f ca="1">IFERROR(__xludf.DUMMYFUNCTION("""COMPUTED_VALUE"""),"DP, INTL")</f>
        <v>DP, INTL</v>
      </c>
      <c r="G700" t="str">
        <f ca="1">IFERROR(__xludf.DUMMYFUNCTION("""COMPUTED_VALUE"""),"")</f>
        <v/>
      </c>
    </row>
    <row r="701" spans="1:7" ht="13.2" x14ac:dyDescent="0.25">
      <c r="A701" s="1" t="s">
        <v>30</v>
      </c>
      <c r="B701" t="str">
        <f ca="1">IFERROR(__xludf.DUMMYFUNCTION("""COMPUTED_VALUE"""),"Shipp, Harry")</f>
        <v>Shipp, Harry</v>
      </c>
      <c r="C701">
        <f ca="1">IFERROR(__xludf.DUMMYFUNCTION("""COMPUTED_VALUE"""),19)</f>
        <v>19</v>
      </c>
      <c r="D701" t="str">
        <f ca="1">IFERROR(__xludf.DUMMYFUNCTION("""COMPUTED_VALUE"""),"M")</f>
        <v>M</v>
      </c>
      <c r="E701" t="str">
        <f ca="1">IFERROR(__xludf.DUMMYFUNCTION("""COMPUTED_VALUE"""),"SeniorSR")</f>
        <v>SeniorSR</v>
      </c>
      <c r="F701" t="str">
        <f ca="1">IFERROR(__xludf.DUMMYFUNCTION("""COMPUTED_VALUE"""),"HG")</f>
        <v>HG</v>
      </c>
      <c r="G701" t="str">
        <f ca="1">IFERROR(__xludf.DUMMYFUNCTION("""COMPUTED_VALUE"""),"")</f>
        <v/>
      </c>
    </row>
    <row r="702" spans="1:7" ht="13.2" x14ac:dyDescent="0.25">
      <c r="A702" s="1" t="s">
        <v>30</v>
      </c>
      <c r="B702" t="str">
        <f ca="1">IFERROR(__xludf.DUMMYFUNCTION("""COMPUTED_VALUE"""),"Smith, Brad")</f>
        <v>Smith, Brad</v>
      </c>
      <c r="C702">
        <f ca="1">IFERROR(__xludf.DUMMYFUNCTION("""COMPUTED_VALUE"""),11)</f>
        <v>11</v>
      </c>
      <c r="D702" t="str">
        <f ca="1">IFERROR(__xludf.DUMMYFUNCTION("""COMPUTED_VALUE"""),"M")</f>
        <v>M</v>
      </c>
      <c r="E702" t="str">
        <f ca="1">IFERROR(__xludf.DUMMYFUNCTION("""COMPUTED_VALUE"""),"SeniorSR")</f>
        <v>SeniorSR</v>
      </c>
      <c r="F702" t="str">
        <f ca="1">IFERROR(__xludf.DUMMYFUNCTION("""COMPUTED_VALUE"""),"INTL")</f>
        <v>INTL</v>
      </c>
      <c r="G702" t="str">
        <f ca="1">IFERROR(__xludf.DUMMYFUNCTION("""COMPUTED_VALUE"""),"")</f>
        <v/>
      </c>
    </row>
    <row r="703" spans="1:7" ht="13.2" x14ac:dyDescent="0.25">
      <c r="A703" s="1" t="s">
        <v>30</v>
      </c>
      <c r="B703" t="str">
        <f ca="1">IFERROR(__xludf.DUMMYFUNCTION("""COMPUTED_VALUE"""),"Svensson, Gustav")</f>
        <v>Svensson, Gustav</v>
      </c>
      <c r="C703">
        <f ca="1">IFERROR(__xludf.DUMMYFUNCTION("""COMPUTED_VALUE"""),4)</f>
        <v>4</v>
      </c>
      <c r="D703" t="str">
        <f ca="1">IFERROR(__xludf.DUMMYFUNCTION("""COMPUTED_VALUE"""),"M")</f>
        <v>M</v>
      </c>
      <c r="E703" t="str">
        <f ca="1">IFERROR(__xludf.DUMMYFUNCTION("""COMPUTED_VALUE"""),"SeniorSR")</f>
        <v>SeniorSR</v>
      </c>
      <c r="F703" t="str">
        <f ca="1">IFERROR(__xludf.DUMMYFUNCTION("""COMPUTED_VALUE"""),"INTL")</f>
        <v>INTL</v>
      </c>
      <c r="G703" t="str">
        <f ca="1">IFERROR(__xludf.DUMMYFUNCTION("""COMPUTED_VALUE"""),"")</f>
        <v/>
      </c>
    </row>
    <row r="704" spans="1:7" ht="13.2" x14ac:dyDescent="0.25">
      <c r="A704" s="1" t="s">
        <v>30</v>
      </c>
      <c r="B704" t="str">
        <f ca="1">IFERROR(__xludf.DUMMYFUNCTION("""COMPUTED_VALUE"""),"Tolo, Nouhou")</f>
        <v>Tolo, Nouhou</v>
      </c>
      <c r="C704">
        <f ca="1">IFERROR(__xludf.DUMMYFUNCTION("""COMPUTED_VALUE"""),5)</f>
        <v>5</v>
      </c>
      <c r="D704" t="str">
        <f ca="1">IFERROR(__xludf.DUMMYFUNCTION("""COMPUTED_VALUE"""),"D")</f>
        <v>D</v>
      </c>
      <c r="E704" t="str">
        <f ca="1">IFERROR(__xludf.DUMMYFUNCTION("""COMPUTED_VALUE"""),"ReserveRES")</f>
        <v>ReserveRES</v>
      </c>
      <c r="F704" t="str">
        <f ca="1">IFERROR(__xludf.DUMMYFUNCTION("""COMPUTED_VALUE"""),"INTL")</f>
        <v>INTL</v>
      </c>
      <c r="G704" t="str">
        <f ca="1">IFERROR(__xludf.DUMMYFUNCTION("""COMPUTED_VALUE"""),"")</f>
        <v/>
      </c>
    </row>
    <row r="705" spans="1:7" ht="13.2" x14ac:dyDescent="0.25">
      <c r="A705" s="1" t="s">
        <v>30</v>
      </c>
      <c r="B705" t="str">
        <f ca="1">IFERROR(__xludf.DUMMYFUNCTION("""COMPUTED_VALUE"""),"Torres, Roman")</f>
        <v>Torres, Roman</v>
      </c>
      <c r="C705">
        <f ca="1">IFERROR(__xludf.DUMMYFUNCTION("""COMPUTED_VALUE"""),29)</f>
        <v>29</v>
      </c>
      <c r="D705" t="str">
        <f ca="1">IFERROR(__xludf.DUMMYFUNCTION("""COMPUTED_VALUE"""),"D")</f>
        <v>D</v>
      </c>
      <c r="E705" t="str">
        <f ca="1">IFERROR(__xludf.DUMMYFUNCTION("""COMPUTED_VALUE"""),"SeniorSR")</f>
        <v>SeniorSR</v>
      </c>
      <c r="F705" t="str">
        <f ca="1">IFERROR(__xludf.DUMMYFUNCTION("""COMPUTED_VALUE"""),"")</f>
        <v/>
      </c>
      <c r="G705" t="str">
        <f ca="1">IFERROR(__xludf.DUMMYFUNCTION("""COMPUTED_VALUE"""),"")</f>
        <v/>
      </c>
    </row>
    <row r="706" spans="1:7" ht="13.2" x14ac:dyDescent="0.25">
      <c r="A706" s="1" t="s">
        <v>30</v>
      </c>
      <c r="B706" t="str">
        <f ca="1">IFERROR(__xludf.DUMMYFUNCTION("""COMPUTED_VALUE"""),"Wingo, Henry")</f>
        <v>Wingo, Henry</v>
      </c>
      <c r="C706">
        <f ca="1">IFERROR(__xludf.DUMMYFUNCTION("""COMPUTED_VALUE"""),23)</f>
        <v>23</v>
      </c>
      <c r="D706" t="str">
        <f ca="1">IFERROR(__xludf.DUMMYFUNCTION("""COMPUTED_VALUE"""),"M")</f>
        <v>M</v>
      </c>
      <c r="E706" t="str">
        <f ca="1">IFERROR(__xludf.DUMMYFUNCTION("""COMPUTED_VALUE"""),"ReserveRES")</f>
        <v>ReserveRES</v>
      </c>
      <c r="F706" t="str">
        <f ca="1">IFERROR(__xludf.DUMMYFUNCTION("""COMPUTED_VALUE"""),"HG")</f>
        <v>HG</v>
      </c>
      <c r="G706" t="str">
        <f ca="1">IFERROR(__xludf.DUMMYFUNCTION("""COMPUTED_VALUE"""),"")</f>
        <v/>
      </c>
    </row>
    <row r="707" spans="1:7" ht="13.2" x14ac:dyDescent="0.25">
      <c r="A707" s="1" t="s">
        <v>30</v>
      </c>
      <c r="B707" t="str">
        <f ca="1">IFERROR(__xludf.DUMMYFUNCTION("""COMPUTED_VALUE"""),"")</f>
        <v/>
      </c>
      <c r="C707" t="str">
        <f ca="1">IFERROR(__xludf.DUMMYFUNCTION("""COMPUTED_VALUE"""),"")</f>
        <v/>
      </c>
      <c r="D707" t="str">
        <f ca="1">IFERROR(__xludf.DUMMYFUNCTION("""COMPUTED_VALUE"""),"")</f>
        <v/>
      </c>
      <c r="E707" t="str">
        <f ca="1">IFERROR(__xludf.DUMMYFUNCTION("""COMPUTED_VALUE"""),"")</f>
        <v/>
      </c>
      <c r="F707" t="str">
        <f ca="1">IFERROR(__xludf.DUMMYFUNCTION("""COMPUTED_VALUE"""),"")</f>
        <v/>
      </c>
      <c r="G707" t="str">
        <f ca="1">IFERROR(__xludf.DUMMYFUNCTION("""COMPUTED_VALUE"""),"")</f>
        <v/>
      </c>
    </row>
    <row r="708" spans="1:7" ht="13.2" x14ac:dyDescent="0.25">
      <c r="A708" s="1" t="s">
        <v>30</v>
      </c>
      <c r="B708" t="str">
        <f ca="1">IFERROR(__xludf.DUMMYFUNCTION("""COMPUTED_VALUE"""),"")</f>
        <v/>
      </c>
      <c r="C708" t="str">
        <f ca="1">IFERROR(__xludf.DUMMYFUNCTION("""COMPUTED_VALUE"""),"")</f>
        <v/>
      </c>
      <c r="D708" t="str">
        <f ca="1">IFERROR(__xludf.DUMMYFUNCTION("""COMPUTED_VALUE"""),"")</f>
        <v/>
      </c>
      <c r="E708" t="str">
        <f ca="1">IFERROR(__xludf.DUMMYFUNCTION("""COMPUTED_VALUE"""),"")</f>
        <v/>
      </c>
      <c r="F708" t="str">
        <f ca="1">IFERROR(__xludf.DUMMYFUNCTION("""COMPUTED_VALUE"""),"")</f>
        <v/>
      </c>
      <c r="G708" t="str">
        <f ca="1">IFERROR(__xludf.DUMMYFUNCTION("""COMPUTED_VALUE"""),"")</f>
        <v/>
      </c>
    </row>
    <row r="709" spans="1:7" ht="13.2" x14ac:dyDescent="0.25">
      <c r="A709" s="1" t="s">
        <v>30</v>
      </c>
      <c r="B709" t="str">
        <f ca="1">IFERROR(__xludf.DUMMYFUNCTION("""COMPUTED_VALUE"""),"28 of 30 spots filled")</f>
        <v>28 of 30 spots filled</v>
      </c>
      <c r="C709" t="str">
        <f ca="1">IFERROR(__xludf.DUMMYFUNCTION("""COMPUTED_VALUE"""),"")</f>
        <v/>
      </c>
      <c r="D709" t="str">
        <f ca="1">IFERROR(__xludf.DUMMYFUNCTION("""COMPUTED_VALUE"""),"")</f>
        <v/>
      </c>
      <c r="E709" t="str">
        <f ca="1">IFERROR(__xludf.DUMMYFUNCTION("""COMPUTED_VALUE"""),"")</f>
        <v/>
      </c>
      <c r="F709" t="str">
        <f ca="1">IFERROR(__xludf.DUMMYFUNCTION("""COMPUTED_VALUE"""),"")</f>
        <v/>
      </c>
      <c r="G709" t="str">
        <f ca="1">IFERROR(__xludf.DUMMYFUNCTION("""COMPUTED_VALUE"""),"")</f>
        <v/>
      </c>
    </row>
    <row r="710" spans="1:7" ht="13.2" x14ac:dyDescent="0.25">
      <c r="A710" s="1" t="s">
        <v>30</v>
      </c>
      <c r="B710" t="str">
        <f ca="1">IFERROR(__xludf.DUMMYFUNCTION("""COMPUTED_VALUE"""),"*Players that do not count against the 30-man active roster*")</f>
        <v>*Players that do not count against the 30-man active roster*</v>
      </c>
      <c r="C710" t="str">
        <f ca="1">IFERROR(__xludf.DUMMYFUNCTION("""COMPUTED_VALUE"""),"")</f>
        <v/>
      </c>
      <c r="D710" t="str">
        <f ca="1">IFERROR(__xludf.DUMMYFUNCTION("""COMPUTED_VALUE"""),"")</f>
        <v/>
      </c>
      <c r="E710" t="str">
        <f ca="1">IFERROR(__xludf.DUMMYFUNCTION("""COMPUTED_VALUE"""),"")</f>
        <v/>
      </c>
      <c r="F710" t="str">
        <f ca="1">IFERROR(__xludf.DUMMYFUNCTION("""COMPUTED_VALUE"""),"")</f>
        <v/>
      </c>
      <c r="G710" t="str">
        <f ca="1">IFERROR(__xludf.DUMMYFUNCTION("""COMPUTED_VALUE"""),"")</f>
        <v/>
      </c>
    </row>
    <row r="711" spans="1:7" ht="13.2" x14ac:dyDescent="0.25">
      <c r="A711" s="1" t="s">
        <v>30</v>
      </c>
      <c r="B711" t="str">
        <f ca="1">IFERROR(__xludf.DUMMYFUNCTION("""COMPUTED_VALUE"""),"Kovar, Aaron")</f>
        <v>Kovar, Aaron</v>
      </c>
      <c r="C711" t="str">
        <f ca="1">IFERROR(__xludf.DUMMYFUNCTION("""COMPUTED_VALUE"""),"")</f>
        <v/>
      </c>
      <c r="D711" t="str">
        <f ca="1">IFERROR(__xludf.DUMMYFUNCTION("""COMPUTED_VALUE"""),"")</f>
        <v/>
      </c>
      <c r="E711" t="str">
        <f ca="1">IFERROR(__xludf.DUMMYFUNCTION("""COMPUTED_VALUE"""),"On loanOL")</f>
        <v>On loanOL</v>
      </c>
      <c r="F711" t="str">
        <f ca="1">IFERROR(__xludf.DUMMYFUNCTION("""COMPUTED_VALUE"""),"*Loaned to: LAFCOL: LAFC*")</f>
        <v>*Loaned to: LAFCOL: LAFC*</v>
      </c>
      <c r="G711" t="str">
        <f ca="1">IFERROR(__xludf.DUMMYFUNCTION("""COMPUTED_VALUE"""),"")</f>
        <v/>
      </c>
    </row>
    <row r="712" spans="1:7" ht="13.2" x14ac:dyDescent="0.25">
      <c r="A712" s="1" t="s">
        <v>30</v>
      </c>
    </row>
    <row r="713" spans="1:7" ht="13.2" x14ac:dyDescent="0.25">
      <c r="A713" s="1" t="s">
        <v>30</v>
      </c>
    </row>
    <row r="715" spans="1:7" ht="13.2" x14ac:dyDescent="0.25">
      <c r="B715" t="str">
        <f ca="1">IFERROR(__xludf.DUMMYFUNCTION("IMPORTHTML(""http://www.mlssoccer.com/rosters/2018/sporting-kansas-city"", ""table"", 1)"),"30-man Active Roster (Spots 1-30)")</f>
        <v>30-man Active Roster (Spots 1-30)</v>
      </c>
      <c r="C715" t="str">
        <f ca="1">IFERROR(__xludf.DUMMYFUNCTION("""COMPUTED_VALUE"""),"#")</f>
        <v>#</v>
      </c>
      <c r="D715" t="str">
        <f ca="1">IFERROR(__xludf.DUMMYFUNCTION("""COMPUTED_VALUE"""),"POS")</f>
        <v>POS</v>
      </c>
      <c r="E715" t="str">
        <f ca="1">IFERROR(__xludf.DUMMYFUNCTION("""COMPUTED_VALUE"""),"ROSTER STATUSR.S.")</f>
        <v>ROSTER STATUSR.S.</v>
      </c>
      <c r="F715" t="str">
        <f ca="1">IFERROR(__xludf.DUMMYFUNCTION("""COMPUTED_VALUE"""),"PLAYER CATEGORYCAT.")</f>
        <v>PLAYER CATEGORYCAT.</v>
      </c>
      <c r="G715" t="str">
        <f ca="1">IFERROR(__xludf.DUMMYFUNCTION("""COMPUTED_VALUE"""),"*NOTE*")</f>
        <v>*NOTE*</v>
      </c>
    </row>
    <row r="716" spans="1:7" ht="13.2" x14ac:dyDescent="0.25">
      <c r="A716" s="1" t="s">
        <v>31</v>
      </c>
      <c r="B716" t="str">
        <f ca="1">IFERROR(__xludf.DUMMYFUNCTION("""COMPUTED_VALUE"""),"Belmar, Kharlton")</f>
        <v>Belmar, Kharlton</v>
      </c>
      <c r="C716">
        <f ca="1">IFERROR(__xludf.DUMMYFUNCTION("""COMPUTED_VALUE"""),90)</f>
        <v>90</v>
      </c>
      <c r="D716" t="str">
        <f ca="1">IFERROR(__xludf.DUMMYFUNCTION("""COMPUTED_VALUE"""),"F")</f>
        <v>F</v>
      </c>
      <c r="E716" t="str">
        <f ca="1">IFERROR(__xludf.DUMMYFUNCTION("""COMPUTED_VALUE"""),"SeniorSR")</f>
        <v>SeniorSR</v>
      </c>
      <c r="F716" t="str">
        <f ca="1">IFERROR(__xludf.DUMMYFUNCTION("""COMPUTED_VALUE"""),"")</f>
        <v/>
      </c>
      <c r="G716" t="str">
        <f ca="1">IFERROR(__xludf.DUMMYFUNCTION("""COMPUTED_VALUE"""),"")</f>
        <v/>
      </c>
    </row>
    <row r="717" spans="1:7" ht="13.2" x14ac:dyDescent="0.25">
      <c r="A717" s="1" t="s">
        <v>31</v>
      </c>
      <c r="B717" t="str">
        <f ca="1">IFERROR(__xludf.DUMMYFUNCTION("""COMPUTED_VALUE"""),"Besler, Matt")</f>
        <v>Besler, Matt</v>
      </c>
      <c r="C717">
        <f ca="1">IFERROR(__xludf.DUMMYFUNCTION("""COMPUTED_VALUE"""),5)</f>
        <v>5</v>
      </c>
      <c r="D717" t="str">
        <f ca="1">IFERROR(__xludf.DUMMYFUNCTION("""COMPUTED_VALUE"""),"D")</f>
        <v>D</v>
      </c>
      <c r="E717" t="str">
        <f ca="1">IFERROR(__xludf.DUMMYFUNCTION("""COMPUTED_VALUE"""),"SeniorSR")</f>
        <v>SeniorSR</v>
      </c>
      <c r="F717" t="str">
        <f ca="1">IFERROR(__xludf.DUMMYFUNCTION("""COMPUTED_VALUE"""),"")</f>
        <v/>
      </c>
      <c r="G717" t="str">
        <f ca="1">IFERROR(__xludf.DUMMYFUNCTION("""COMPUTED_VALUE"""),"")</f>
        <v/>
      </c>
    </row>
    <row r="718" spans="1:7" ht="13.2" x14ac:dyDescent="0.25">
      <c r="A718" s="1" t="s">
        <v>31</v>
      </c>
      <c r="B718" t="str">
        <f ca="1">IFERROR(__xludf.DUMMYFUNCTION("""COMPUTED_VALUE"""),"Busio, Gianluca")</f>
        <v>Busio, Gianluca</v>
      </c>
      <c r="C718">
        <f ca="1">IFERROR(__xludf.DUMMYFUNCTION("""COMPUTED_VALUE"""),13)</f>
        <v>13</v>
      </c>
      <c r="D718" t="str">
        <f ca="1">IFERROR(__xludf.DUMMYFUNCTION("""COMPUTED_VALUE"""),"M/F")</f>
        <v>M/F</v>
      </c>
      <c r="E718" t="str">
        <f ca="1">IFERROR(__xludf.DUMMYFUNCTION("""COMPUTED_VALUE"""),"SupplementalSUP")</f>
        <v>SupplementalSUP</v>
      </c>
      <c r="F718" t="str">
        <f ca="1">IFERROR(__xludf.DUMMYFUNCTION("""COMPUTED_VALUE"""),"HG")</f>
        <v>HG</v>
      </c>
      <c r="G718" t="str">
        <f ca="1">IFERROR(__xludf.DUMMYFUNCTION("""COMPUTED_VALUE"""),"")</f>
        <v/>
      </c>
    </row>
    <row r="719" spans="1:7" ht="13.2" x14ac:dyDescent="0.25">
      <c r="A719" s="1" t="s">
        <v>31</v>
      </c>
      <c r="B719" t="str">
        <f ca="1">IFERROR(__xludf.DUMMYFUNCTION("""COMPUTED_VALUE"""),"Croizet, Yohan")</f>
        <v>Croizet, Yohan</v>
      </c>
      <c r="C719">
        <f ca="1">IFERROR(__xludf.DUMMYFUNCTION("""COMPUTED_VALUE"""),10)</f>
        <v>10</v>
      </c>
      <c r="D719" t="str">
        <f ca="1">IFERROR(__xludf.DUMMYFUNCTION("""COMPUTED_VALUE"""),"M/F")</f>
        <v>M/F</v>
      </c>
      <c r="E719" t="str">
        <f ca="1">IFERROR(__xludf.DUMMYFUNCTION("""COMPUTED_VALUE"""),"SeniorSR")</f>
        <v>SeniorSR</v>
      </c>
      <c r="F719" t="str">
        <f ca="1">IFERROR(__xludf.DUMMYFUNCTION("""COMPUTED_VALUE"""),"DP, INTL")</f>
        <v>DP, INTL</v>
      </c>
      <c r="G719" t="str">
        <f ca="1">IFERROR(__xludf.DUMMYFUNCTION("""COMPUTED_VALUE"""),"")</f>
        <v/>
      </c>
    </row>
    <row r="720" spans="1:7" ht="13.2" x14ac:dyDescent="0.25">
      <c r="A720" s="1" t="s">
        <v>31</v>
      </c>
      <c r="B720" t="str">
        <f ca="1">IFERROR(__xludf.DUMMYFUNCTION("""COMPUTED_VALUE"""),"Dick, Eric")</f>
        <v>Dick, Eric</v>
      </c>
      <c r="C720" t="str">
        <f ca="1">IFERROR(__xludf.DUMMYFUNCTION("""COMPUTED_VALUE"""),"")</f>
        <v/>
      </c>
      <c r="D720" t="str">
        <f ca="1">IFERROR(__xludf.DUMMYFUNCTION("""COMPUTED_VALUE"""),"GK")</f>
        <v>GK</v>
      </c>
      <c r="E720" t="str">
        <f ca="1">IFERROR(__xludf.DUMMYFUNCTION("""COMPUTED_VALUE"""),"ReserveRES")</f>
        <v>ReserveRES</v>
      </c>
      <c r="F720" t="str">
        <f ca="1">IFERROR(__xludf.DUMMYFUNCTION("""COMPUTED_VALUE"""),"")</f>
        <v/>
      </c>
      <c r="G720" t="str">
        <f ca="1">IFERROR(__xludf.DUMMYFUNCTION("""COMPUTED_VALUE"""),"")</f>
        <v/>
      </c>
    </row>
    <row r="721" spans="1:7" ht="13.2" x14ac:dyDescent="0.25">
      <c r="A721" s="1" t="s">
        <v>31</v>
      </c>
      <c r="B721" t="str">
        <f ca="1">IFERROR(__xludf.DUMMYFUNCTION("""COMPUTED_VALUE"""),"Didic, Amer")</f>
        <v>Didic, Amer</v>
      </c>
      <c r="C721">
        <f ca="1">IFERROR(__xludf.DUMMYFUNCTION("""COMPUTED_VALUE"""),2)</f>
        <v>2</v>
      </c>
      <c r="D721" t="str">
        <f ca="1">IFERROR(__xludf.DUMMYFUNCTION("""COMPUTED_VALUE"""),"D")</f>
        <v>D</v>
      </c>
      <c r="E721" t="str">
        <f ca="1">IFERROR(__xludf.DUMMYFUNCTION("""COMPUTED_VALUE"""),"ReserveRES")</f>
        <v>ReserveRES</v>
      </c>
      <c r="F721" t="str">
        <f ca="1">IFERROR(__xludf.DUMMYFUNCTION("""COMPUTED_VALUE"""),"")</f>
        <v/>
      </c>
      <c r="G721" t="str">
        <f ca="1">IFERROR(__xludf.DUMMYFUNCTION("""COMPUTED_VALUE"""),"")</f>
        <v/>
      </c>
    </row>
    <row r="722" spans="1:7" ht="13.2" x14ac:dyDescent="0.25">
      <c r="A722" s="1" t="s">
        <v>31</v>
      </c>
      <c r="B722" t="str">
        <f ca="1">IFERROR(__xludf.DUMMYFUNCTION("""COMPUTED_VALUE"""),"Espinoza, Roger")</f>
        <v>Espinoza, Roger</v>
      </c>
      <c r="C722">
        <f ca="1">IFERROR(__xludf.DUMMYFUNCTION("""COMPUTED_VALUE"""),17)</f>
        <v>17</v>
      </c>
      <c r="D722" t="str">
        <f ca="1">IFERROR(__xludf.DUMMYFUNCTION("""COMPUTED_VALUE"""),"M")</f>
        <v>M</v>
      </c>
      <c r="E722" t="str">
        <f ca="1">IFERROR(__xludf.DUMMYFUNCTION("""COMPUTED_VALUE"""),"SeniorSR")</f>
        <v>SeniorSR</v>
      </c>
      <c r="F722" t="str">
        <f ca="1">IFERROR(__xludf.DUMMYFUNCTION("""COMPUTED_VALUE"""),"DP")</f>
        <v>DP</v>
      </c>
      <c r="G722" t="str">
        <f ca="1">IFERROR(__xludf.DUMMYFUNCTION("""COMPUTED_VALUE"""),"")</f>
        <v/>
      </c>
    </row>
    <row r="723" spans="1:7" ht="13.2" x14ac:dyDescent="0.25">
      <c r="A723" s="1" t="s">
        <v>31</v>
      </c>
      <c r="B723" t="str">
        <f ca="1">IFERROR(__xludf.DUMMYFUNCTION("""COMPUTED_VALUE"""),"Evans, Brad")</f>
        <v>Evans, Brad</v>
      </c>
      <c r="C723">
        <f ca="1">IFERROR(__xludf.DUMMYFUNCTION("""COMPUTED_VALUE"""),4)</f>
        <v>4</v>
      </c>
      <c r="D723" t="str">
        <f ca="1">IFERROR(__xludf.DUMMYFUNCTION("""COMPUTED_VALUE"""),"D/M")</f>
        <v>D/M</v>
      </c>
      <c r="E723" t="str">
        <f ca="1">IFERROR(__xludf.DUMMYFUNCTION("""COMPUTED_VALUE"""),"SeniorSR")</f>
        <v>SeniorSR</v>
      </c>
      <c r="F723" t="str">
        <f ca="1">IFERROR(__xludf.DUMMYFUNCTION("""COMPUTED_VALUE"""),"")</f>
        <v/>
      </c>
      <c r="G723" t="str">
        <f ca="1">IFERROR(__xludf.DUMMYFUNCTION("""COMPUTED_VALUE"""),"")</f>
        <v/>
      </c>
    </row>
    <row r="724" spans="1:7" ht="13.2" x14ac:dyDescent="0.25">
      <c r="A724" s="1" t="s">
        <v>31</v>
      </c>
      <c r="B724" t="str">
        <f ca="1">IFERROR(__xludf.DUMMYFUNCTION("""COMPUTED_VALUE"""),"Fernandes, Gerso")</f>
        <v>Fernandes, Gerso</v>
      </c>
      <c r="C724">
        <f ca="1">IFERROR(__xludf.DUMMYFUNCTION("""COMPUTED_VALUE"""),12)</f>
        <v>12</v>
      </c>
      <c r="D724" t="str">
        <f ca="1">IFERROR(__xludf.DUMMYFUNCTION("""COMPUTED_VALUE"""),"F")</f>
        <v>F</v>
      </c>
      <c r="E724" t="str">
        <f ca="1">IFERROR(__xludf.DUMMYFUNCTION("""COMPUTED_VALUE"""),"SeniorSR")</f>
        <v>SeniorSR</v>
      </c>
      <c r="F724" t="str">
        <f ca="1">IFERROR(__xludf.DUMMYFUNCTION("""COMPUTED_VALUE"""),"")</f>
        <v/>
      </c>
      <c r="G724" t="str">
        <f ca="1">IFERROR(__xludf.DUMMYFUNCTION("""COMPUTED_VALUE"""),"")</f>
        <v/>
      </c>
    </row>
    <row r="725" spans="1:7" ht="13.2" x14ac:dyDescent="0.25">
      <c r="A725" s="1" t="s">
        <v>31</v>
      </c>
      <c r="B725" t="str">
        <f ca="1">IFERROR(__xludf.DUMMYFUNCTION("""COMPUTED_VALUE"""),"Fontas, Andreu")</f>
        <v>Fontas, Andreu</v>
      </c>
      <c r="C725">
        <f ca="1">IFERROR(__xludf.DUMMYFUNCTION("""COMPUTED_VALUE"""),30)</f>
        <v>30</v>
      </c>
      <c r="D725" t="str">
        <f ca="1">IFERROR(__xludf.DUMMYFUNCTION("""COMPUTED_VALUE"""),"D")</f>
        <v>D</v>
      </c>
      <c r="E725" t="str">
        <f ca="1">IFERROR(__xludf.DUMMYFUNCTION("""COMPUTED_VALUE"""),"SeniorSR")</f>
        <v>SeniorSR</v>
      </c>
      <c r="F725" t="str">
        <f ca="1">IFERROR(__xludf.DUMMYFUNCTION("""COMPUTED_VALUE"""),"INTL")</f>
        <v>INTL</v>
      </c>
      <c r="G725" t="str">
        <f ca="1">IFERROR(__xludf.DUMMYFUNCTION("""COMPUTED_VALUE"""),"")</f>
        <v/>
      </c>
    </row>
    <row r="726" spans="1:7" ht="13.2" x14ac:dyDescent="0.25">
      <c r="A726" s="1" t="s">
        <v>31</v>
      </c>
      <c r="B726" t="str">
        <f ca="1">IFERROR(__xludf.DUMMYFUNCTION("""COMPUTED_VALUE"""),"Gutierrez, Felipe")</f>
        <v>Gutierrez, Felipe</v>
      </c>
      <c r="C726">
        <f ca="1">IFERROR(__xludf.DUMMYFUNCTION("""COMPUTED_VALUE"""),21)</f>
        <v>21</v>
      </c>
      <c r="D726" t="str">
        <f ca="1">IFERROR(__xludf.DUMMYFUNCTION("""COMPUTED_VALUE"""),"M")</f>
        <v>M</v>
      </c>
      <c r="E726" t="str">
        <f ca="1">IFERROR(__xludf.DUMMYFUNCTION("""COMPUTED_VALUE"""),"SeniorSR")</f>
        <v>SeniorSR</v>
      </c>
      <c r="F726" t="str">
        <f ca="1">IFERROR(__xludf.DUMMYFUNCTION("""COMPUTED_VALUE"""),"DP, INTL")</f>
        <v>DP, INTL</v>
      </c>
      <c r="G726" t="str">
        <f ca="1">IFERROR(__xludf.DUMMYFUNCTION("""COMPUTED_VALUE"""),"")</f>
        <v/>
      </c>
    </row>
    <row r="727" spans="1:7" ht="13.2" x14ac:dyDescent="0.25">
      <c r="A727" s="1" t="s">
        <v>31</v>
      </c>
      <c r="B727" t="str">
        <f ca="1">IFERROR(__xludf.DUMMYFUNCTION("""COMPUTED_VALUE"""),"Kuzain, Wan")</f>
        <v>Kuzain, Wan</v>
      </c>
      <c r="C727">
        <f ca="1">IFERROR(__xludf.DUMMYFUNCTION("""COMPUTED_VALUE"""),75)</f>
        <v>75</v>
      </c>
      <c r="D727" t="str">
        <f ca="1">IFERROR(__xludf.DUMMYFUNCTION("""COMPUTED_VALUE"""),"M")</f>
        <v>M</v>
      </c>
      <c r="E727" t="str">
        <f ca="1">IFERROR(__xludf.DUMMYFUNCTION("""COMPUTED_VALUE"""),"SupplementalSUP")</f>
        <v>SupplementalSUP</v>
      </c>
      <c r="F727" t="str">
        <f ca="1">IFERROR(__xludf.DUMMYFUNCTION("""COMPUTED_VALUE"""),"HG")</f>
        <v>HG</v>
      </c>
      <c r="G727" t="str">
        <f ca="1">IFERROR(__xludf.DUMMYFUNCTION("""COMPUTED_VALUE"""),"")</f>
        <v/>
      </c>
    </row>
    <row r="728" spans="1:7" ht="13.2" x14ac:dyDescent="0.25">
      <c r="A728" s="1" t="s">
        <v>31</v>
      </c>
      <c r="B728" t="str">
        <f ca="1">IFERROR(__xludf.DUMMYFUNCTION("""COMPUTED_VALUE"""),"Lindsey, Jaylin")</f>
        <v>Lindsey, Jaylin</v>
      </c>
      <c r="C728">
        <f ca="1">IFERROR(__xludf.DUMMYFUNCTION("""COMPUTED_VALUE"""),26)</f>
        <v>26</v>
      </c>
      <c r="D728" t="str">
        <f ca="1">IFERROR(__xludf.DUMMYFUNCTION("""COMPUTED_VALUE"""),"D")</f>
        <v>D</v>
      </c>
      <c r="E728" t="str">
        <f ca="1">IFERROR(__xludf.DUMMYFUNCTION("""COMPUTED_VALUE"""),"ReserveRES")</f>
        <v>ReserveRES</v>
      </c>
      <c r="F728" t="str">
        <f ca="1">IFERROR(__xludf.DUMMYFUNCTION("""COMPUTED_VALUE"""),"HG")</f>
        <v>HG</v>
      </c>
      <c r="G728" t="str">
        <f ca="1">IFERROR(__xludf.DUMMYFUNCTION("""COMPUTED_VALUE"""),"")</f>
        <v/>
      </c>
    </row>
    <row r="729" spans="1:7" ht="13.2" x14ac:dyDescent="0.25">
      <c r="A729" s="1" t="s">
        <v>31</v>
      </c>
      <c r="B729" t="str">
        <f ca="1">IFERROR(__xludf.DUMMYFUNCTION("""COMPUTED_VALUE"""),"Lobato, Cristian")</f>
        <v>Lobato, Cristian</v>
      </c>
      <c r="C729">
        <f ca="1">IFERROR(__xludf.DUMMYFUNCTION("""COMPUTED_VALUE"""),19)</f>
        <v>19</v>
      </c>
      <c r="D729" t="str">
        <f ca="1">IFERROR(__xludf.DUMMYFUNCTION("""COMPUTED_VALUE"""),"M")</f>
        <v>M</v>
      </c>
      <c r="E729" t="str">
        <f ca="1">IFERROR(__xludf.DUMMYFUNCTION("""COMPUTED_VALUE"""),"SeniorSR")</f>
        <v>SeniorSR</v>
      </c>
      <c r="F729" t="str">
        <f ca="1">IFERROR(__xludf.DUMMYFUNCTION("""COMPUTED_VALUE"""),"INTL")</f>
        <v>INTL</v>
      </c>
      <c r="G729" t="str">
        <f ca="1">IFERROR(__xludf.DUMMYFUNCTION("""COMPUTED_VALUE"""),"")</f>
        <v/>
      </c>
    </row>
    <row r="730" spans="1:7" ht="13.2" x14ac:dyDescent="0.25">
      <c r="A730" s="1" t="s">
        <v>31</v>
      </c>
      <c r="B730" t="str">
        <f ca="1">IFERROR(__xludf.DUMMYFUNCTION("""COMPUTED_VALUE"""),"Medranda, Jimmy")</f>
        <v>Medranda, Jimmy</v>
      </c>
      <c r="C730">
        <f ca="1">IFERROR(__xludf.DUMMYFUNCTION("""COMPUTED_VALUE"""),94)</f>
        <v>94</v>
      </c>
      <c r="D730" t="str">
        <f ca="1">IFERROR(__xludf.DUMMYFUNCTION("""COMPUTED_VALUE"""),"D/M")</f>
        <v>D/M</v>
      </c>
      <c r="E730" t="str">
        <f ca="1">IFERROR(__xludf.DUMMYFUNCTION("""COMPUTED_VALUE"""),"SeniorSR")</f>
        <v>SeniorSR</v>
      </c>
      <c r="F730" t="str">
        <f ca="1">IFERROR(__xludf.DUMMYFUNCTION("""COMPUTED_VALUE"""),"")</f>
        <v/>
      </c>
      <c r="G730" t="str">
        <f ca="1">IFERROR(__xludf.DUMMYFUNCTION("""COMPUTED_VALUE"""),"")</f>
        <v/>
      </c>
    </row>
    <row r="731" spans="1:7" ht="13.2" x14ac:dyDescent="0.25">
      <c r="A731" s="1" t="s">
        <v>31</v>
      </c>
      <c r="B731" t="str">
        <f ca="1">IFERROR(__xludf.DUMMYFUNCTION("""COMPUTED_VALUE"""),"Melia, Tim")</f>
        <v>Melia, Tim</v>
      </c>
      <c r="C731">
        <f ca="1">IFERROR(__xludf.DUMMYFUNCTION("""COMPUTED_VALUE"""),29)</f>
        <v>29</v>
      </c>
      <c r="D731" t="str">
        <f ca="1">IFERROR(__xludf.DUMMYFUNCTION("""COMPUTED_VALUE"""),"GK")</f>
        <v>GK</v>
      </c>
      <c r="E731" t="str">
        <f ca="1">IFERROR(__xludf.DUMMYFUNCTION("""COMPUTED_VALUE"""),"SeniorSR")</f>
        <v>SeniorSR</v>
      </c>
      <c r="F731" t="str">
        <f ca="1">IFERROR(__xludf.DUMMYFUNCTION("""COMPUTED_VALUE"""),"")</f>
        <v/>
      </c>
      <c r="G731" t="str">
        <f ca="1">IFERROR(__xludf.DUMMYFUNCTION("""COMPUTED_VALUE"""),"")</f>
        <v/>
      </c>
    </row>
    <row r="732" spans="1:7" ht="13.2" x14ac:dyDescent="0.25">
      <c r="A732" s="1" t="s">
        <v>31</v>
      </c>
      <c r="B732" t="str">
        <f ca="1">IFERROR(__xludf.DUMMYFUNCTION("""COMPUTED_VALUE"""),"Nemeth, Krisztian")</f>
        <v>Nemeth, Krisztian</v>
      </c>
      <c r="C732">
        <f ca="1">IFERROR(__xludf.DUMMYFUNCTION("""COMPUTED_VALUE"""),9)</f>
        <v>9</v>
      </c>
      <c r="D732" t="str">
        <f ca="1">IFERROR(__xludf.DUMMYFUNCTION("""COMPUTED_VALUE"""),"F")</f>
        <v>F</v>
      </c>
      <c r="E732" t="str">
        <f ca="1">IFERROR(__xludf.DUMMYFUNCTION("""COMPUTED_VALUE"""),"SeniorSR")</f>
        <v>SeniorSR</v>
      </c>
      <c r="F732" t="str">
        <f ca="1">IFERROR(__xludf.DUMMYFUNCTION("""COMPUTED_VALUE"""),"INTL")</f>
        <v>INTL</v>
      </c>
      <c r="G732" t="str">
        <f ca="1">IFERROR(__xludf.DUMMYFUNCTION("""COMPUTED_VALUE"""),"")</f>
        <v/>
      </c>
    </row>
    <row r="733" spans="1:7" ht="13.2" x14ac:dyDescent="0.25">
      <c r="A733" s="1" t="s">
        <v>31</v>
      </c>
      <c r="B733" t="str">
        <f ca="1">IFERROR(__xludf.DUMMYFUNCTION("""COMPUTED_VALUE"""),"Opara, Ike")</f>
        <v>Opara, Ike</v>
      </c>
      <c r="C733">
        <f ca="1">IFERROR(__xludf.DUMMYFUNCTION("""COMPUTED_VALUE"""),3)</f>
        <v>3</v>
      </c>
      <c r="D733" t="str">
        <f ca="1">IFERROR(__xludf.DUMMYFUNCTION("""COMPUTED_VALUE"""),"D")</f>
        <v>D</v>
      </c>
      <c r="E733" t="str">
        <f ca="1">IFERROR(__xludf.DUMMYFUNCTION("""COMPUTED_VALUE"""),"SeniorSR")</f>
        <v>SeniorSR</v>
      </c>
      <c r="F733" t="str">
        <f ca="1">IFERROR(__xludf.DUMMYFUNCTION("""COMPUTED_VALUE"""),"")</f>
        <v/>
      </c>
      <c r="G733" t="str">
        <f ca="1">IFERROR(__xludf.DUMMYFUNCTION("""COMPUTED_VALUE"""),"")</f>
        <v/>
      </c>
    </row>
    <row r="734" spans="1:7" ht="13.2" x14ac:dyDescent="0.25">
      <c r="A734" s="1" t="s">
        <v>31</v>
      </c>
      <c r="B734" t="str">
        <f ca="1">IFERROR(__xludf.DUMMYFUNCTION("""COMPUTED_VALUE"""),"Rubio, Diego")</f>
        <v>Rubio, Diego</v>
      </c>
      <c r="C734">
        <f ca="1">IFERROR(__xludf.DUMMYFUNCTION("""COMPUTED_VALUE"""),11)</f>
        <v>11</v>
      </c>
      <c r="D734" t="str">
        <f ca="1">IFERROR(__xludf.DUMMYFUNCTION("""COMPUTED_VALUE"""),"F")</f>
        <v>F</v>
      </c>
      <c r="E734" t="str">
        <f ca="1">IFERROR(__xludf.DUMMYFUNCTION("""COMPUTED_VALUE"""),"SeniorSR")</f>
        <v>SeniorSR</v>
      </c>
      <c r="F734" t="str">
        <f ca="1">IFERROR(__xludf.DUMMYFUNCTION("""COMPUTED_VALUE"""),"")</f>
        <v/>
      </c>
      <c r="G734" t="str">
        <f ca="1">IFERROR(__xludf.DUMMYFUNCTION("""COMPUTED_VALUE"""),"")</f>
        <v/>
      </c>
    </row>
    <row r="735" spans="1:7" ht="13.2" x14ac:dyDescent="0.25">
      <c r="A735" s="1" t="s">
        <v>31</v>
      </c>
      <c r="B735" t="str">
        <f ca="1">IFERROR(__xludf.DUMMYFUNCTION("""COMPUTED_VALUE"""),"Russell, Johnny")</f>
        <v>Russell, Johnny</v>
      </c>
      <c r="C735">
        <f ca="1">IFERROR(__xludf.DUMMYFUNCTION("""COMPUTED_VALUE"""),7)</f>
        <v>7</v>
      </c>
      <c r="D735" t="str">
        <f ca="1">IFERROR(__xludf.DUMMYFUNCTION("""COMPUTED_VALUE"""),"F")</f>
        <v>F</v>
      </c>
      <c r="E735" t="str">
        <f ca="1">IFERROR(__xludf.DUMMYFUNCTION("""COMPUTED_VALUE"""),"SeniorSR")</f>
        <v>SeniorSR</v>
      </c>
      <c r="F735" t="str">
        <f ca="1">IFERROR(__xludf.DUMMYFUNCTION("""COMPUTED_VALUE"""),"INTL")</f>
        <v>INTL</v>
      </c>
      <c r="G735" t="str">
        <f ca="1">IFERROR(__xludf.DUMMYFUNCTION("""COMPUTED_VALUE"""),"")</f>
        <v/>
      </c>
    </row>
    <row r="736" spans="1:7" ht="13.2" x14ac:dyDescent="0.25">
      <c r="A736" s="1" t="s">
        <v>31</v>
      </c>
      <c r="B736" t="str">
        <f ca="1">IFERROR(__xludf.DUMMYFUNCTION("""COMPUTED_VALUE"""),"Salloi, Daniel")</f>
        <v>Salloi, Daniel</v>
      </c>
      <c r="C736">
        <f ca="1">IFERROR(__xludf.DUMMYFUNCTION("""COMPUTED_VALUE"""),20)</f>
        <v>20</v>
      </c>
      <c r="D736" t="str">
        <f ca="1">IFERROR(__xludf.DUMMYFUNCTION("""COMPUTED_VALUE"""),"F")</f>
        <v>F</v>
      </c>
      <c r="E736" t="str">
        <f ca="1">IFERROR(__xludf.DUMMYFUNCTION("""COMPUTED_VALUE"""),"SupplementalSUP")</f>
        <v>SupplementalSUP</v>
      </c>
      <c r="F736" t="str">
        <f ca="1">IFERROR(__xludf.DUMMYFUNCTION("""COMPUTED_VALUE"""),"INTL, HG")</f>
        <v>INTL, HG</v>
      </c>
      <c r="G736" t="str">
        <f ca="1">IFERROR(__xludf.DUMMYFUNCTION("""COMPUTED_VALUE"""),"")</f>
        <v/>
      </c>
    </row>
    <row r="737" spans="1:7" ht="13.2" x14ac:dyDescent="0.25">
      <c r="A737" s="1" t="s">
        <v>31</v>
      </c>
      <c r="B737" t="str">
        <f ca="1">IFERROR(__xludf.DUMMYFUNCTION("""COMPUTED_VALUE"""),"Sanchez, Ilie")</f>
        <v>Sanchez, Ilie</v>
      </c>
      <c r="C737">
        <f ca="1">IFERROR(__xludf.DUMMYFUNCTION("""COMPUTED_VALUE"""),6)</f>
        <v>6</v>
      </c>
      <c r="D737" t="str">
        <f ca="1">IFERROR(__xludf.DUMMYFUNCTION("""COMPUTED_VALUE"""),"M")</f>
        <v>M</v>
      </c>
      <c r="E737" t="str">
        <f ca="1">IFERROR(__xludf.DUMMYFUNCTION("""COMPUTED_VALUE"""),"SeniorSR")</f>
        <v>SeniorSR</v>
      </c>
      <c r="F737" t="str">
        <f ca="1">IFERROR(__xludf.DUMMYFUNCTION("""COMPUTED_VALUE"""),"")</f>
        <v/>
      </c>
      <c r="G737" t="str">
        <f ca="1">IFERROR(__xludf.DUMMYFUNCTION("""COMPUTED_VALUE"""),"")</f>
        <v/>
      </c>
    </row>
    <row r="738" spans="1:7" ht="13.2" x14ac:dyDescent="0.25">
      <c r="A738" s="1" t="s">
        <v>31</v>
      </c>
      <c r="B738" t="str">
        <f ca="1">IFERROR(__xludf.DUMMYFUNCTION("""COMPUTED_VALUE"""),"Shelton, Khiry")</f>
        <v>Shelton, Khiry</v>
      </c>
      <c r="C738">
        <f ca="1">IFERROR(__xludf.DUMMYFUNCTION("""COMPUTED_VALUE"""),14)</f>
        <v>14</v>
      </c>
      <c r="D738" t="str">
        <f ca="1">IFERROR(__xludf.DUMMYFUNCTION("""COMPUTED_VALUE"""),"F")</f>
        <v>F</v>
      </c>
      <c r="E738" t="str">
        <f ca="1">IFERROR(__xludf.DUMMYFUNCTION("""COMPUTED_VALUE"""),"SeniorSR")</f>
        <v>SeniorSR</v>
      </c>
      <c r="F738" t="str">
        <f ca="1">IFERROR(__xludf.DUMMYFUNCTION("""COMPUTED_VALUE"""),"")</f>
        <v/>
      </c>
      <c r="G738" t="str">
        <f ca="1">IFERROR(__xludf.DUMMYFUNCTION("""COMPUTED_VALUE"""),"")</f>
        <v/>
      </c>
    </row>
    <row r="739" spans="1:7" ht="13.2" x14ac:dyDescent="0.25">
      <c r="A739" s="1" t="s">
        <v>31</v>
      </c>
      <c r="B739" t="str">
        <f ca="1">IFERROR(__xludf.DUMMYFUNCTION("""COMPUTED_VALUE"""),"Sinovic, Seth")</f>
        <v>Sinovic, Seth</v>
      </c>
      <c r="C739">
        <f ca="1">IFERROR(__xludf.DUMMYFUNCTION("""COMPUTED_VALUE"""),15)</f>
        <v>15</v>
      </c>
      <c r="D739" t="str">
        <f ca="1">IFERROR(__xludf.DUMMYFUNCTION("""COMPUTED_VALUE"""),"D")</f>
        <v>D</v>
      </c>
      <c r="E739" t="str">
        <f ca="1">IFERROR(__xludf.DUMMYFUNCTION("""COMPUTED_VALUE"""),"SeniorSR")</f>
        <v>SeniorSR</v>
      </c>
      <c r="F739" t="str">
        <f ca="1">IFERROR(__xludf.DUMMYFUNCTION("""COMPUTED_VALUE"""),"")</f>
        <v/>
      </c>
      <c r="G739" t="str">
        <f ca="1">IFERROR(__xludf.DUMMYFUNCTION("""COMPUTED_VALUE"""),"")</f>
        <v/>
      </c>
    </row>
    <row r="740" spans="1:7" ht="13.2" x14ac:dyDescent="0.25">
      <c r="A740" s="1" t="s">
        <v>31</v>
      </c>
      <c r="B740" t="str">
        <f ca="1">IFERROR(__xludf.DUMMYFUNCTION("""COMPUTED_VALUE"""),"Smith, Graham")</f>
        <v>Smith, Graham</v>
      </c>
      <c r="C740">
        <f ca="1">IFERROR(__xludf.DUMMYFUNCTION("""COMPUTED_VALUE"""),16)</f>
        <v>16</v>
      </c>
      <c r="D740" t="str">
        <f ca="1">IFERROR(__xludf.DUMMYFUNCTION("""COMPUTED_VALUE"""),"D")</f>
        <v>D</v>
      </c>
      <c r="E740" t="str">
        <f ca="1">IFERROR(__xludf.DUMMYFUNCTION("""COMPUTED_VALUE"""),"ReserveRES")</f>
        <v>ReserveRES</v>
      </c>
      <c r="F740" t="str">
        <f ca="1">IFERROR(__xludf.DUMMYFUNCTION("""COMPUTED_VALUE"""),"")</f>
        <v/>
      </c>
      <c r="G740" t="str">
        <f ca="1">IFERROR(__xludf.DUMMYFUNCTION("""COMPUTED_VALUE"""),"")</f>
        <v/>
      </c>
    </row>
    <row r="741" spans="1:7" ht="13.2" x14ac:dyDescent="0.25">
      <c r="A741" s="1" t="s">
        <v>31</v>
      </c>
      <c r="B741" t="str">
        <f ca="1">IFERROR(__xludf.DUMMYFUNCTION("""COMPUTED_VALUE"""),"Storm, Colton")</f>
        <v>Storm, Colton</v>
      </c>
      <c r="C741">
        <f ca="1">IFERROR(__xludf.DUMMYFUNCTION("""COMPUTED_VALUE"""),23)</f>
        <v>23</v>
      </c>
      <c r="D741" t="str">
        <f ca="1">IFERROR(__xludf.DUMMYFUNCTION("""COMPUTED_VALUE"""),"D")</f>
        <v>D</v>
      </c>
      <c r="E741" t="str">
        <f ca="1">IFERROR(__xludf.DUMMYFUNCTION("""COMPUTED_VALUE"""),"ReserveRES")</f>
        <v>ReserveRES</v>
      </c>
      <c r="F741" t="str">
        <f ca="1">IFERROR(__xludf.DUMMYFUNCTION("""COMPUTED_VALUE"""),"")</f>
        <v/>
      </c>
      <c r="G741" t="str">
        <f ca="1">IFERROR(__xludf.DUMMYFUNCTION("""COMPUTED_VALUE"""),"")</f>
        <v/>
      </c>
    </row>
    <row r="742" spans="1:7" ht="13.2" x14ac:dyDescent="0.25">
      <c r="A742" s="1" t="s">
        <v>31</v>
      </c>
      <c r="B742" t="str">
        <f ca="1">IFERROR(__xludf.DUMMYFUNCTION("""COMPUTED_VALUE"""),"Zendejas, Adrian")</f>
        <v>Zendejas, Adrian</v>
      </c>
      <c r="C742">
        <f ca="1">IFERROR(__xludf.DUMMYFUNCTION("""COMPUTED_VALUE"""),1)</f>
        <v>1</v>
      </c>
      <c r="D742" t="str">
        <f ca="1">IFERROR(__xludf.DUMMYFUNCTION("""COMPUTED_VALUE"""),"GK")</f>
        <v>GK</v>
      </c>
      <c r="E742" t="str">
        <f ca="1">IFERROR(__xludf.DUMMYFUNCTION("""COMPUTED_VALUE"""),"ReserveRES")</f>
        <v>ReserveRES</v>
      </c>
      <c r="F742" t="str">
        <f ca="1">IFERROR(__xludf.DUMMYFUNCTION("""COMPUTED_VALUE"""),"")</f>
        <v/>
      </c>
      <c r="G742" t="str">
        <f ca="1">IFERROR(__xludf.DUMMYFUNCTION("""COMPUTED_VALUE"""),"")</f>
        <v/>
      </c>
    </row>
    <row r="743" spans="1:7" ht="13.2" x14ac:dyDescent="0.25">
      <c r="A743" s="1" t="s">
        <v>31</v>
      </c>
      <c r="B743" t="str">
        <f ca="1">IFERROR(__xludf.DUMMYFUNCTION("""COMPUTED_VALUE"""),"Zusi, Graham")</f>
        <v>Zusi, Graham</v>
      </c>
      <c r="C743">
        <f ca="1">IFERROR(__xludf.DUMMYFUNCTION("""COMPUTED_VALUE"""),8)</f>
        <v>8</v>
      </c>
      <c r="D743" t="str">
        <f ca="1">IFERROR(__xludf.DUMMYFUNCTION("""COMPUTED_VALUE"""),"D/M")</f>
        <v>D/M</v>
      </c>
      <c r="E743" t="str">
        <f ca="1">IFERROR(__xludf.DUMMYFUNCTION("""COMPUTED_VALUE"""),"SeniorSR")</f>
        <v>SeniorSR</v>
      </c>
      <c r="F743" t="str">
        <f ca="1">IFERROR(__xludf.DUMMYFUNCTION("""COMPUTED_VALUE"""),"")</f>
        <v/>
      </c>
      <c r="G743" t="str">
        <f ca="1">IFERROR(__xludf.DUMMYFUNCTION("""COMPUTED_VALUE"""),"")</f>
        <v/>
      </c>
    </row>
    <row r="744" spans="1:7" ht="13.2" x14ac:dyDescent="0.25">
      <c r="A744" s="1" t="s">
        <v>31</v>
      </c>
      <c r="B744" t="str">
        <f ca="1">IFERROR(__xludf.DUMMYFUNCTION("""COMPUTED_VALUE"""),"")</f>
        <v/>
      </c>
      <c r="C744" t="str">
        <f ca="1">IFERROR(__xludf.DUMMYFUNCTION("""COMPUTED_VALUE"""),"")</f>
        <v/>
      </c>
      <c r="D744" t="str">
        <f ca="1">IFERROR(__xludf.DUMMYFUNCTION("""COMPUTED_VALUE"""),"")</f>
        <v/>
      </c>
      <c r="E744" t="str">
        <f ca="1">IFERROR(__xludf.DUMMYFUNCTION("""COMPUTED_VALUE"""),"")</f>
        <v/>
      </c>
      <c r="F744" t="str">
        <f ca="1">IFERROR(__xludf.DUMMYFUNCTION("""COMPUTED_VALUE"""),"")</f>
        <v/>
      </c>
      <c r="G744" t="str">
        <f ca="1">IFERROR(__xludf.DUMMYFUNCTION("""COMPUTED_VALUE"""),"")</f>
        <v/>
      </c>
    </row>
    <row r="745" spans="1:7" ht="13.2" x14ac:dyDescent="0.25">
      <c r="A745" s="1" t="s">
        <v>31</v>
      </c>
      <c r="B745" t="str">
        <f ca="1">IFERROR(__xludf.DUMMYFUNCTION("""COMPUTED_VALUE"""),"")</f>
        <v/>
      </c>
      <c r="C745" t="str">
        <f ca="1">IFERROR(__xludf.DUMMYFUNCTION("""COMPUTED_VALUE"""),"")</f>
        <v/>
      </c>
      <c r="D745" t="str">
        <f ca="1">IFERROR(__xludf.DUMMYFUNCTION("""COMPUTED_VALUE"""),"")</f>
        <v/>
      </c>
      <c r="E745" t="str">
        <f ca="1">IFERROR(__xludf.DUMMYFUNCTION("""COMPUTED_VALUE"""),"")</f>
        <v/>
      </c>
      <c r="F745" t="str">
        <f ca="1">IFERROR(__xludf.DUMMYFUNCTION("""COMPUTED_VALUE"""),"")</f>
        <v/>
      </c>
      <c r="G745" t="str">
        <f ca="1">IFERROR(__xludf.DUMMYFUNCTION("""COMPUTED_VALUE"""),"")</f>
        <v/>
      </c>
    </row>
    <row r="746" spans="1:7" ht="13.2" x14ac:dyDescent="0.25">
      <c r="A746" s="1" t="s">
        <v>31</v>
      </c>
      <c r="B746" t="str">
        <f ca="1">IFERROR(__xludf.DUMMYFUNCTION("""COMPUTED_VALUE"""),"28 of 30 spots filled")</f>
        <v>28 of 30 spots filled</v>
      </c>
      <c r="C746" t="str">
        <f ca="1">IFERROR(__xludf.DUMMYFUNCTION("""COMPUTED_VALUE"""),"")</f>
        <v/>
      </c>
      <c r="D746" t="str">
        <f ca="1">IFERROR(__xludf.DUMMYFUNCTION("""COMPUTED_VALUE"""),"")</f>
        <v/>
      </c>
      <c r="E746" t="str">
        <f ca="1">IFERROR(__xludf.DUMMYFUNCTION("""COMPUTED_VALUE"""),"")</f>
        <v/>
      </c>
      <c r="F746" t="str">
        <f ca="1">IFERROR(__xludf.DUMMYFUNCTION("""COMPUTED_VALUE"""),"")</f>
        <v/>
      </c>
      <c r="G746" t="str">
        <f ca="1">IFERROR(__xludf.DUMMYFUNCTION("""COMPUTED_VALUE"""),"")</f>
        <v/>
      </c>
    </row>
    <row r="747" spans="1:7" ht="13.2" x14ac:dyDescent="0.25">
      <c r="A747" s="1" t="s">
        <v>31</v>
      </c>
    </row>
    <row r="748" spans="1:7" ht="13.2" x14ac:dyDescent="0.25">
      <c r="A748" s="1" t="s">
        <v>31</v>
      </c>
    </row>
    <row r="749" spans="1:7" ht="13.2" x14ac:dyDescent="0.25">
      <c r="A749" s="1" t="s">
        <v>31</v>
      </c>
    </row>
    <row r="750" spans="1:7" ht="13.2" x14ac:dyDescent="0.25">
      <c r="A750" s="1" t="s">
        <v>31</v>
      </c>
    </row>
    <row r="752" spans="1:7" ht="13.2" x14ac:dyDescent="0.25">
      <c r="B752" t="str">
        <f ca="1">IFERROR(__xludf.DUMMYFUNCTION("IMPORTHTML(""http://www.mlssoccer.com/rosters/2018/toronto-fc"", ""table"", 1)"),"30-man Active Roster (Spots 1-30)")</f>
        <v>30-man Active Roster (Spots 1-30)</v>
      </c>
      <c r="C752" t="str">
        <f ca="1">IFERROR(__xludf.DUMMYFUNCTION("""COMPUTED_VALUE"""),"#")</f>
        <v>#</v>
      </c>
      <c r="D752" t="str">
        <f ca="1">IFERROR(__xludf.DUMMYFUNCTION("""COMPUTED_VALUE"""),"POS")</f>
        <v>POS</v>
      </c>
      <c r="E752" t="str">
        <f ca="1">IFERROR(__xludf.DUMMYFUNCTION("""COMPUTED_VALUE"""),"ROSTER STATUSR.S.")</f>
        <v>ROSTER STATUSR.S.</v>
      </c>
      <c r="F752" t="str">
        <f ca="1">IFERROR(__xludf.DUMMYFUNCTION("""COMPUTED_VALUE"""),"PLAYER CATEGORYCAT.")</f>
        <v>PLAYER CATEGORYCAT.</v>
      </c>
      <c r="G752" t="str">
        <f ca="1">IFERROR(__xludf.DUMMYFUNCTION("""COMPUTED_VALUE"""),"*NOTE*")</f>
        <v>*NOTE*</v>
      </c>
    </row>
    <row r="753" spans="1:7" ht="13.2" x14ac:dyDescent="0.25">
      <c r="A753" s="1" t="s">
        <v>32</v>
      </c>
      <c r="B753" t="str">
        <f ca="1">IFERROR(__xludf.DUMMYFUNCTION("""COMPUTED_VALUE"""),"Aketxe, Ager")</f>
        <v>Aketxe, Ager</v>
      </c>
      <c r="C753">
        <f ca="1">IFERROR(__xludf.DUMMYFUNCTION("""COMPUTED_VALUE"""),8)</f>
        <v>8</v>
      </c>
      <c r="D753" t="str">
        <f ca="1">IFERROR(__xludf.DUMMYFUNCTION("""COMPUTED_VALUE"""),"M")</f>
        <v>M</v>
      </c>
      <c r="E753" t="str">
        <f ca="1">IFERROR(__xludf.DUMMYFUNCTION("""COMPUTED_VALUE"""),"SeniorSR, On loanOL")</f>
        <v>SeniorSR, On loanOL</v>
      </c>
      <c r="F753" t="str">
        <f ca="1">IFERROR(__xludf.DUMMYFUNCTION("""COMPUTED_VALUE"""),"INTL")</f>
        <v>INTL</v>
      </c>
      <c r="G753" t="str">
        <f ca="1">IFERROR(__xludf.DUMMYFUNCTION("""COMPUTED_VALUE"""),"*On loanOL*")</f>
        <v>*On loanOL*</v>
      </c>
    </row>
    <row r="754" spans="1:7" ht="13.2" x14ac:dyDescent="0.25">
      <c r="A754" s="1" t="s">
        <v>32</v>
      </c>
      <c r="B754" t="str">
        <f ca="1">IFERROR(__xludf.DUMMYFUNCTION("""COMPUTED_VALUE"""),"Akinola, Ayo")</f>
        <v>Akinola, Ayo</v>
      </c>
      <c r="C754" t="str">
        <f ca="1">IFERROR(__xludf.DUMMYFUNCTION("""COMPUTED_VALUE"""),"")</f>
        <v/>
      </c>
      <c r="D754" t="str">
        <f ca="1">IFERROR(__xludf.DUMMYFUNCTION("""COMPUTED_VALUE"""),"F")</f>
        <v>F</v>
      </c>
      <c r="E754" t="str">
        <f ca="1">IFERROR(__xludf.DUMMYFUNCTION("""COMPUTED_VALUE"""),"ReserveRES")</f>
        <v>ReserveRES</v>
      </c>
      <c r="F754" t="str">
        <f ca="1">IFERROR(__xludf.DUMMYFUNCTION("""COMPUTED_VALUE"""),"HG")</f>
        <v>HG</v>
      </c>
      <c r="G754" t="str">
        <f ca="1">IFERROR(__xludf.DUMMYFUNCTION("""COMPUTED_VALUE"""),"")</f>
        <v/>
      </c>
    </row>
    <row r="755" spans="1:7" ht="13.2" x14ac:dyDescent="0.25">
      <c r="A755" s="1" t="s">
        <v>32</v>
      </c>
      <c r="B755" t="str">
        <f ca="1">IFERROR(__xludf.DUMMYFUNCTION("""COMPUTED_VALUE"""),"Altidore, Jozy")</f>
        <v>Altidore, Jozy</v>
      </c>
      <c r="C755">
        <f ca="1">IFERROR(__xludf.DUMMYFUNCTION("""COMPUTED_VALUE"""),17)</f>
        <v>17</v>
      </c>
      <c r="D755" t="str">
        <f ca="1">IFERROR(__xludf.DUMMYFUNCTION("""COMPUTED_VALUE"""),"F")</f>
        <v>F</v>
      </c>
      <c r="E755" t="str">
        <f ca="1">IFERROR(__xludf.DUMMYFUNCTION("""COMPUTED_VALUE"""),"SeniorSR")</f>
        <v>SeniorSR</v>
      </c>
      <c r="F755" t="str">
        <f ca="1">IFERROR(__xludf.DUMMYFUNCTION("""COMPUTED_VALUE"""),"DP")</f>
        <v>DP</v>
      </c>
      <c r="G755" t="str">
        <f ca="1">IFERROR(__xludf.DUMMYFUNCTION("""COMPUTED_VALUE"""),"")</f>
        <v/>
      </c>
    </row>
    <row r="756" spans="1:7" ht="13.2" x14ac:dyDescent="0.25">
      <c r="A756" s="1" t="s">
        <v>32</v>
      </c>
      <c r="B756" t="str">
        <f ca="1">IFERROR(__xludf.DUMMYFUNCTION("""COMPUTED_VALUE"""),"Auro")</f>
        <v>Auro</v>
      </c>
      <c r="C756">
        <f ca="1">IFERROR(__xludf.DUMMYFUNCTION("""COMPUTED_VALUE"""),96)</f>
        <v>96</v>
      </c>
      <c r="D756" t="str">
        <f ca="1">IFERROR(__xludf.DUMMYFUNCTION("""COMPUTED_VALUE"""),"F")</f>
        <v>F</v>
      </c>
      <c r="E756" t="str">
        <f ca="1">IFERROR(__xludf.DUMMYFUNCTION("""COMPUTED_VALUE"""),"SeniorSR")</f>
        <v>SeniorSR</v>
      </c>
      <c r="F756" t="str">
        <f ca="1">IFERROR(__xludf.DUMMYFUNCTION("""COMPUTED_VALUE"""),"INTL")</f>
        <v>INTL</v>
      </c>
      <c r="G756" t="str">
        <f ca="1">IFERROR(__xludf.DUMMYFUNCTION("""COMPUTED_VALUE"""),"")</f>
        <v/>
      </c>
    </row>
    <row r="757" spans="1:7" ht="13.2" x14ac:dyDescent="0.25">
      <c r="A757" s="1" t="s">
        <v>32</v>
      </c>
      <c r="B757" t="str">
        <f ca="1">IFERROR(__xludf.DUMMYFUNCTION("""COMPUTED_VALUE"""),"Baquero, Jon")</f>
        <v>Baquero, Jon</v>
      </c>
      <c r="C757">
        <f ca="1">IFERROR(__xludf.DUMMYFUNCTION("""COMPUTED_VALUE"""),11)</f>
        <v>11</v>
      </c>
      <c r="D757" t="str">
        <f ca="1">IFERROR(__xludf.DUMMYFUNCTION("""COMPUTED_VALUE"""),"F")</f>
        <v>F</v>
      </c>
      <c r="E757" t="str">
        <f ca="1">IFERROR(__xludf.DUMMYFUNCTION("""COMPUTED_VALUE"""),"SupplementalSUP")</f>
        <v>SupplementalSUP</v>
      </c>
      <c r="F757" t="str">
        <f ca="1">IFERROR(__xludf.DUMMYFUNCTION("""COMPUTED_VALUE"""),"INTL")</f>
        <v>INTL</v>
      </c>
      <c r="G757" t="str">
        <f ca="1">IFERROR(__xludf.DUMMYFUNCTION("""COMPUTED_VALUE"""),"")</f>
        <v/>
      </c>
    </row>
    <row r="758" spans="1:7" ht="13.2" x14ac:dyDescent="0.25">
      <c r="A758" s="1" t="s">
        <v>32</v>
      </c>
      <c r="B758" t="str">
        <f ca="1">IFERROR(__xludf.DUMMYFUNCTION("""COMPUTED_VALUE"""),"Bono, Alex")</f>
        <v>Bono, Alex</v>
      </c>
      <c r="C758">
        <f ca="1">IFERROR(__xludf.DUMMYFUNCTION("""COMPUTED_VALUE"""),25)</f>
        <v>25</v>
      </c>
      <c r="D758" t="str">
        <f ca="1">IFERROR(__xludf.DUMMYFUNCTION("""COMPUTED_VALUE"""),"GK")</f>
        <v>GK</v>
      </c>
      <c r="E758" t="str">
        <f ca="1">IFERROR(__xludf.DUMMYFUNCTION("""COMPUTED_VALUE"""),"SeniorSR")</f>
        <v>SeniorSR</v>
      </c>
      <c r="F758" t="str">
        <f ca="1">IFERROR(__xludf.DUMMYFUNCTION("""COMPUTED_VALUE"""),"")</f>
        <v/>
      </c>
      <c r="G758" t="str">
        <f ca="1">IFERROR(__xludf.DUMMYFUNCTION("""COMPUTED_VALUE"""),"")</f>
        <v/>
      </c>
    </row>
    <row r="759" spans="1:7" ht="13.2" x14ac:dyDescent="0.25">
      <c r="A759" s="1" t="s">
        <v>32</v>
      </c>
      <c r="B759" t="str">
        <f ca="1">IFERROR(__xludf.DUMMYFUNCTION("""COMPUTED_VALUE"""),"Bradley, Michael")</f>
        <v>Bradley, Michael</v>
      </c>
      <c r="C759">
        <f ca="1">IFERROR(__xludf.DUMMYFUNCTION("""COMPUTED_VALUE"""),4)</f>
        <v>4</v>
      </c>
      <c r="D759" t="str">
        <f ca="1">IFERROR(__xludf.DUMMYFUNCTION("""COMPUTED_VALUE"""),"M")</f>
        <v>M</v>
      </c>
      <c r="E759" t="str">
        <f ca="1">IFERROR(__xludf.DUMMYFUNCTION("""COMPUTED_VALUE"""),"SeniorSR")</f>
        <v>SeniorSR</v>
      </c>
      <c r="F759" t="str">
        <f ca="1">IFERROR(__xludf.DUMMYFUNCTION("""COMPUTED_VALUE"""),"DP")</f>
        <v>DP</v>
      </c>
      <c r="G759" t="str">
        <f ca="1">IFERROR(__xludf.DUMMYFUNCTION("""COMPUTED_VALUE"""),"")</f>
        <v/>
      </c>
    </row>
    <row r="760" spans="1:7" ht="13.2" x14ac:dyDescent="0.25">
      <c r="A760" s="1" t="s">
        <v>32</v>
      </c>
      <c r="B760" t="str">
        <f ca="1">IFERROR(__xludf.DUMMYFUNCTION("""COMPUTED_VALUE"""),"Chapman, Jay")</f>
        <v>Chapman, Jay</v>
      </c>
      <c r="C760">
        <f ca="1">IFERROR(__xludf.DUMMYFUNCTION("""COMPUTED_VALUE"""),14)</f>
        <v>14</v>
      </c>
      <c r="D760" t="str">
        <f ca="1">IFERROR(__xludf.DUMMYFUNCTION("""COMPUTED_VALUE"""),"M")</f>
        <v>M</v>
      </c>
      <c r="E760" t="str">
        <f ca="1">IFERROR(__xludf.DUMMYFUNCTION("""COMPUTED_VALUE"""),"SupplementalSUP")</f>
        <v>SupplementalSUP</v>
      </c>
      <c r="F760" t="str">
        <f ca="1">IFERROR(__xludf.DUMMYFUNCTION("""COMPUTED_VALUE"""),"HG")</f>
        <v>HG</v>
      </c>
      <c r="G760" t="str">
        <f ca="1">IFERROR(__xludf.DUMMYFUNCTION("""COMPUTED_VALUE"""),"")</f>
        <v/>
      </c>
    </row>
    <row r="761" spans="1:7" ht="13.2" x14ac:dyDescent="0.25">
      <c r="A761" s="1" t="s">
        <v>32</v>
      </c>
      <c r="B761" t="str">
        <f ca="1">IFERROR(__xludf.DUMMYFUNCTION("""COMPUTED_VALUE"""),"Delgado, Marky")</f>
        <v>Delgado, Marky</v>
      </c>
      <c r="C761">
        <f ca="1">IFERROR(__xludf.DUMMYFUNCTION("""COMPUTED_VALUE"""),18)</f>
        <v>18</v>
      </c>
      <c r="D761" t="str">
        <f ca="1">IFERROR(__xludf.DUMMYFUNCTION("""COMPUTED_VALUE"""),"M")</f>
        <v>M</v>
      </c>
      <c r="E761" t="str">
        <f ca="1">IFERROR(__xludf.DUMMYFUNCTION("""COMPUTED_VALUE"""),"SeniorSR")</f>
        <v>SeniorSR</v>
      </c>
      <c r="F761" t="str">
        <f ca="1">IFERROR(__xludf.DUMMYFUNCTION("""COMPUTED_VALUE"""),"HG")</f>
        <v>HG</v>
      </c>
      <c r="G761" t="str">
        <f ca="1">IFERROR(__xludf.DUMMYFUNCTION("""COMPUTED_VALUE"""),"")</f>
        <v/>
      </c>
    </row>
    <row r="762" spans="1:7" ht="13.2" x14ac:dyDescent="0.25">
      <c r="A762" s="1" t="s">
        <v>32</v>
      </c>
      <c r="B762" t="str">
        <f ca="1">IFERROR(__xludf.DUMMYFUNCTION("""COMPUTED_VALUE"""),"Dunn, Julian")</f>
        <v>Dunn, Julian</v>
      </c>
      <c r="C762">
        <f ca="1">IFERROR(__xludf.DUMMYFUNCTION("""COMPUTED_VALUE"""),52)</f>
        <v>52</v>
      </c>
      <c r="D762" t="str">
        <f ca="1">IFERROR(__xludf.DUMMYFUNCTION("""COMPUTED_VALUE"""),"D")</f>
        <v>D</v>
      </c>
      <c r="E762" t="str">
        <f ca="1">IFERROR(__xludf.DUMMYFUNCTION("""COMPUTED_VALUE"""),"ReserveRES")</f>
        <v>ReserveRES</v>
      </c>
      <c r="F762" t="str">
        <f ca="1">IFERROR(__xludf.DUMMYFUNCTION("""COMPUTED_VALUE"""),"")</f>
        <v/>
      </c>
      <c r="G762" t="str">
        <f ca="1">IFERROR(__xludf.DUMMYFUNCTION("""COMPUTED_VALUE"""),"")</f>
        <v/>
      </c>
    </row>
    <row r="763" spans="1:7" ht="13.2" x14ac:dyDescent="0.25">
      <c r="A763" s="1" t="s">
        <v>32</v>
      </c>
      <c r="B763" t="str">
        <f ca="1">IFERROR(__xludf.DUMMYFUNCTION("""COMPUTED_VALUE"""),"Fraser, Liam")</f>
        <v>Fraser, Liam</v>
      </c>
      <c r="C763">
        <f ca="1">IFERROR(__xludf.DUMMYFUNCTION("""COMPUTED_VALUE"""),63)</f>
        <v>63</v>
      </c>
      <c r="D763" t="str">
        <f ca="1">IFERROR(__xludf.DUMMYFUNCTION("""COMPUTED_VALUE"""),"M")</f>
        <v>M</v>
      </c>
      <c r="E763" t="str">
        <f ca="1">IFERROR(__xludf.DUMMYFUNCTION("""COMPUTED_VALUE"""),"ReserveRES")</f>
        <v>ReserveRES</v>
      </c>
      <c r="F763" t="str">
        <f ca="1">IFERROR(__xludf.DUMMYFUNCTION("""COMPUTED_VALUE"""),"HG")</f>
        <v>HG</v>
      </c>
      <c r="G763" t="str">
        <f ca="1">IFERROR(__xludf.DUMMYFUNCTION("""COMPUTED_VALUE"""),"")</f>
        <v/>
      </c>
    </row>
    <row r="764" spans="1:7" ht="13.2" x14ac:dyDescent="0.25">
      <c r="A764" s="1" t="s">
        <v>32</v>
      </c>
      <c r="B764" t="str">
        <f ca="1">IFERROR(__xludf.DUMMYFUNCTION("""COMPUTED_VALUE"""),"Giovinco, Sebastian")</f>
        <v>Giovinco, Sebastian</v>
      </c>
      <c r="C764">
        <f ca="1">IFERROR(__xludf.DUMMYFUNCTION("""COMPUTED_VALUE"""),10)</f>
        <v>10</v>
      </c>
      <c r="D764" t="str">
        <f ca="1">IFERROR(__xludf.DUMMYFUNCTION("""COMPUTED_VALUE"""),"F")</f>
        <v>F</v>
      </c>
      <c r="E764" t="str">
        <f ca="1">IFERROR(__xludf.DUMMYFUNCTION("""COMPUTED_VALUE"""),"SeniorSR")</f>
        <v>SeniorSR</v>
      </c>
      <c r="F764" t="str">
        <f ca="1">IFERROR(__xludf.DUMMYFUNCTION("""COMPUTED_VALUE"""),"DP, INTL")</f>
        <v>DP, INTL</v>
      </c>
      <c r="G764" t="str">
        <f ca="1">IFERROR(__xludf.DUMMYFUNCTION("""COMPUTED_VALUE"""),"")</f>
        <v/>
      </c>
    </row>
    <row r="765" spans="1:7" ht="13.2" x14ac:dyDescent="0.25">
      <c r="A765" s="1" t="s">
        <v>32</v>
      </c>
      <c r="B765" t="str">
        <f ca="1">IFERROR(__xludf.DUMMYFUNCTION("""COMPUTED_VALUE"""),"Hagglund, Nick")</f>
        <v>Hagglund, Nick</v>
      </c>
      <c r="C765">
        <f ca="1">IFERROR(__xludf.DUMMYFUNCTION("""COMPUTED_VALUE"""),6)</f>
        <v>6</v>
      </c>
      <c r="D765" t="str">
        <f ca="1">IFERROR(__xludf.DUMMYFUNCTION("""COMPUTED_VALUE"""),"D")</f>
        <v>D</v>
      </c>
      <c r="E765" t="str">
        <f ca="1">IFERROR(__xludf.DUMMYFUNCTION("""COMPUTED_VALUE"""),"SeniorSR")</f>
        <v>SeniorSR</v>
      </c>
      <c r="F765" t="str">
        <f ca="1">IFERROR(__xludf.DUMMYFUNCTION("""COMPUTED_VALUE"""),"")</f>
        <v/>
      </c>
      <c r="G765" t="str">
        <f ca="1">IFERROR(__xludf.DUMMYFUNCTION("""COMPUTED_VALUE"""),"")</f>
        <v/>
      </c>
    </row>
    <row r="766" spans="1:7" ht="13.2" x14ac:dyDescent="0.25">
      <c r="A766" s="1" t="s">
        <v>32</v>
      </c>
      <c r="B766" t="str">
        <f ca="1">IFERROR(__xludf.DUMMYFUNCTION("""COMPUTED_VALUE"""),"Hamilton, Jordan")</f>
        <v>Hamilton, Jordan</v>
      </c>
      <c r="C766">
        <f ca="1">IFERROR(__xludf.DUMMYFUNCTION("""COMPUTED_VALUE"""),22)</f>
        <v>22</v>
      </c>
      <c r="D766" t="str">
        <f ca="1">IFERROR(__xludf.DUMMYFUNCTION("""COMPUTED_VALUE"""),"F")</f>
        <v>F</v>
      </c>
      <c r="E766" t="str">
        <f ca="1">IFERROR(__xludf.DUMMYFUNCTION("""COMPUTED_VALUE"""),"ReserveRES")</f>
        <v>ReserveRES</v>
      </c>
      <c r="F766" t="str">
        <f ca="1">IFERROR(__xludf.DUMMYFUNCTION("""COMPUTED_VALUE"""),"HG")</f>
        <v>HG</v>
      </c>
      <c r="G766" t="str">
        <f ca="1">IFERROR(__xludf.DUMMYFUNCTION("""COMPUTED_VALUE"""),"")</f>
        <v/>
      </c>
    </row>
    <row r="767" spans="1:7" ht="13.2" x14ac:dyDescent="0.25">
      <c r="A767" s="1" t="s">
        <v>32</v>
      </c>
      <c r="B767" t="str">
        <f ca="1">IFERROR(__xludf.DUMMYFUNCTION("""COMPUTED_VALUE"""),"Hernandez, Jason")</f>
        <v>Hernandez, Jason</v>
      </c>
      <c r="C767">
        <f ca="1">IFERROR(__xludf.DUMMYFUNCTION("""COMPUTED_VALUE"""),12)</f>
        <v>12</v>
      </c>
      <c r="D767" t="str">
        <f ca="1">IFERROR(__xludf.DUMMYFUNCTION("""COMPUTED_VALUE"""),"D")</f>
        <v>D</v>
      </c>
      <c r="E767" t="str">
        <f ca="1">IFERROR(__xludf.DUMMYFUNCTION("""COMPUTED_VALUE"""),"SupplementalSUP")</f>
        <v>SupplementalSUP</v>
      </c>
      <c r="F767" t="str">
        <f ca="1">IFERROR(__xludf.DUMMYFUNCTION("""COMPUTED_VALUE"""),"")</f>
        <v/>
      </c>
      <c r="G767" t="str">
        <f ca="1">IFERROR(__xludf.DUMMYFUNCTION("""COMPUTED_VALUE"""),"")</f>
        <v/>
      </c>
    </row>
    <row r="768" spans="1:7" ht="13.2" x14ac:dyDescent="0.25">
      <c r="A768" s="1" t="s">
        <v>32</v>
      </c>
      <c r="B768" t="str">
        <f ca="1">IFERROR(__xludf.DUMMYFUNCTION("""COMPUTED_VALUE"""),"Irwin, Clint")</f>
        <v>Irwin, Clint</v>
      </c>
      <c r="C768">
        <f ca="1">IFERROR(__xludf.DUMMYFUNCTION("""COMPUTED_VALUE"""),1)</f>
        <v>1</v>
      </c>
      <c r="D768" t="str">
        <f ca="1">IFERROR(__xludf.DUMMYFUNCTION("""COMPUTED_VALUE"""),"GK")</f>
        <v>GK</v>
      </c>
      <c r="E768" t="str">
        <f ca="1">IFERROR(__xludf.DUMMYFUNCTION("""COMPUTED_VALUE"""),"SeniorSR")</f>
        <v>SeniorSR</v>
      </c>
      <c r="F768" t="str">
        <f ca="1">IFERROR(__xludf.DUMMYFUNCTION("""COMPUTED_VALUE"""),"")</f>
        <v/>
      </c>
      <c r="G768" t="str">
        <f ca="1">IFERROR(__xludf.DUMMYFUNCTION("""COMPUTED_VALUE"""),"")</f>
        <v/>
      </c>
    </row>
    <row r="769" spans="1:7" ht="13.2" x14ac:dyDescent="0.25">
      <c r="A769" s="1" t="s">
        <v>32</v>
      </c>
      <c r="B769" t="str">
        <f ca="1">IFERROR(__xludf.DUMMYFUNCTION("""COMPUTED_VALUE"""),"Janson, Lucas")</f>
        <v>Janson, Lucas</v>
      </c>
      <c r="C769" t="str">
        <f ca="1">IFERROR(__xludf.DUMMYFUNCTION("""COMPUTED_VALUE"""),"")</f>
        <v/>
      </c>
      <c r="D769" t="str">
        <f ca="1">IFERROR(__xludf.DUMMYFUNCTION("""COMPUTED_VALUE"""),"F")</f>
        <v>F</v>
      </c>
      <c r="E769" t="str">
        <f ca="1">IFERROR(__xludf.DUMMYFUNCTION("""COMPUTED_VALUE"""),"SeniorSR")</f>
        <v>SeniorSR</v>
      </c>
      <c r="F769" t="str">
        <f ca="1">IFERROR(__xludf.DUMMYFUNCTION("""COMPUTED_VALUE"""),"INTL")</f>
        <v>INTL</v>
      </c>
      <c r="G769" t="str">
        <f ca="1">IFERROR(__xludf.DUMMYFUNCTION("""COMPUTED_VALUE"""),"")</f>
        <v/>
      </c>
    </row>
    <row r="770" spans="1:7" ht="13.2" x14ac:dyDescent="0.25">
      <c r="A770" s="1" t="s">
        <v>32</v>
      </c>
      <c r="B770" t="str">
        <f ca="1">IFERROR(__xludf.DUMMYFUNCTION("""COMPUTED_VALUE"""),"Mavinga, Chris")</f>
        <v>Mavinga, Chris</v>
      </c>
      <c r="C770">
        <f ca="1">IFERROR(__xludf.DUMMYFUNCTION("""COMPUTED_VALUE"""),23)</f>
        <v>23</v>
      </c>
      <c r="D770" t="str">
        <f ca="1">IFERROR(__xludf.DUMMYFUNCTION("""COMPUTED_VALUE"""),"D")</f>
        <v>D</v>
      </c>
      <c r="E770" t="str">
        <f ca="1">IFERROR(__xludf.DUMMYFUNCTION("""COMPUTED_VALUE"""),"SeniorSR")</f>
        <v>SeniorSR</v>
      </c>
      <c r="F770" t="str">
        <f ca="1">IFERROR(__xludf.DUMMYFUNCTION("""COMPUTED_VALUE"""),"INTL")</f>
        <v>INTL</v>
      </c>
      <c r="G770" t="str">
        <f ca="1">IFERROR(__xludf.DUMMYFUNCTION("""COMPUTED_VALUE"""),"")</f>
        <v/>
      </c>
    </row>
    <row r="771" spans="1:7" ht="13.2" x14ac:dyDescent="0.25">
      <c r="A771" s="1" t="s">
        <v>32</v>
      </c>
      <c r="B771" t="str">
        <f ca="1">IFERROR(__xludf.DUMMYFUNCTION("""COMPUTED_VALUE"""),"Moor, Drew")</f>
        <v>Moor, Drew</v>
      </c>
      <c r="C771">
        <f ca="1">IFERROR(__xludf.DUMMYFUNCTION("""COMPUTED_VALUE"""),3)</f>
        <v>3</v>
      </c>
      <c r="D771" t="str">
        <f ca="1">IFERROR(__xludf.DUMMYFUNCTION("""COMPUTED_VALUE"""),"D")</f>
        <v>D</v>
      </c>
      <c r="E771" t="str">
        <f ca="1">IFERROR(__xludf.DUMMYFUNCTION("""COMPUTED_VALUE"""),"SeniorSR")</f>
        <v>SeniorSR</v>
      </c>
      <c r="F771" t="str">
        <f ca="1">IFERROR(__xludf.DUMMYFUNCTION("""COMPUTED_VALUE"""),"")</f>
        <v/>
      </c>
      <c r="G771" t="str">
        <f ca="1">IFERROR(__xludf.DUMMYFUNCTION("""COMPUTED_VALUE"""),"")</f>
        <v/>
      </c>
    </row>
    <row r="772" spans="1:7" ht="13.2" x14ac:dyDescent="0.25">
      <c r="A772" s="1" t="s">
        <v>32</v>
      </c>
      <c r="B772" t="str">
        <f ca="1">IFERROR(__xludf.DUMMYFUNCTION("""COMPUTED_VALUE"""),"Morgan, Ashtone")</f>
        <v>Morgan, Ashtone</v>
      </c>
      <c r="C772">
        <f ca="1">IFERROR(__xludf.DUMMYFUNCTION("""COMPUTED_VALUE"""),5)</f>
        <v>5</v>
      </c>
      <c r="D772" t="str">
        <f ca="1">IFERROR(__xludf.DUMMYFUNCTION("""COMPUTED_VALUE"""),"D")</f>
        <v>D</v>
      </c>
      <c r="E772" t="str">
        <f ca="1">IFERROR(__xludf.DUMMYFUNCTION("""COMPUTED_VALUE"""),"SupplementalSUP")</f>
        <v>SupplementalSUP</v>
      </c>
      <c r="F772" t="str">
        <f ca="1">IFERROR(__xludf.DUMMYFUNCTION("""COMPUTED_VALUE"""),"HG")</f>
        <v>HG</v>
      </c>
      <c r="G772" t="str">
        <f ca="1">IFERROR(__xludf.DUMMYFUNCTION("""COMPUTED_VALUE"""),"")</f>
        <v/>
      </c>
    </row>
    <row r="773" spans="1:7" ht="13.2" x14ac:dyDescent="0.25">
      <c r="A773" s="1" t="s">
        <v>32</v>
      </c>
      <c r="B773" t="str">
        <f ca="1">IFERROR(__xludf.DUMMYFUNCTION("""COMPUTED_VALUE"""),"Morrow, Justin")</f>
        <v>Morrow, Justin</v>
      </c>
      <c r="C773">
        <f ca="1">IFERROR(__xludf.DUMMYFUNCTION("""COMPUTED_VALUE"""),2)</f>
        <v>2</v>
      </c>
      <c r="D773" t="str">
        <f ca="1">IFERROR(__xludf.DUMMYFUNCTION("""COMPUTED_VALUE"""),"D")</f>
        <v>D</v>
      </c>
      <c r="E773" t="str">
        <f ca="1">IFERROR(__xludf.DUMMYFUNCTION("""COMPUTED_VALUE"""),"SeniorSR")</f>
        <v>SeniorSR</v>
      </c>
      <c r="F773" t="str">
        <f ca="1">IFERROR(__xludf.DUMMYFUNCTION("""COMPUTED_VALUE"""),"")</f>
        <v/>
      </c>
      <c r="G773" t="str">
        <f ca="1">IFERROR(__xludf.DUMMYFUNCTION("""COMPUTED_VALUE"""),"")</f>
        <v/>
      </c>
    </row>
    <row r="774" spans="1:7" ht="13.2" x14ac:dyDescent="0.25">
      <c r="A774" s="1" t="s">
        <v>32</v>
      </c>
      <c r="B774" t="str">
        <f ca="1">IFERROR(__xludf.DUMMYFUNCTION("""COMPUTED_VALUE"""),"Osorio, Jonathan")</f>
        <v>Osorio, Jonathan</v>
      </c>
      <c r="C774">
        <f ca="1">IFERROR(__xludf.DUMMYFUNCTION("""COMPUTED_VALUE"""),21)</f>
        <v>21</v>
      </c>
      <c r="D774" t="str">
        <f ca="1">IFERROR(__xludf.DUMMYFUNCTION("""COMPUTED_VALUE"""),"M")</f>
        <v>M</v>
      </c>
      <c r="E774" t="str">
        <f ca="1">IFERROR(__xludf.DUMMYFUNCTION("""COMPUTED_VALUE"""),"SeniorSR")</f>
        <v>SeniorSR</v>
      </c>
      <c r="F774" t="str">
        <f ca="1">IFERROR(__xludf.DUMMYFUNCTION("""COMPUTED_VALUE"""),"")</f>
        <v/>
      </c>
      <c r="G774" t="str">
        <f ca="1">IFERROR(__xludf.DUMMYFUNCTION("""COMPUTED_VALUE"""),"")</f>
        <v/>
      </c>
    </row>
    <row r="775" spans="1:7" ht="13.2" x14ac:dyDescent="0.25">
      <c r="A775" s="1" t="s">
        <v>32</v>
      </c>
      <c r="B775" t="str">
        <f ca="1">IFERROR(__xludf.DUMMYFUNCTION("""COMPUTED_VALUE"""),"Patterson-Sewell, Caleb")</f>
        <v>Patterson-Sewell, Caleb</v>
      </c>
      <c r="C775" t="str">
        <f ca="1">IFERROR(__xludf.DUMMYFUNCTION("""COMPUTED_VALUE"""),"")</f>
        <v/>
      </c>
      <c r="D775" t="str">
        <f ca="1">IFERROR(__xludf.DUMMYFUNCTION("""COMPUTED_VALUE"""),"GK")</f>
        <v>GK</v>
      </c>
      <c r="E775" t="str">
        <f ca="1">IFERROR(__xludf.DUMMYFUNCTION("""COMPUTED_VALUE"""),"SupplementalSUP")</f>
        <v>SupplementalSUP</v>
      </c>
      <c r="F775" t="str">
        <f ca="1">IFERROR(__xludf.DUMMYFUNCTION("""COMPUTED_VALUE"""),"")</f>
        <v/>
      </c>
      <c r="G775" t="str">
        <f ca="1">IFERROR(__xludf.DUMMYFUNCTION("""COMPUTED_VALUE"""),"")</f>
        <v/>
      </c>
    </row>
    <row r="776" spans="1:7" ht="13.2" x14ac:dyDescent="0.25">
      <c r="A776" s="1" t="s">
        <v>32</v>
      </c>
      <c r="B776" t="str">
        <f ca="1">IFERROR(__xludf.DUMMYFUNCTION("""COMPUTED_VALUE"""),"Ricketts, Tosaint")</f>
        <v>Ricketts, Tosaint</v>
      </c>
      <c r="C776">
        <f ca="1">IFERROR(__xludf.DUMMYFUNCTION("""COMPUTED_VALUE"""),87)</f>
        <v>87</v>
      </c>
      <c r="D776" t="str">
        <f ca="1">IFERROR(__xludf.DUMMYFUNCTION("""COMPUTED_VALUE"""),"F")</f>
        <v>F</v>
      </c>
      <c r="E776" t="str">
        <f ca="1">IFERROR(__xludf.DUMMYFUNCTION("""COMPUTED_VALUE"""),"SeniorSR")</f>
        <v>SeniorSR</v>
      </c>
      <c r="F776" t="str">
        <f ca="1">IFERROR(__xludf.DUMMYFUNCTION("""COMPUTED_VALUE"""),"")</f>
        <v/>
      </c>
      <c r="G776" t="str">
        <f ca="1">IFERROR(__xludf.DUMMYFUNCTION("""COMPUTED_VALUE"""),"")</f>
        <v/>
      </c>
    </row>
    <row r="777" spans="1:7" ht="13.2" x14ac:dyDescent="0.25">
      <c r="A777" s="1" t="s">
        <v>32</v>
      </c>
      <c r="B777" t="str">
        <f ca="1">IFERROR(__xludf.DUMMYFUNCTION("""COMPUTED_VALUE"""),"Telfer, Ryan")</f>
        <v>Telfer, Ryan</v>
      </c>
      <c r="C777">
        <f ca="1">IFERROR(__xludf.DUMMYFUNCTION("""COMPUTED_VALUE"""),54)</f>
        <v>54</v>
      </c>
      <c r="D777" t="str">
        <f ca="1">IFERROR(__xludf.DUMMYFUNCTION("""COMPUTED_VALUE"""),"F")</f>
        <v>F</v>
      </c>
      <c r="E777" t="str">
        <f ca="1">IFERROR(__xludf.DUMMYFUNCTION("""COMPUTED_VALUE"""),"ReserveRES")</f>
        <v>ReserveRES</v>
      </c>
      <c r="F777" t="str">
        <f ca="1">IFERROR(__xludf.DUMMYFUNCTION("""COMPUTED_VALUE"""),"")</f>
        <v/>
      </c>
      <c r="G777" t="str">
        <f ca="1">IFERROR(__xludf.DUMMYFUNCTION("""COMPUTED_VALUE"""),"")</f>
        <v/>
      </c>
    </row>
    <row r="778" spans="1:7" ht="13.2" x14ac:dyDescent="0.25">
      <c r="A778" s="1" t="s">
        <v>32</v>
      </c>
      <c r="B778" t="str">
        <f ca="1">IFERROR(__xludf.DUMMYFUNCTION("""COMPUTED_VALUE"""),"van der Wiel, Gregory")</f>
        <v>van der Wiel, Gregory</v>
      </c>
      <c r="C778">
        <f ca="1">IFERROR(__xludf.DUMMYFUNCTION("""COMPUTED_VALUE"""),9)</f>
        <v>9</v>
      </c>
      <c r="D778" t="str">
        <f ca="1">IFERROR(__xludf.DUMMYFUNCTION("""COMPUTED_VALUE"""),"D")</f>
        <v>D</v>
      </c>
      <c r="E778" t="str">
        <f ca="1">IFERROR(__xludf.DUMMYFUNCTION("""COMPUTED_VALUE"""),"SeniorSR")</f>
        <v>SeniorSR</v>
      </c>
      <c r="F778" t="str">
        <f ca="1">IFERROR(__xludf.DUMMYFUNCTION("""COMPUTED_VALUE"""),"INTL")</f>
        <v>INTL</v>
      </c>
      <c r="G778" t="str">
        <f ca="1">IFERROR(__xludf.DUMMYFUNCTION("""COMPUTED_VALUE"""),"")</f>
        <v/>
      </c>
    </row>
    <row r="779" spans="1:7" ht="13.2" x14ac:dyDescent="0.25">
      <c r="A779" s="1" t="s">
        <v>32</v>
      </c>
      <c r="B779" t="str">
        <f ca="1">IFERROR(__xludf.DUMMYFUNCTION("""COMPUTED_VALUE"""),"Vazquez, Victor")</f>
        <v>Vazquez, Victor</v>
      </c>
      <c r="C779">
        <f ca="1">IFERROR(__xludf.DUMMYFUNCTION("""COMPUTED_VALUE"""),7)</f>
        <v>7</v>
      </c>
      <c r="D779" t="str">
        <f ca="1">IFERROR(__xludf.DUMMYFUNCTION("""COMPUTED_VALUE"""),"M")</f>
        <v>M</v>
      </c>
      <c r="E779" t="str">
        <f ca="1">IFERROR(__xludf.DUMMYFUNCTION("""COMPUTED_VALUE"""),"SeniorSR")</f>
        <v>SeniorSR</v>
      </c>
      <c r="F779" t="str">
        <f ca="1">IFERROR(__xludf.DUMMYFUNCTION("""COMPUTED_VALUE"""),"INTL")</f>
        <v>INTL</v>
      </c>
      <c r="G779" t="str">
        <f ca="1">IFERROR(__xludf.DUMMYFUNCTION("""COMPUTED_VALUE"""),"")</f>
        <v/>
      </c>
    </row>
    <row r="780" spans="1:7" ht="13.2" x14ac:dyDescent="0.25">
      <c r="A780" s="1" t="s">
        <v>32</v>
      </c>
      <c r="B780" t="str">
        <f ca="1">IFERROR(__xludf.DUMMYFUNCTION("""COMPUTED_VALUE"""),"Zavaleta, Eriq")</f>
        <v>Zavaleta, Eriq</v>
      </c>
      <c r="C780">
        <f ca="1">IFERROR(__xludf.DUMMYFUNCTION("""COMPUTED_VALUE"""),15)</f>
        <v>15</v>
      </c>
      <c r="D780" t="str">
        <f ca="1">IFERROR(__xludf.DUMMYFUNCTION("""COMPUTED_VALUE"""),"D")</f>
        <v>D</v>
      </c>
      <c r="E780" t="str">
        <f ca="1">IFERROR(__xludf.DUMMYFUNCTION("""COMPUTED_VALUE"""),"SeniorSR")</f>
        <v>SeniorSR</v>
      </c>
      <c r="F780" t="str">
        <f ca="1">IFERROR(__xludf.DUMMYFUNCTION("""COMPUTED_VALUE"""),"")</f>
        <v/>
      </c>
      <c r="G780" t="str">
        <f ca="1">IFERROR(__xludf.DUMMYFUNCTION("""COMPUTED_VALUE"""),"")</f>
        <v/>
      </c>
    </row>
    <row r="781" spans="1:7" ht="13.2" x14ac:dyDescent="0.25">
      <c r="A781" s="1" t="s">
        <v>32</v>
      </c>
      <c r="B781" t="str">
        <f ca="1">IFERROR(__xludf.DUMMYFUNCTION("""COMPUTED_VALUE"""),"")</f>
        <v/>
      </c>
      <c r="C781" t="str">
        <f ca="1">IFERROR(__xludf.DUMMYFUNCTION("""COMPUTED_VALUE"""),"")</f>
        <v/>
      </c>
      <c r="D781" t="str">
        <f ca="1">IFERROR(__xludf.DUMMYFUNCTION("""COMPUTED_VALUE"""),"")</f>
        <v/>
      </c>
      <c r="E781" t="str">
        <f ca="1">IFERROR(__xludf.DUMMYFUNCTION("""COMPUTED_VALUE"""),"")</f>
        <v/>
      </c>
      <c r="F781" t="str">
        <f ca="1">IFERROR(__xludf.DUMMYFUNCTION("""COMPUTED_VALUE"""),"")</f>
        <v/>
      </c>
      <c r="G781" t="str">
        <f ca="1">IFERROR(__xludf.DUMMYFUNCTION("""COMPUTED_VALUE"""),"")</f>
        <v/>
      </c>
    </row>
    <row r="782" spans="1:7" ht="13.2" x14ac:dyDescent="0.25">
      <c r="A782" s="1" t="s">
        <v>32</v>
      </c>
      <c r="B782" t="str">
        <f ca="1">IFERROR(__xludf.DUMMYFUNCTION("""COMPUTED_VALUE"""),"")</f>
        <v/>
      </c>
      <c r="C782" t="str">
        <f ca="1">IFERROR(__xludf.DUMMYFUNCTION("""COMPUTED_VALUE"""),"")</f>
        <v/>
      </c>
      <c r="D782" t="str">
        <f ca="1">IFERROR(__xludf.DUMMYFUNCTION("""COMPUTED_VALUE"""),"")</f>
        <v/>
      </c>
      <c r="E782" t="str">
        <f ca="1">IFERROR(__xludf.DUMMYFUNCTION("""COMPUTED_VALUE"""),"")</f>
        <v/>
      </c>
      <c r="F782" t="str">
        <f ca="1">IFERROR(__xludf.DUMMYFUNCTION("""COMPUTED_VALUE"""),"")</f>
        <v/>
      </c>
      <c r="G782" t="str">
        <f ca="1">IFERROR(__xludf.DUMMYFUNCTION("""COMPUTED_VALUE"""),"")</f>
        <v/>
      </c>
    </row>
    <row r="783" spans="1:7" ht="13.2" x14ac:dyDescent="0.25">
      <c r="A783" s="1" t="s">
        <v>32</v>
      </c>
      <c r="B783" t="str">
        <f ca="1">IFERROR(__xludf.DUMMYFUNCTION("""COMPUTED_VALUE"""),"28 of 30 spots filled")</f>
        <v>28 of 30 spots filled</v>
      </c>
      <c r="C783" t="str">
        <f ca="1">IFERROR(__xludf.DUMMYFUNCTION("""COMPUTED_VALUE"""),"")</f>
        <v/>
      </c>
      <c r="D783" t="str">
        <f ca="1">IFERROR(__xludf.DUMMYFUNCTION("""COMPUTED_VALUE"""),"")</f>
        <v/>
      </c>
      <c r="E783" t="str">
        <f ca="1">IFERROR(__xludf.DUMMYFUNCTION("""COMPUTED_VALUE"""),"")</f>
        <v/>
      </c>
      <c r="F783" t="str">
        <f ca="1">IFERROR(__xludf.DUMMYFUNCTION("""COMPUTED_VALUE"""),"")</f>
        <v/>
      </c>
      <c r="G783" t="str">
        <f ca="1">IFERROR(__xludf.DUMMYFUNCTION("""COMPUTED_VALUE"""),"")</f>
        <v/>
      </c>
    </row>
    <row r="784" spans="1:7" ht="13.2" x14ac:dyDescent="0.25">
      <c r="A784" s="1" t="s">
        <v>32</v>
      </c>
      <c r="B784" t="str">
        <f ca="1">IFERROR(__xludf.DUMMYFUNCTION("""COMPUTED_VALUE"""),"*Players that do not count against the 30-man active roster*")</f>
        <v>*Players that do not count against the 30-man active roster*</v>
      </c>
      <c r="C784" t="str">
        <f ca="1">IFERROR(__xludf.DUMMYFUNCTION("""COMPUTED_VALUE"""),"")</f>
        <v/>
      </c>
      <c r="D784" t="str">
        <f ca="1">IFERROR(__xludf.DUMMYFUNCTION("""COMPUTED_VALUE"""),"")</f>
        <v/>
      </c>
      <c r="E784" t="str">
        <f ca="1">IFERROR(__xludf.DUMMYFUNCTION("""COMPUTED_VALUE"""),"")</f>
        <v/>
      </c>
      <c r="F784" t="str">
        <f ca="1">IFERROR(__xludf.DUMMYFUNCTION("""COMPUTED_VALUE"""),"")</f>
        <v/>
      </c>
      <c r="G784" t="str">
        <f ca="1">IFERROR(__xludf.DUMMYFUNCTION("""COMPUTED_VALUE"""),"")</f>
        <v/>
      </c>
    </row>
    <row r="785" spans="1:7" ht="13.2" x14ac:dyDescent="0.25">
      <c r="A785" s="1" t="s">
        <v>32</v>
      </c>
      <c r="B785" t="str">
        <f ca="1">IFERROR(__xludf.DUMMYFUNCTION("""COMPUTED_VALUE"""),"Daniels, Aidan")</f>
        <v>Daniels, Aidan</v>
      </c>
      <c r="C785">
        <f ca="1">IFERROR(__xludf.DUMMYFUNCTION("""COMPUTED_VALUE"""),55)</f>
        <v>55</v>
      </c>
      <c r="D785" t="str">
        <f ca="1">IFERROR(__xludf.DUMMYFUNCTION("""COMPUTED_VALUE"""),"M")</f>
        <v>M</v>
      </c>
      <c r="E785" t="str">
        <f ca="1">IFERROR(__xludf.DUMMYFUNCTION("""COMPUTED_VALUE"""),"ReserveRES, On loanOL")</f>
        <v>ReserveRES, On loanOL</v>
      </c>
      <c r="F785" t="str">
        <f ca="1">IFERROR(__xludf.DUMMYFUNCTION("""COMPUTED_VALUE"""),"*On loanOL*")</f>
        <v>*On loanOL*</v>
      </c>
      <c r="G785" t="str">
        <f ca="1">IFERROR(__xludf.DUMMYFUNCTION("""COMPUTED_VALUE"""),"")</f>
        <v/>
      </c>
    </row>
    <row r="786" spans="1:7" ht="13.2" x14ac:dyDescent="0.25">
      <c r="A786" s="1" t="s">
        <v>32</v>
      </c>
    </row>
    <row r="787" spans="1:7" ht="13.2" x14ac:dyDescent="0.25">
      <c r="A787" s="1" t="s">
        <v>32</v>
      </c>
    </row>
    <row r="788" spans="1:7" ht="13.2" x14ac:dyDescent="0.25">
      <c r="A788" s="1" t="s">
        <v>32</v>
      </c>
    </row>
    <row r="789" spans="1:7" ht="13.2" x14ac:dyDescent="0.25">
      <c r="A789" s="1" t="s">
        <v>32</v>
      </c>
    </row>
    <row r="791" spans="1:7" ht="13.2" x14ac:dyDescent="0.25">
      <c r="B791" t="str">
        <f ca="1">IFERROR(__xludf.DUMMYFUNCTION("IMPORTHTML(""http://www.mlssoccer.com/rosters/2018/vancouver-whitecaps"", ""table"", 1)"),"30-man Active Roster (Spots 1-30)")</f>
        <v>30-man Active Roster (Spots 1-30)</v>
      </c>
      <c r="C791" t="str">
        <f ca="1">IFERROR(__xludf.DUMMYFUNCTION("""COMPUTED_VALUE"""),"#")</f>
        <v>#</v>
      </c>
      <c r="D791" t="str">
        <f ca="1">IFERROR(__xludf.DUMMYFUNCTION("""COMPUTED_VALUE"""),"POS")</f>
        <v>POS</v>
      </c>
      <c r="E791" t="str">
        <f ca="1">IFERROR(__xludf.DUMMYFUNCTION("""COMPUTED_VALUE"""),"ROSTER STATUSR.S.")</f>
        <v>ROSTER STATUSR.S.</v>
      </c>
      <c r="F791" t="str">
        <f ca="1">IFERROR(__xludf.DUMMYFUNCTION("""COMPUTED_VALUE"""),"PLAYER CATEGORYCAT.")</f>
        <v>PLAYER CATEGORYCAT.</v>
      </c>
      <c r="G791" t="str">
        <f ca="1">IFERROR(__xludf.DUMMYFUNCTION("""COMPUTED_VALUE"""),"*NOTE*")</f>
        <v>*NOTE*</v>
      </c>
    </row>
    <row r="792" spans="1:7" ht="13.2" x14ac:dyDescent="0.25">
      <c r="A792" s="1" t="s">
        <v>33</v>
      </c>
      <c r="B792" t="str">
        <f ca="1">IFERROR(__xludf.DUMMYFUNCTION("""COMPUTED_VALUE"""),"Aja, Jose")</f>
        <v>Aja, Jose</v>
      </c>
      <c r="C792">
        <f ca="1">IFERROR(__xludf.DUMMYFUNCTION("""COMPUTED_VALUE"""),18)</f>
        <v>18</v>
      </c>
      <c r="D792" t="str">
        <f ca="1">IFERROR(__xludf.DUMMYFUNCTION("""COMPUTED_VALUE"""),"D")</f>
        <v>D</v>
      </c>
      <c r="E792" t="str">
        <f ca="1">IFERROR(__xludf.DUMMYFUNCTION("""COMPUTED_VALUE"""),"SeniorSR")</f>
        <v>SeniorSR</v>
      </c>
      <c r="F792" t="str">
        <f ca="1">IFERROR(__xludf.DUMMYFUNCTION("""COMPUTED_VALUE"""),"")</f>
        <v/>
      </c>
      <c r="G792" t="str">
        <f ca="1">IFERROR(__xludf.DUMMYFUNCTION("""COMPUTED_VALUE"""),"")</f>
        <v/>
      </c>
    </row>
    <row r="793" spans="1:7" ht="13.2" x14ac:dyDescent="0.25">
      <c r="A793" s="1" t="s">
        <v>33</v>
      </c>
      <c r="B793" t="str">
        <f ca="1">IFERROR(__xludf.DUMMYFUNCTION("""COMPUTED_VALUE"""),"Bevan, Myer")</f>
        <v>Bevan, Myer</v>
      </c>
      <c r="C793">
        <f ca="1">IFERROR(__xludf.DUMMYFUNCTION("""COMPUTED_VALUE"""),45)</f>
        <v>45</v>
      </c>
      <c r="D793" t="str">
        <f ca="1">IFERROR(__xludf.DUMMYFUNCTION("""COMPUTED_VALUE"""),"F")</f>
        <v>F</v>
      </c>
      <c r="E793" t="str">
        <f ca="1">IFERROR(__xludf.DUMMYFUNCTION("""COMPUTED_VALUE"""),"ReserveRES, On loanOL")</f>
        <v>ReserveRES, On loanOL</v>
      </c>
      <c r="F793" t="str">
        <f ca="1">IFERROR(__xludf.DUMMYFUNCTION("""COMPUTED_VALUE"""),"")</f>
        <v/>
      </c>
      <c r="G793" t="str">
        <f ca="1">IFERROR(__xludf.DUMMYFUNCTION("""COMPUTED_VALUE"""),"*On loanOL*")</f>
        <v>*On loanOL*</v>
      </c>
    </row>
    <row r="794" spans="1:7" ht="13.2" x14ac:dyDescent="0.25">
      <c r="A794" s="1" t="s">
        <v>33</v>
      </c>
      <c r="B794" t="str">
        <f ca="1">IFERROR(__xludf.DUMMYFUNCTION("""COMPUTED_VALUE"""),"Blondell, Anthony")</f>
        <v>Blondell, Anthony</v>
      </c>
      <c r="C794">
        <f ca="1">IFERROR(__xludf.DUMMYFUNCTION("""COMPUTED_VALUE"""),9)</f>
        <v>9</v>
      </c>
      <c r="D794" t="str">
        <f ca="1">IFERROR(__xludf.DUMMYFUNCTION("""COMPUTED_VALUE"""),"F")</f>
        <v>F</v>
      </c>
      <c r="E794" t="str">
        <f ca="1">IFERROR(__xludf.DUMMYFUNCTION("""COMPUTED_VALUE"""),"SeniorSR")</f>
        <v>SeniorSR</v>
      </c>
      <c r="F794" t="str">
        <f ca="1">IFERROR(__xludf.DUMMYFUNCTION("""COMPUTED_VALUE"""),"INTL")</f>
        <v>INTL</v>
      </c>
      <c r="G794" t="str">
        <f ca="1">IFERROR(__xludf.DUMMYFUNCTION("""COMPUTED_VALUE"""),"")</f>
        <v/>
      </c>
    </row>
    <row r="795" spans="1:7" ht="13.2" x14ac:dyDescent="0.25">
      <c r="A795" s="1" t="s">
        <v>33</v>
      </c>
      <c r="B795" t="str">
        <f ca="1">IFERROR(__xludf.DUMMYFUNCTION("""COMPUTED_VALUE"""),"Colyn, Simon")</f>
        <v>Colyn, Simon</v>
      </c>
      <c r="C795">
        <f ca="1">IFERROR(__xludf.DUMMYFUNCTION("""COMPUTED_VALUE"""),54)</f>
        <v>54</v>
      </c>
      <c r="D795" t="str">
        <f ca="1">IFERROR(__xludf.DUMMYFUNCTION("""COMPUTED_VALUE"""),"M")</f>
        <v>M</v>
      </c>
      <c r="E795" t="str">
        <f ca="1">IFERROR(__xludf.DUMMYFUNCTION("""COMPUTED_VALUE"""),"ReserveRES")</f>
        <v>ReserveRES</v>
      </c>
      <c r="F795" t="str">
        <f ca="1">IFERROR(__xludf.DUMMYFUNCTION("""COMPUTED_VALUE"""),"HG")</f>
        <v>HG</v>
      </c>
      <c r="G795" t="str">
        <f ca="1">IFERROR(__xludf.DUMMYFUNCTION("""COMPUTED_VALUE"""),"")</f>
        <v/>
      </c>
    </row>
    <row r="796" spans="1:7" ht="13.2" x14ac:dyDescent="0.25">
      <c r="A796" s="1" t="s">
        <v>33</v>
      </c>
      <c r="B796" t="str">
        <f ca="1">IFERROR(__xludf.DUMMYFUNCTION("""COMPUTED_VALUE"""),"Davies, Alphonso")</f>
        <v>Davies, Alphonso</v>
      </c>
      <c r="C796">
        <f ca="1">IFERROR(__xludf.DUMMYFUNCTION("""COMPUTED_VALUE"""),67)</f>
        <v>67</v>
      </c>
      <c r="D796" t="str">
        <f ca="1">IFERROR(__xludf.DUMMYFUNCTION("""COMPUTED_VALUE"""),"M")</f>
        <v>M</v>
      </c>
      <c r="E796" t="str">
        <f ca="1">IFERROR(__xludf.DUMMYFUNCTION("""COMPUTED_VALUE"""),"ReserveRES")</f>
        <v>ReserveRES</v>
      </c>
      <c r="F796" t="str">
        <f ca="1">IFERROR(__xludf.DUMMYFUNCTION("""COMPUTED_VALUE"""),"HG")</f>
        <v>HG</v>
      </c>
      <c r="G796" t="str">
        <f ca="1">IFERROR(__xludf.DUMMYFUNCTION("""COMPUTED_VALUE"""),"")</f>
        <v/>
      </c>
    </row>
    <row r="797" spans="1:7" ht="13.2" x14ac:dyDescent="0.25">
      <c r="A797" s="1" t="s">
        <v>33</v>
      </c>
      <c r="B797" t="str">
        <f ca="1">IFERROR(__xludf.DUMMYFUNCTION("""COMPUTED_VALUE"""),"De Jong, Marcel")</f>
        <v>De Jong, Marcel</v>
      </c>
      <c r="C797">
        <f ca="1">IFERROR(__xludf.DUMMYFUNCTION("""COMPUTED_VALUE"""),17)</f>
        <v>17</v>
      </c>
      <c r="D797" t="str">
        <f ca="1">IFERROR(__xludf.DUMMYFUNCTION("""COMPUTED_VALUE"""),"D/M")</f>
        <v>D/M</v>
      </c>
      <c r="E797" t="str">
        <f ca="1">IFERROR(__xludf.DUMMYFUNCTION("""COMPUTED_VALUE"""),"SeniorSR")</f>
        <v>SeniorSR</v>
      </c>
      <c r="F797" t="str">
        <f ca="1">IFERROR(__xludf.DUMMYFUNCTION("""COMPUTED_VALUE"""),"")</f>
        <v/>
      </c>
      <c r="G797" t="str">
        <f ca="1">IFERROR(__xludf.DUMMYFUNCTION("""COMPUTED_VALUE"""),"")</f>
        <v/>
      </c>
    </row>
    <row r="798" spans="1:7" ht="13.2" x14ac:dyDescent="0.25">
      <c r="A798" s="1" t="s">
        <v>33</v>
      </c>
      <c r="B798" t="str">
        <f ca="1">IFERROR(__xludf.DUMMYFUNCTION("""COMPUTED_VALUE"""),"Dominguez, Roberto")</f>
        <v>Dominguez, Roberto</v>
      </c>
      <c r="C798">
        <f ca="1">IFERROR(__xludf.DUMMYFUNCTION("""COMPUTED_VALUE"""),15)</f>
        <v>15</v>
      </c>
      <c r="D798" t="str">
        <f ca="1">IFERROR(__xludf.DUMMYFUNCTION("""COMPUTED_VALUE"""),"D")</f>
        <v>D</v>
      </c>
      <c r="E798" t="str">
        <f ca="1">IFERROR(__xludf.DUMMYFUNCTION("""COMPUTED_VALUE"""),"ReserveRES")</f>
        <v>ReserveRES</v>
      </c>
      <c r="F798" t="str">
        <f ca="1">IFERROR(__xludf.DUMMYFUNCTION("""COMPUTED_VALUE"""),"INTL")</f>
        <v>INTL</v>
      </c>
      <c r="G798" t="str">
        <f ca="1">IFERROR(__xludf.DUMMYFUNCTION("""COMPUTED_VALUE"""),"")</f>
        <v/>
      </c>
    </row>
    <row r="799" spans="1:7" ht="13.2" x14ac:dyDescent="0.25">
      <c r="A799" s="1" t="s">
        <v>33</v>
      </c>
      <c r="B799" t="str">
        <f ca="1">IFERROR(__xludf.DUMMYFUNCTION("""COMPUTED_VALUE"""),"Emnes, Marvin")</f>
        <v>Emnes, Marvin</v>
      </c>
      <c r="C799">
        <f ca="1">IFERROR(__xludf.DUMMYFUNCTION("""COMPUTED_VALUE"""),14)</f>
        <v>14</v>
      </c>
      <c r="D799" t="str">
        <f ca="1">IFERROR(__xludf.DUMMYFUNCTION("""COMPUTED_VALUE"""),"M")</f>
        <v>M</v>
      </c>
      <c r="E799" t="str">
        <f ca="1">IFERROR(__xludf.DUMMYFUNCTION("""COMPUTED_VALUE"""),"SeniorSR")</f>
        <v>SeniorSR</v>
      </c>
      <c r="F799" t="str">
        <f ca="1">IFERROR(__xludf.DUMMYFUNCTION("""COMPUTED_VALUE"""),"INTL")</f>
        <v>INTL</v>
      </c>
      <c r="G799" t="str">
        <f ca="1">IFERROR(__xludf.DUMMYFUNCTION("""COMPUTED_VALUE"""),"")</f>
        <v/>
      </c>
    </row>
    <row r="800" spans="1:7" ht="13.2" x14ac:dyDescent="0.25">
      <c r="A800" s="1" t="s">
        <v>33</v>
      </c>
      <c r="B800" t="str">
        <f ca="1">IFERROR(__xludf.DUMMYFUNCTION("""COMPUTED_VALUE"""),"Franklin, Sean")</f>
        <v>Franklin, Sean</v>
      </c>
      <c r="C800">
        <f ca="1">IFERROR(__xludf.DUMMYFUNCTION("""COMPUTED_VALUE"""),3)</f>
        <v>3</v>
      </c>
      <c r="D800" t="str">
        <f ca="1">IFERROR(__xludf.DUMMYFUNCTION("""COMPUTED_VALUE"""),"D")</f>
        <v>D</v>
      </c>
      <c r="E800" t="str">
        <f ca="1">IFERROR(__xludf.DUMMYFUNCTION("""COMPUTED_VALUE"""),"SupplementalSUP")</f>
        <v>SupplementalSUP</v>
      </c>
      <c r="F800" t="str">
        <f ca="1">IFERROR(__xludf.DUMMYFUNCTION("""COMPUTED_VALUE"""),"")</f>
        <v/>
      </c>
      <c r="G800" t="str">
        <f ca="1">IFERROR(__xludf.DUMMYFUNCTION("""COMPUTED_VALUE"""),"")</f>
        <v/>
      </c>
    </row>
    <row r="801" spans="1:7" ht="13.2" x14ac:dyDescent="0.25">
      <c r="A801" s="1" t="s">
        <v>33</v>
      </c>
      <c r="B801" t="str">
        <f ca="1">IFERROR(__xludf.DUMMYFUNCTION("""COMPUTED_VALUE"""),"Ghazal, Aly")</f>
        <v>Ghazal, Aly</v>
      </c>
      <c r="C801">
        <f ca="1">IFERROR(__xludf.DUMMYFUNCTION("""COMPUTED_VALUE"""),66)</f>
        <v>66</v>
      </c>
      <c r="D801" t="str">
        <f ca="1">IFERROR(__xludf.DUMMYFUNCTION("""COMPUTED_VALUE"""),"M")</f>
        <v>M</v>
      </c>
      <c r="E801" t="str">
        <f ca="1">IFERROR(__xludf.DUMMYFUNCTION("""COMPUTED_VALUE"""),"SeniorSR")</f>
        <v>SeniorSR</v>
      </c>
      <c r="F801" t="str">
        <f ca="1">IFERROR(__xludf.DUMMYFUNCTION("""COMPUTED_VALUE"""),"INTL")</f>
        <v>INTL</v>
      </c>
      <c r="G801" t="str">
        <f ca="1">IFERROR(__xludf.DUMMYFUNCTION("""COMPUTED_VALUE"""),"")</f>
        <v/>
      </c>
    </row>
    <row r="802" spans="1:7" ht="13.2" x14ac:dyDescent="0.25">
      <c r="A802" s="1" t="s">
        <v>33</v>
      </c>
      <c r="B802" t="str">
        <f ca="1">IFERROR(__xludf.DUMMYFUNCTION("""COMPUTED_VALUE"""),"Henry, Doneil")</f>
        <v>Henry, Doneil</v>
      </c>
      <c r="C802">
        <f ca="1">IFERROR(__xludf.DUMMYFUNCTION("""COMPUTED_VALUE"""),2)</f>
        <v>2</v>
      </c>
      <c r="D802" t="str">
        <f ca="1">IFERROR(__xludf.DUMMYFUNCTION("""COMPUTED_VALUE"""),"D")</f>
        <v>D</v>
      </c>
      <c r="E802" t="str">
        <f ca="1">IFERROR(__xludf.DUMMYFUNCTION("""COMPUTED_VALUE"""),"SeniorSR")</f>
        <v>SeniorSR</v>
      </c>
      <c r="F802" t="str">
        <f ca="1">IFERROR(__xludf.DUMMYFUNCTION("""COMPUTED_VALUE"""),"")</f>
        <v/>
      </c>
      <c r="G802" t="str">
        <f ca="1">IFERROR(__xludf.DUMMYFUNCTION("""COMPUTED_VALUE"""),"")</f>
        <v/>
      </c>
    </row>
    <row r="803" spans="1:7" ht="13.2" x14ac:dyDescent="0.25">
      <c r="A803" s="1" t="s">
        <v>33</v>
      </c>
      <c r="B803" t="str">
        <f ca="1">IFERROR(__xludf.DUMMYFUNCTION("""COMPUTED_VALUE"""),"Hurtado, Erik")</f>
        <v>Hurtado, Erik</v>
      </c>
      <c r="C803">
        <f ca="1">IFERROR(__xludf.DUMMYFUNCTION("""COMPUTED_VALUE"""),19)</f>
        <v>19</v>
      </c>
      <c r="D803" t="str">
        <f ca="1">IFERROR(__xludf.DUMMYFUNCTION("""COMPUTED_VALUE"""),"F/M")</f>
        <v>F/M</v>
      </c>
      <c r="E803" t="str">
        <f ca="1">IFERROR(__xludf.DUMMYFUNCTION("""COMPUTED_VALUE"""),"SeniorSR")</f>
        <v>SeniorSR</v>
      </c>
      <c r="F803" t="str">
        <f ca="1">IFERROR(__xludf.DUMMYFUNCTION("""COMPUTED_VALUE"""),"")</f>
        <v/>
      </c>
      <c r="G803" t="str">
        <f ca="1">IFERROR(__xludf.DUMMYFUNCTION("""COMPUTED_VALUE"""),"")</f>
        <v/>
      </c>
    </row>
    <row r="804" spans="1:7" ht="13.2" x14ac:dyDescent="0.25">
      <c r="A804" s="1" t="s">
        <v>33</v>
      </c>
      <c r="B804" t="str">
        <f ca="1">IFERROR(__xludf.DUMMYFUNCTION("""COMPUTED_VALUE"""),"Juarez, Efrain")</f>
        <v>Juarez, Efrain</v>
      </c>
      <c r="C804">
        <f ca="1">IFERROR(__xludf.DUMMYFUNCTION("""COMPUTED_VALUE"""),6)</f>
        <v>6</v>
      </c>
      <c r="D804" t="str">
        <f ca="1">IFERROR(__xludf.DUMMYFUNCTION("""COMPUTED_VALUE"""),"M")</f>
        <v>M</v>
      </c>
      <c r="E804" t="str">
        <f ca="1">IFERROR(__xludf.DUMMYFUNCTION("""COMPUTED_VALUE"""),"SeniorSR")</f>
        <v>SeniorSR</v>
      </c>
      <c r="F804" t="str">
        <f ca="1">IFERROR(__xludf.DUMMYFUNCTION("""COMPUTED_VALUE"""),"INTL")</f>
        <v>INTL</v>
      </c>
      <c r="G804" t="str">
        <f ca="1">IFERROR(__xludf.DUMMYFUNCTION("""COMPUTED_VALUE"""),"")</f>
        <v/>
      </c>
    </row>
    <row r="805" spans="1:7" ht="13.2" x14ac:dyDescent="0.25">
      <c r="A805" s="1" t="s">
        <v>33</v>
      </c>
      <c r="B805" t="str">
        <f ca="1">IFERROR(__xludf.DUMMYFUNCTION("""COMPUTED_VALUE"""),"Kamara, Kei")</f>
        <v>Kamara, Kei</v>
      </c>
      <c r="C805">
        <f ca="1">IFERROR(__xludf.DUMMYFUNCTION("""COMPUTED_VALUE"""),23)</f>
        <v>23</v>
      </c>
      <c r="D805" t="str">
        <f ca="1">IFERROR(__xludf.DUMMYFUNCTION("""COMPUTED_VALUE"""),"F")</f>
        <v>F</v>
      </c>
      <c r="E805" t="str">
        <f ca="1">IFERROR(__xludf.DUMMYFUNCTION("""COMPUTED_VALUE"""),"SeniorSR")</f>
        <v>SeniorSR</v>
      </c>
      <c r="F805" t="str">
        <f ca="1">IFERROR(__xludf.DUMMYFUNCTION("""COMPUTED_VALUE"""),"")</f>
        <v/>
      </c>
      <c r="G805" t="str">
        <f ca="1">IFERROR(__xludf.DUMMYFUNCTION("""COMPUTED_VALUE"""),"")</f>
        <v/>
      </c>
    </row>
    <row r="806" spans="1:7" ht="13.2" x14ac:dyDescent="0.25">
      <c r="A806" s="1" t="s">
        <v>33</v>
      </c>
      <c r="B806" t="str">
        <f ca="1">IFERROR(__xludf.DUMMYFUNCTION("""COMPUTED_VALUE"""),"Levis, Brett")</f>
        <v>Levis, Brett</v>
      </c>
      <c r="C806">
        <f ca="1">IFERROR(__xludf.DUMMYFUNCTION("""COMPUTED_VALUE"""),46)</f>
        <v>46</v>
      </c>
      <c r="D806" t="str">
        <f ca="1">IFERROR(__xludf.DUMMYFUNCTION("""COMPUTED_VALUE"""),"D/M")</f>
        <v>D/M</v>
      </c>
      <c r="E806" t="str">
        <f ca="1">IFERROR(__xludf.DUMMYFUNCTION("""COMPUTED_VALUE"""),"SupplementalSUP")</f>
        <v>SupplementalSUP</v>
      </c>
      <c r="F806" t="str">
        <f ca="1">IFERROR(__xludf.DUMMYFUNCTION("""COMPUTED_VALUE"""),"")</f>
        <v/>
      </c>
      <c r="G806" t="str">
        <f ca="1">IFERROR(__xludf.DUMMYFUNCTION("""COMPUTED_VALUE"""),"")</f>
        <v/>
      </c>
    </row>
    <row r="807" spans="1:7" ht="13.2" x14ac:dyDescent="0.25">
      <c r="A807" s="1" t="s">
        <v>33</v>
      </c>
      <c r="B807" t="str">
        <f ca="1">IFERROR(__xludf.DUMMYFUNCTION("""COMPUTED_VALUE"""),"Marinovic, Stefan")</f>
        <v>Marinovic, Stefan</v>
      </c>
      <c r="C807">
        <f ca="1">IFERROR(__xludf.DUMMYFUNCTION("""COMPUTED_VALUE"""),1)</f>
        <v>1</v>
      </c>
      <c r="D807" t="str">
        <f ca="1">IFERROR(__xludf.DUMMYFUNCTION("""COMPUTED_VALUE"""),"GK")</f>
        <v>GK</v>
      </c>
      <c r="E807" t="str">
        <f ca="1">IFERROR(__xludf.DUMMYFUNCTION("""COMPUTED_VALUE"""),"SeniorSR")</f>
        <v>SeniorSR</v>
      </c>
      <c r="F807" t="str">
        <f ca="1">IFERROR(__xludf.DUMMYFUNCTION("""COMPUTED_VALUE"""),"INTL")</f>
        <v>INTL</v>
      </c>
      <c r="G807" t="str">
        <f ca="1">IFERROR(__xludf.DUMMYFUNCTION("""COMPUTED_VALUE"""),"")</f>
        <v/>
      </c>
    </row>
    <row r="808" spans="1:7" ht="13.2" x14ac:dyDescent="0.25">
      <c r="A808" s="1" t="s">
        <v>33</v>
      </c>
      <c r="B808" t="str">
        <f ca="1">IFERROR(__xludf.DUMMYFUNCTION("""COMPUTED_VALUE"""),"Martins, Felipe")</f>
        <v>Martins, Felipe</v>
      </c>
      <c r="C808">
        <f ca="1">IFERROR(__xludf.DUMMYFUNCTION("""COMPUTED_VALUE"""),8)</f>
        <v>8</v>
      </c>
      <c r="D808" t="str">
        <f ca="1">IFERROR(__xludf.DUMMYFUNCTION("""COMPUTED_VALUE"""),"M")</f>
        <v>M</v>
      </c>
      <c r="E808" t="str">
        <f ca="1">IFERROR(__xludf.DUMMYFUNCTION("""COMPUTED_VALUE"""),"SeniorSR")</f>
        <v>SeniorSR</v>
      </c>
      <c r="F808" t="str">
        <f ca="1">IFERROR(__xludf.DUMMYFUNCTION("""COMPUTED_VALUE"""),"")</f>
        <v/>
      </c>
      <c r="G808" t="str">
        <f ca="1">IFERROR(__xludf.DUMMYFUNCTION("""COMPUTED_VALUE"""),"")</f>
        <v/>
      </c>
    </row>
    <row r="809" spans="1:7" ht="13.2" x14ac:dyDescent="0.25">
      <c r="A809" s="1" t="s">
        <v>33</v>
      </c>
      <c r="B809" t="str">
        <f ca="1">IFERROR(__xludf.DUMMYFUNCTION("""COMPUTED_VALUE"""),"Maund, Aaron")</f>
        <v>Maund, Aaron</v>
      </c>
      <c r="C809">
        <f ca="1">IFERROR(__xludf.DUMMYFUNCTION("""COMPUTED_VALUE"""),22)</f>
        <v>22</v>
      </c>
      <c r="D809" t="str">
        <f ca="1">IFERROR(__xludf.DUMMYFUNCTION("""COMPUTED_VALUE"""),"D")</f>
        <v>D</v>
      </c>
      <c r="E809" t="str">
        <f ca="1">IFERROR(__xludf.DUMMYFUNCTION("""COMPUTED_VALUE"""),"SeniorSR")</f>
        <v>SeniorSR</v>
      </c>
      <c r="F809" t="str">
        <f ca="1">IFERROR(__xludf.DUMMYFUNCTION("""COMPUTED_VALUE"""),"")</f>
        <v/>
      </c>
      <c r="G809" t="str">
        <f ca="1">IFERROR(__xludf.DUMMYFUNCTION("""COMPUTED_VALUE"""),"")</f>
        <v/>
      </c>
    </row>
    <row r="810" spans="1:7" ht="13.2" x14ac:dyDescent="0.25">
      <c r="A810" s="1" t="s">
        <v>33</v>
      </c>
      <c r="B810" t="str">
        <f ca="1">IFERROR(__xludf.DUMMYFUNCTION("""COMPUTED_VALUE"""),"Melvin, Sean")</f>
        <v>Melvin, Sean</v>
      </c>
      <c r="C810">
        <f ca="1">IFERROR(__xludf.DUMMYFUNCTION("""COMPUTED_VALUE"""),39)</f>
        <v>39</v>
      </c>
      <c r="D810" t="str">
        <f ca="1">IFERROR(__xludf.DUMMYFUNCTION("""COMPUTED_VALUE"""),"GK")</f>
        <v>GK</v>
      </c>
      <c r="E810" t="str">
        <f ca="1">IFERROR(__xludf.DUMMYFUNCTION("""COMPUTED_VALUE"""),"ReserveRES")</f>
        <v>ReserveRES</v>
      </c>
      <c r="F810" t="str">
        <f ca="1">IFERROR(__xludf.DUMMYFUNCTION("""COMPUTED_VALUE"""),"")</f>
        <v/>
      </c>
      <c r="G810" t="str">
        <f ca="1">IFERROR(__xludf.DUMMYFUNCTION("""COMPUTED_VALUE"""),"")</f>
        <v/>
      </c>
    </row>
    <row r="811" spans="1:7" ht="13.2" x14ac:dyDescent="0.25">
      <c r="A811" s="1" t="s">
        <v>33</v>
      </c>
      <c r="B811" t="str">
        <f ca="1">IFERROR(__xludf.DUMMYFUNCTION("""COMPUTED_VALUE"""),"Mezquida, Nicolas")</f>
        <v>Mezquida, Nicolas</v>
      </c>
      <c r="C811">
        <f ca="1">IFERROR(__xludf.DUMMYFUNCTION("""COMPUTED_VALUE"""),11)</f>
        <v>11</v>
      </c>
      <c r="D811" t="str">
        <f ca="1">IFERROR(__xludf.DUMMYFUNCTION("""COMPUTED_VALUE"""),"M")</f>
        <v>M</v>
      </c>
      <c r="E811" t="str">
        <f ca="1">IFERROR(__xludf.DUMMYFUNCTION("""COMPUTED_VALUE"""),"SeniorSR")</f>
        <v>SeniorSR</v>
      </c>
      <c r="F811" t="str">
        <f ca="1">IFERROR(__xludf.DUMMYFUNCTION("""COMPUTED_VALUE"""),"INTL")</f>
        <v>INTL</v>
      </c>
      <c r="G811" t="str">
        <f ca="1">IFERROR(__xludf.DUMMYFUNCTION("""COMPUTED_VALUE"""),"")</f>
        <v/>
      </c>
    </row>
    <row r="812" spans="1:7" ht="13.2" x14ac:dyDescent="0.25">
      <c r="A812" s="1" t="s">
        <v>33</v>
      </c>
      <c r="B812" t="str">
        <f ca="1">IFERROR(__xludf.DUMMYFUNCTION("""COMPUTED_VALUE"""),"Mutch, Jordon")</f>
        <v>Mutch, Jordon</v>
      </c>
      <c r="C812">
        <f ca="1">IFERROR(__xludf.DUMMYFUNCTION("""COMPUTED_VALUE"""),77)</f>
        <v>77</v>
      </c>
      <c r="D812" t="str">
        <f ca="1">IFERROR(__xludf.DUMMYFUNCTION("""COMPUTED_VALUE"""),"M")</f>
        <v>M</v>
      </c>
      <c r="E812" t="str">
        <f ca="1">IFERROR(__xludf.DUMMYFUNCTION("""COMPUTED_VALUE"""),"SeniorSR")</f>
        <v>SeniorSR</v>
      </c>
      <c r="F812" t="str">
        <f ca="1">IFERROR(__xludf.DUMMYFUNCTION("""COMPUTED_VALUE"""),"INTL")</f>
        <v>INTL</v>
      </c>
      <c r="G812" t="str">
        <f ca="1">IFERROR(__xludf.DUMMYFUNCTION("""COMPUTED_VALUE"""),"")</f>
        <v/>
      </c>
    </row>
    <row r="813" spans="1:7" ht="13.2" x14ac:dyDescent="0.25">
      <c r="A813" s="1" t="s">
        <v>33</v>
      </c>
      <c r="B813" t="str">
        <f ca="1">IFERROR(__xludf.DUMMYFUNCTION("""COMPUTED_VALUE"""),"Nerwinski, Jake")</f>
        <v>Nerwinski, Jake</v>
      </c>
      <c r="C813">
        <f ca="1">IFERROR(__xludf.DUMMYFUNCTION("""COMPUTED_VALUE"""),28)</f>
        <v>28</v>
      </c>
      <c r="D813" t="str">
        <f ca="1">IFERROR(__xludf.DUMMYFUNCTION("""COMPUTED_VALUE"""),"D")</f>
        <v>D</v>
      </c>
      <c r="E813" t="str">
        <f ca="1">IFERROR(__xludf.DUMMYFUNCTION("""COMPUTED_VALUE"""),"SupplementalSUP")</f>
        <v>SupplementalSUP</v>
      </c>
      <c r="F813" t="str">
        <f ca="1">IFERROR(__xludf.DUMMYFUNCTION("""COMPUTED_VALUE"""),"")</f>
        <v/>
      </c>
      <c r="G813" t="str">
        <f ca="1">IFERROR(__xludf.DUMMYFUNCTION("""COMPUTED_VALUE"""),"")</f>
        <v/>
      </c>
    </row>
    <row r="814" spans="1:7" ht="13.2" x14ac:dyDescent="0.25">
      <c r="A814" s="1" t="s">
        <v>33</v>
      </c>
      <c r="B814" t="str">
        <f ca="1">IFERROR(__xludf.DUMMYFUNCTION("""COMPUTED_VALUE"""),"Norman Jr., David")</f>
        <v>Norman Jr., David</v>
      </c>
      <c r="C814">
        <f ca="1">IFERROR(__xludf.DUMMYFUNCTION("""COMPUTED_VALUE"""),24)</f>
        <v>24</v>
      </c>
      <c r="D814" t="str">
        <f ca="1">IFERROR(__xludf.DUMMYFUNCTION("""COMPUTED_VALUE"""),"M")</f>
        <v>M</v>
      </c>
      <c r="E814" t="str">
        <f ca="1">IFERROR(__xludf.DUMMYFUNCTION("""COMPUTED_VALUE"""),"ReserveRES, On loanOL")</f>
        <v>ReserveRES, On loanOL</v>
      </c>
      <c r="F814" t="str">
        <f ca="1">IFERROR(__xludf.DUMMYFUNCTION("""COMPUTED_VALUE"""),"HG")</f>
        <v>HG</v>
      </c>
      <c r="G814" t="str">
        <f ca="1">IFERROR(__xludf.DUMMYFUNCTION("""COMPUTED_VALUE"""),"*On loanOL*")</f>
        <v>*On loanOL*</v>
      </c>
    </row>
    <row r="815" spans="1:7" ht="13.2" x14ac:dyDescent="0.25">
      <c r="A815" s="1" t="s">
        <v>33</v>
      </c>
      <c r="B815" t="str">
        <f ca="1">IFERROR(__xludf.DUMMYFUNCTION("""COMPUTED_VALUE"""),"Reyna, Yordy")</f>
        <v>Reyna, Yordy</v>
      </c>
      <c r="C815">
        <f ca="1">IFERROR(__xludf.DUMMYFUNCTION("""COMPUTED_VALUE"""),29)</f>
        <v>29</v>
      </c>
      <c r="D815" t="str">
        <f ca="1">IFERROR(__xludf.DUMMYFUNCTION("""COMPUTED_VALUE"""),"M/F")</f>
        <v>M/F</v>
      </c>
      <c r="E815" t="str">
        <f ca="1">IFERROR(__xludf.DUMMYFUNCTION("""COMPUTED_VALUE"""),"SeniorSR")</f>
        <v>SeniorSR</v>
      </c>
      <c r="F815" t="str">
        <f ca="1">IFERROR(__xludf.DUMMYFUNCTION("""COMPUTED_VALUE"""),"INTL")</f>
        <v>INTL</v>
      </c>
      <c r="G815" t="str">
        <f ca="1">IFERROR(__xludf.DUMMYFUNCTION("""COMPUTED_VALUE"""),"")</f>
        <v/>
      </c>
    </row>
    <row r="816" spans="1:7" ht="13.2" x14ac:dyDescent="0.25">
      <c r="A816" s="1" t="s">
        <v>33</v>
      </c>
      <c r="B816" t="str">
        <f ca="1">IFERROR(__xludf.DUMMYFUNCTION("""COMPUTED_VALUE"""),"Richey, Spencer")</f>
        <v>Richey, Spencer</v>
      </c>
      <c r="C816">
        <f ca="1">IFERROR(__xludf.DUMMYFUNCTION("""COMPUTED_VALUE"""),18)</f>
        <v>18</v>
      </c>
      <c r="D816" t="str">
        <f ca="1">IFERROR(__xludf.DUMMYFUNCTION("""COMPUTED_VALUE"""),"GK")</f>
        <v>GK</v>
      </c>
      <c r="E816" t="str">
        <f ca="1">IFERROR(__xludf.DUMMYFUNCTION("""COMPUTED_VALUE"""),"SeniorSR, On loanOL")</f>
        <v>SeniorSR, On loanOL</v>
      </c>
      <c r="F816" t="str">
        <f ca="1">IFERROR(__xludf.DUMMYFUNCTION("""COMPUTED_VALUE"""),"")</f>
        <v/>
      </c>
      <c r="G816" t="str">
        <f ca="1">IFERROR(__xludf.DUMMYFUNCTION("""COMPUTED_VALUE"""),"*On loanOL*")</f>
        <v>*On loanOL*</v>
      </c>
    </row>
    <row r="817" spans="1:7" ht="13.2" x14ac:dyDescent="0.25">
      <c r="A817" s="1" t="s">
        <v>33</v>
      </c>
      <c r="B817" t="str">
        <f ca="1">IFERROR(__xludf.DUMMYFUNCTION("""COMPUTED_VALUE"""),"Rowe, Brian")</f>
        <v>Rowe, Brian</v>
      </c>
      <c r="C817">
        <f ca="1">IFERROR(__xludf.DUMMYFUNCTION("""COMPUTED_VALUE"""),12)</f>
        <v>12</v>
      </c>
      <c r="D817" t="str">
        <f ca="1">IFERROR(__xludf.DUMMYFUNCTION("""COMPUTED_VALUE"""),"GK")</f>
        <v>GK</v>
      </c>
      <c r="E817" t="str">
        <f ca="1">IFERROR(__xludf.DUMMYFUNCTION("""COMPUTED_VALUE"""),"SeniorSR")</f>
        <v>SeniorSR</v>
      </c>
      <c r="F817" t="str">
        <f ca="1">IFERROR(__xludf.DUMMYFUNCTION("""COMPUTED_VALUE"""),"")</f>
        <v/>
      </c>
      <c r="G817" t="str">
        <f ca="1">IFERROR(__xludf.DUMMYFUNCTION("""COMPUTED_VALUE"""),"")</f>
        <v/>
      </c>
    </row>
    <row r="818" spans="1:7" ht="13.2" x14ac:dyDescent="0.25">
      <c r="A818" s="1" t="s">
        <v>33</v>
      </c>
      <c r="B818" t="str">
        <f ca="1">IFERROR(__xludf.DUMMYFUNCTION("""COMPUTED_VALUE"""),"Shea, Brek")</f>
        <v>Shea, Brek</v>
      </c>
      <c r="C818">
        <f ca="1">IFERROR(__xludf.DUMMYFUNCTION("""COMPUTED_VALUE"""),20)</f>
        <v>20</v>
      </c>
      <c r="D818" t="str">
        <f ca="1">IFERROR(__xludf.DUMMYFUNCTION("""COMPUTED_VALUE"""),"M/F")</f>
        <v>M/F</v>
      </c>
      <c r="E818" t="str">
        <f ca="1">IFERROR(__xludf.DUMMYFUNCTION("""COMPUTED_VALUE"""),"SeniorSR")</f>
        <v>SeniorSR</v>
      </c>
      <c r="F818" t="str">
        <f ca="1">IFERROR(__xludf.DUMMYFUNCTION("""COMPUTED_VALUE"""),"DP")</f>
        <v>DP</v>
      </c>
      <c r="G818" t="str">
        <f ca="1">IFERROR(__xludf.DUMMYFUNCTION("""COMPUTED_VALUE"""),"")</f>
        <v/>
      </c>
    </row>
    <row r="819" spans="1:7" ht="13.2" x14ac:dyDescent="0.25">
      <c r="A819" s="1" t="s">
        <v>33</v>
      </c>
      <c r="B819" t="str">
        <f ca="1">IFERROR(__xludf.DUMMYFUNCTION("""COMPUTED_VALUE"""),"Techera, Cristian")</f>
        <v>Techera, Cristian</v>
      </c>
      <c r="C819">
        <f ca="1">IFERROR(__xludf.DUMMYFUNCTION("""COMPUTED_VALUE"""),13)</f>
        <v>13</v>
      </c>
      <c r="D819" t="str">
        <f ca="1">IFERROR(__xludf.DUMMYFUNCTION("""COMPUTED_VALUE"""),"M")</f>
        <v>M</v>
      </c>
      <c r="E819" t="str">
        <f ca="1">IFERROR(__xludf.DUMMYFUNCTION("""COMPUTED_VALUE"""),"SeniorSR")</f>
        <v>SeniorSR</v>
      </c>
      <c r="F819" t="str">
        <f ca="1">IFERROR(__xludf.DUMMYFUNCTION("""COMPUTED_VALUE"""),"INTL")</f>
        <v>INTL</v>
      </c>
      <c r="G819" t="str">
        <f ca="1">IFERROR(__xludf.DUMMYFUNCTION("""COMPUTED_VALUE"""),"")</f>
        <v/>
      </c>
    </row>
    <row r="820" spans="1:7" ht="13.2" x14ac:dyDescent="0.25">
      <c r="A820" s="1" t="s">
        <v>33</v>
      </c>
      <c r="B820" t="str">
        <f ca="1">IFERROR(__xludf.DUMMYFUNCTION("""COMPUTED_VALUE"""),"Teibert, Russell")</f>
        <v>Teibert, Russell</v>
      </c>
      <c r="C820">
        <f ca="1">IFERROR(__xludf.DUMMYFUNCTION("""COMPUTED_VALUE"""),31)</f>
        <v>31</v>
      </c>
      <c r="D820" t="str">
        <f ca="1">IFERROR(__xludf.DUMMYFUNCTION("""COMPUTED_VALUE"""),"M")</f>
        <v>M</v>
      </c>
      <c r="E820" t="str">
        <f ca="1">IFERROR(__xludf.DUMMYFUNCTION("""COMPUTED_VALUE"""),"SupplementalSUP")</f>
        <v>SupplementalSUP</v>
      </c>
      <c r="F820" t="str">
        <f ca="1">IFERROR(__xludf.DUMMYFUNCTION("""COMPUTED_VALUE"""),"HG")</f>
        <v>HG</v>
      </c>
      <c r="G820" t="str">
        <f ca="1">IFERROR(__xludf.DUMMYFUNCTION("""COMPUTED_VALUE"""),"")</f>
        <v/>
      </c>
    </row>
    <row r="821" spans="1:7" ht="13.2" x14ac:dyDescent="0.25">
      <c r="A821" s="1" t="s">
        <v>33</v>
      </c>
      <c r="B821" t="str">
        <f ca="1">IFERROR(__xludf.DUMMYFUNCTION("""COMPUTED_VALUE"""),"Waston, Kendall")</f>
        <v>Waston, Kendall</v>
      </c>
      <c r="C821">
        <f ca="1">IFERROR(__xludf.DUMMYFUNCTION("""COMPUTED_VALUE"""),4)</f>
        <v>4</v>
      </c>
      <c r="D821" t="str">
        <f ca="1">IFERROR(__xludf.DUMMYFUNCTION("""COMPUTED_VALUE"""),"D")</f>
        <v>D</v>
      </c>
      <c r="E821" t="str">
        <f ca="1">IFERROR(__xludf.DUMMYFUNCTION("""COMPUTED_VALUE"""),"SeniorSR")</f>
        <v>SeniorSR</v>
      </c>
      <c r="F821" t="str">
        <f ca="1">IFERROR(__xludf.DUMMYFUNCTION("""COMPUTED_VALUE"""),"DP")</f>
        <v>DP</v>
      </c>
      <c r="G821" t="str">
        <f ca="1">IFERROR(__xludf.DUMMYFUNCTION("""COMPUTED_VALUE"""),"")</f>
        <v/>
      </c>
    </row>
    <row r="822" spans="1:7" ht="13.2" x14ac:dyDescent="0.25">
      <c r="A822" s="1" t="s">
        <v>33</v>
      </c>
      <c r="B822" t="str">
        <f ca="1">IFERROR(__xludf.DUMMYFUNCTION("""COMPUTED_VALUE"""),"30 of 30 spots filled")</f>
        <v>30 of 30 spots filled</v>
      </c>
      <c r="C822" t="str">
        <f ca="1">IFERROR(__xludf.DUMMYFUNCTION("""COMPUTED_VALUE"""),"")</f>
        <v/>
      </c>
      <c r="D822" t="str">
        <f ca="1">IFERROR(__xludf.DUMMYFUNCTION("""COMPUTED_VALUE"""),"")</f>
        <v/>
      </c>
      <c r="E822" t="str">
        <f ca="1">IFERROR(__xludf.DUMMYFUNCTION("""COMPUTED_VALUE"""),"")</f>
        <v/>
      </c>
      <c r="F822" t="str">
        <f ca="1">IFERROR(__xludf.DUMMYFUNCTION("""COMPUTED_VALUE"""),"")</f>
        <v/>
      </c>
      <c r="G822" t="str">
        <f ca="1">IFERROR(__xludf.DUMMYFUNCTION("""COMPUTED_VALUE"""),"")</f>
        <v/>
      </c>
    </row>
    <row r="823" spans="1:7" ht="13.2" x14ac:dyDescent="0.25">
      <c r="A823" s="1" t="s">
        <v>33</v>
      </c>
    </row>
    <row r="824" spans="1:7" ht="13.2" x14ac:dyDescent="0.25">
      <c r="A824" s="1" t="s">
        <v>33</v>
      </c>
    </row>
    <row r="825" spans="1:7" ht="13.2" x14ac:dyDescent="0.25">
      <c r="A825" s="1" t="s">
        <v>33</v>
      </c>
    </row>
    <row r="826" spans="1:7" ht="13.2" x14ac:dyDescent="0.25">
      <c r="A826" s="1" t="s">
        <v>33</v>
      </c>
    </row>
    <row r="827" spans="1:7" ht="13.2" x14ac:dyDescent="0.25">
      <c r="A827" s="1" t="s">
        <v>33</v>
      </c>
    </row>
    <row r="828" spans="1:7" ht="13.2" x14ac:dyDescent="0.25">
      <c r="A828" s="1" t="s">
        <v>33</v>
      </c>
    </row>
    <row r="829" spans="1:7" ht="13.2" x14ac:dyDescent="0.25">
      <c r="A829" s="1" t="s">
        <v>33</v>
      </c>
    </row>
    <row r="841" spans="1:7" ht="13.2" x14ac:dyDescent="0.25">
      <c r="B841" t="str">
        <f ca="1">IFERROR(__xludf.DUMMYFUNCTION("IMPORTHTML(""http://www.mlssoccer.com/rosters/2018/lafc"", ""table"", 1)"),"30-man Active Roster (Spots 1-30)")</f>
        <v>30-man Active Roster (Spots 1-30)</v>
      </c>
      <c r="C841" t="str">
        <f ca="1">IFERROR(__xludf.DUMMYFUNCTION("""COMPUTED_VALUE"""),"#")</f>
        <v>#</v>
      </c>
      <c r="D841" t="str">
        <f ca="1">IFERROR(__xludf.DUMMYFUNCTION("""COMPUTED_VALUE"""),"POS")</f>
        <v>POS</v>
      </c>
      <c r="E841" t="str">
        <f ca="1">IFERROR(__xludf.DUMMYFUNCTION("""COMPUTED_VALUE"""),"ROSTER STATUSR.S.")</f>
        <v>ROSTER STATUSR.S.</v>
      </c>
      <c r="F841" t="str">
        <f ca="1">IFERROR(__xludf.DUMMYFUNCTION("""COMPUTED_VALUE"""),"PLAYER CATEGORYCAT.")</f>
        <v>PLAYER CATEGORYCAT.</v>
      </c>
      <c r="G841" t="str">
        <f ca="1">IFERROR(__xludf.DUMMYFUNCTION("""COMPUTED_VALUE"""),"*NOTE*")</f>
        <v>*NOTE*</v>
      </c>
    </row>
    <row r="842" spans="1:7" ht="13.2" x14ac:dyDescent="0.25">
      <c r="A842" s="1" t="s">
        <v>34</v>
      </c>
      <c r="B842" t="str">
        <f ca="1">IFERROR(__xludf.DUMMYFUNCTION("""COMPUTED_VALUE"""),"Atuesta, Eduard")</f>
        <v>Atuesta, Eduard</v>
      </c>
      <c r="C842">
        <f ca="1">IFERROR(__xludf.DUMMYFUNCTION("""COMPUTED_VALUE"""),20)</f>
        <v>20</v>
      </c>
      <c r="D842" t="str">
        <f ca="1">IFERROR(__xludf.DUMMYFUNCTION("""COMPUTED_VALUE"""),"M")</f>
        <v>M</v>
      </c>
      <c r="E842" t="str">
        <f ca="1">IFERROR(__xludf.DUMMYFUNCTION("""COMPUTED_VALUE"""),"SeniorSR")</f>
        <v>SeniorSR</v>
      </c>
      <c r="F842" t="str">
        <f ca="1">IFERROR(__xludf.DUMMYFUNCTION("""COMPUTED_VALUE"""),"INTL")</f>
        <v>INTL</v>
      </c>
      <c r="G842" t="str">
        <f ca="1">IFERROR(__xludf.DUMMYFUNCTION("""COMPUTED_VALUE"""),"")</f>
        <v/>
      </c>
    </row>
    <row r="843" spans="1:7" ht="13.2" x14ac:dyDescent="0.25">
      <c r="A843" s="1" t="s">
        <v>34</v>
      </c>
      <c r="B843" t="str">
        <f ca="1">IFERROR(__xludf.DUMMYFUNCTION("""COMPUTED_VALUE"""),"Beitashour, Steven")</f>
        <v>Beitashour, Steven</v>
      </c>
      <c r="C843">
        <f ca="1">IFERROR(__xludf.DUMMYFUNCTION("""COMPUTED_VALUE"""),3)</f>
        <v>3</v>
      </c>
      <c r="D843" t="str">
        <f ca="1">IFERROR(__xludf.DUMMYFUNCTION("""COMPUTED_VALUE"""),"D")</f>
        <v>D</v>
      </c>
      <c r="E843" t="str">
        <f ca="1">IFERROR(__xludf.DUMMYFUNCTION("""COMPUTED_VALUE"""),"SeniorSR")</f>
        <v>SeniorSR</v>
      </c>
      <c r="F843" t="str">
        <f ca="1">IFERROR(__xludf.DUMMYFUNCTION("""COMPUTED_VALUE"""),"")</f>
        <v/>
      </c>
      <c r="G843" t="str">
        <f ca="1">IFERROR(__xludf.DUMMYFUNCTION("""COMPUTED_VALUE"""),"")</f>
        <v/>
      </c>
    </row>
    <row r="844" spans="1:7" ht="13.2" x14ac:dyDescent="0.25">
      <c r="A844" s="1" t="s">
        <v>34</v>
      </c>
      <c r="B844" t="str">
        <f ca="1">IFERROR(__xludf.DUMMYFUNCTION("""COMPUTED_VALUE"""),"Blackmon, Tristan")</f>
        <v>Blackmon, Tristan</v>
      </c>
      <c r="C844">
        <f ca="1">IFERROR(__xludf.DUMMYFUNCTION("""COMPUTED_VALUE"""),27)</f>
        <v>27</v>
      </c>
      <c r="D844" t="str">
        <f ca="1">IFERROR(__xludf.DUMMYFUNCTION("""COMPUTED_VALUE"""),"F")</f>
        <v>F</v>
      </c>
      <c r="E844" t="str">
        <f ca="1">IFERROR(__xludf.DUMMYFUNCTION("""COMPUTED_VALUE"""),"SupplementalSUP")</f>
        <v>SupplementalSUP</v>
      </c>
      <c r="F844" t="str">
        <f ca="1">IFERROR(__xludf.DUMMYFUNCTION("""COMPUTED_VALUE"""),"")</f>
        <v/>
      </c>
      <c r="G844" t="str">
        <f ca="1">IFERROR(__xludf.DUMMYFUNCTION("""COMPUTED_VALUE"""),"")</f>
        <v/>
      </c>
    </row>
    <row r="845" spans="1:7" ht="13.2" x14ac:dyDescent="0.25">
      <c r="A845" s="1" t="s">
        <v>34</v>
      </c>
      <c r="B845" t="str">
        <f ca="1">IFERROR(__xludf.DUMMYFUNCTION("""COMPUTED_VALUE"""),"Blessing, Latif")</f>
        <v>Blessing, Latif</v>
      </c>
      <c r="C845">
        <f ca="1">IFERROR(__xludf.DUMMYFUNCTION("""COMPUTED_VALUE"""),7)</f>
        <v>7</v>
      </c>
      <c r="D845" t="str">
        <f ca="1">IFERROR(__xludf.DUMMYFUNCTION("""COMPUTED_VALUE"""),"F")</f>
        <v>F</v>
      </c>
      <c r="E845" t="str">
        <f ca="1">IFERROR(__xludf.DUMMYFUNCTION("""COMPUTED_VALUE"""),"SeniorSR")</f>
        <v>SeniorSR</v>
      </c>
      <c r="F845" t="str">
        <f ca="1">IFERROR(__xludf.DUMMYFUNCTION("""COMPUTED_VALUE"""),"")</f>
        <v/>
      </c>
      <c r="G845" t="str">
        <f ca="1">IFERROR(__xludf.DUMMYFUNCTION("""COMPUTED_VALUE"""),"")</f>
        <v/>
      </c>
    </row>
    <row r="846" spans="1:7" ht="13.2" x14ac:dyDescent="0.25">
      <c r="A846" s="1" t="s">
        <v>34</v>
      </c>
      <c r="B846" t="str">
        <f ca="1">IFERROR(__xludf.DUMMYFUNCTION("""COMPUTED_VALUE"""),"Brewer, Shaft")</f>
        <v>Brewer, Shaft</v>
      </c>
      <c r="C846">
        <f ca="1">IFERROR(__xludf.DUMMYFUNCTION("""COMPUTED_VALUE"""),28)</f>
        <v>28</v>
      </c>
      <c r="D846" t="str">
        <f ca="1">IFERROR(__xludf.DUMMYFUNCTION("""COMPUTED_VALUE"""),"F")</f>
        <v>F</v>
      </c>
      <c r="E846" t="str">
        <f ca="1">IFERROR(__xludf.DUMMYFUNCTION("""COMPUTED_VALUE"""),"ReserveRES")</f>
        <v>ReserveRES</v>
      </c>
      <c r="F846" t="str">
        <f ca="1">IFERROR(__xludf.DUMMYFUNCTION("""COMPUTED_VALUE"""),"HG")</f>
        <v>HG</v>
      </c>
      <c r="G846" t="str">
        <f ca="1">IFERROR(__xludf.DUMMYFUNCTION("""COMPUTED_VALUE"""),"")</f>
        <v/>
      </c>
    </row>
    <row r="847" spans="1:7" ht="13.2" x14ac:dyDescent="0.25">
      <c r="A847" s="1" t="s">
        <v>34</v>
      </c>
      <c r="B847" t="str">
        <f ca="1">IFERROR(__xludf.DUMMYFUNCTION("""COMPUTED_VALUE"""),"da Silva, Danilo")</f>
        <v>da Silva, Danilo</v>
      </c>
      <c r="C847" t="str">
        <f ca="1">IFERROR(__xludf.DUMMYFUNCTION("""COMPUTED_VALUE"""),"")</f>
        <v/>
      </c>
      <c r="D847" t="str">
        <f ca="1">IFERROR(__xludf.DUMMYFUNCTION("""COMPUTED_VALUE"""),"D")</f>
        <v>D</v>
      </c>
      <c r="E847" t="str">
        <f ca="1">IFERROR(__xludf.DUMMYFUNCTION("""COMPUTED_VALUE"""),"SeniorSR")</f>
        <v>SeniorSR</v>
      </c>
      <c r="F847" t="str">
        <f ca="1">IFERROR(__xludf.DUMMYFUNCTION("""COMPUTED_VALUE"""),"INTL")</f>
        <v>INTL</v>
      </c>
      <c r="G847" t="str">
        <f ca="1">IFERROR(__xludf.DUMMYFUNCTION("""COMPUTED_VALUE"""),"")</f>
        <v/>
      </c>
    </row>
    <row r="848" spans="1:7" ht="13.2" x14ac:dyDescent="0.25">
      <c r="A848" s="1" t="s">
        <v>34</v>
      </c>
      <c r="B848" t="str">
        <f ca="1">IFERROR(__xludf.DUMMYFUNCTION("""COMPUTED_VALUE"""),"Diomande, Adama")</f>
        <v>Diomande, Adama</v>
      </c>
      <c r="C848">
        <f ca="1">IFERROR(__xludf.DUMMYFUNCTION("""COMPUTED_VALUE"""),99)</f>
        <v>99</v>
      </c>
      <c r="D848" t="str">
        <f ca="1">IFERROR(__xludf.DUMMYFUNCTION("""COMPUTED_VALUE"""),"F")</f>
        <v>F</v>
      </c>
      <c r="E848" t="str">
        <f ca="1">IFERROR(__xludf.DUMMYFUNCTION("""COMPUTED_VALUE"""),"SeniorSR")</f>
        <v>SeniorSR</v>
      </c>
      <c r="F848" t="str">
        <f ca="1">IFERROR(__xludf.DUMMYFUNCTION("""COMPUTED_VALUE"""),"INTL")</f>
        <v>INTL</v>
      </c>
      <c r="G848" t="str">
        <f ca="1">IFERROR(__xludf.DUMMYFUNCTION("""COMPUTED_VALUE"""),"")</f>
        <v/>
      </c>
    </row>
    <row r="849" spans="1:7" ht="13.2" x14ac:dyDescent="0.25">
      <c r="A849" s="1" t="s">
        <v>34</v>
      </c>
      <c r="B849" t="str">
        <f ca="1">IFERROR(__xludf.DUMMYFUNCTION("""COMPUTED_VALUE"""),"Feilhaber, Benny")</f>
        <v>Feilhaber, Benny</v>
      </c>
      <c r="C849">
        <f ca="1">IFERROR(__xludf.DUMMYFUNCTION("""COMPUTED_VALUE"""),33)</f>
        <v>33</v>
      </c>
      <c r="D849" t="str">
        <f ca="1">IFERROR(__xludf.DUMMYFUNCTION("""COMPUTED_VALUE"""),"M")</f>
        <v>M</v>
      </c>
      <c r="E849" t="str">
        <f ca="1">IFERROR(__xludf.DUMMYFUNCTION("""COMPUTED_VALUE"""),"SeniorSR")</f>
        <v>SeniorSR</v>
      </c>
      <c r="F849" t="str">
        <f ca="1">IFERROR(__xludf.DUMMYFUNCTION("""COMPUTED_VALUE"""),"")</f>
        <v/>
      </c>
      <c r="G849" t="str">
        <f ca="1">IFERROR(__xludf.DUMMYFUNCTION("""COMPUTED_VALUE"""),"")</f>
        <v/>
      </c>
    </row>
    <row r="850" spans="1:7" ht="13.2" x14ac:dyDescent="0.25">
      <c r="A850" s="1" t="s">
        <v>34</v>
      </c>
      <c r="B850" t="str">
        <f ca="1">IFERROR(__xludf.DUMMYFUNCTION("""COMPUTED_VALUE"""),"Harvey, Jordan")</f>
        <v>Harvey, Jordan</v>
      </c>
      <c r="C850">
        <f ca="1">IFERROR(__xludf.DUMMYFUNCTION("""COMPUTED_VALUE"""),2)</f>
        <v>2</v>
      </c>
      <c r="D850" t="str">
        <f ca="1">IFERROR(__xludf.DUMMYFUNCTION("""COMPUTED_VALUE"""),"D")</f>
        <v>D</v>
      </c>
      <c r="E850" t="str">
        <f ca="1">IFERROR(__xludf.DUMMYFUNCTION("""COMPUTED_VALUE"""),"SeniorSR")</f>
        <v>SeniorSR</v>
      </c>
      <c r="F850" t="str">
        <f ca="1">IFERROR(__xludf.DUMMYFUNCTION("""COMPUTED_VALUE"""),"")</f>
        <v/>
      </c>
      <c r="G850" t="str">
        <f ca="1">IFERROR(__xludf.DUMMYFUNCTION("""COMPUTED_VALUE"""),"")</f>
        <v/>
      </c>
    </row>
    <row r="851" spans="1:7" ht="13.2" x14ac:dyDescent="0.25">
      <c r="A851" s="1" t="s">
        <v>34</v>
      </c>
      <c r="B851" t="str">
        <f ca="1">IFERROR(__xludf.DUMMYFUNCTION("""COMPUTED_VALUE"""),"Horta, Andre")</f>
        <v>Horta, Andre</v>
      </c>
      <c r="C851">
        <f ca="1">IFERROR(__xludf.DUMMYFUNCTION("""COMPUTED_VALUE"""),8)</f>
        <v>8</v>
      </c>
      <c r="D851" t="str">
        <f ca="1">IFERROR(__xludf.DUMMYFUNCTION("""COMPUTED_VALUE"""),"M")</f>
        <v>M</v>
      </c>
      <c r="E851" t="str">
        <f ca="1">IFERROR(__xludf.DUMMYFUNCTION("""COMPUTED_VALUE"""),"SeniorSR")</f>
        <v>SeniorSR</v>
      </c>
      <c r="F851" t="str">
        <f ca="1">IFERROR(__xludf.DUMMYFUNCTION("""COMPUTED_VALUE"""),"DP, INTL")</f>
        <v>DP, INTL</v>
      </c>
      <c r="G851" t="str">
        <f ca="1">IFERROR(__xludf.DUMMYFUNCTION("""COMPUTED_VALUE"""),"")</f>
        <v/>
      </c>
    </row>
    <row r="852" spans="1:7" ht="13.2" x14ac:dyDescent="0.25">
      <c r="A852" s="1" t="s">
        <v>34</v>
      </c>
      <c r="B852" t="str">
        <f ca="1">IFERROR(__xludf.DUMMYFUNCTION("""COMPUTED_VALUE"""),"Jakovic, Dejan")</f>
        <v>Jakovic, Dejan</v>
      </c>
      <c r="C852">
        <f ca="1">IFERROR(__xludf.DUMMYFUNCTION("""COMPUTED_VALUE"""),5)</f>
        <v>5</v>
      </c>
      <c r="D852" t="str">
        <f ca="1">IFERROR(__xludf.DUMMYFUNCTION("""COMPUTED_VALUE"""),"D")</f>
        <v>D</v>
      </c>
      <c r="E852" t="str">
        <f ca="1">IFERROR(__xludf.DUMMYFUNCTION("""COMPUTED_VALUE"""),"SeniorSR")</f>
        <v>SeniorSR</v>
      </c>
      <c r="F852" t="str">
        <f ca="1">IFERROR(__xludf.DUMMYFUNCTION("""COMPUTED_VALUE"""),"")</f>
        <v/>
      </c>
      <c r="G852" t="str">
        <f ca="1">IFERROR(__xludf.DUMMYFUNCTION("""COMPUTED_VALUE"""),"")</f>
        <v/>
      </c>
    </row>
    <row r="853" spans="1:7" ht="13.2" x14ac:dyDescent="0.25">
      <c r="A853" s="1" t="s">
        <v>34</v>
      </c>
      <c r="B853" t="str">
        <f ca="1">IFERROR(__xludf.DUMMYFUNCTION("""COMPUTED_VALUE"""),"Kovar, Aaron")</f>
        <v>Kovar, Aaron</v>
      </c>
      <c r="C853">
        <f ca="1">IFERROR(__xludf.DUMMYFUNCTION("""COMPUTED_VALUE"""),11)</f>
        <v>11</v>
      </c>
      <c r="D853" t="str">
        <f ca="1">IFERROR(__xludf.DUMMYFUNCTION("""COMPUTED_VALUE"""),"M")</f>
        <v>M</v>
      </c>
      <c r="E853" t="str">
        <f ca="1">IFERROR(__xludf.DUMMYFUNCTION("""COMPUTED_VALUE"""),"ReserveRES")</f>
        <v>ReserveRES</v>
      </c>
      <c r="F853" t="str">
        <f ca="1">IFERROR(__xludf.DUMMYFUNCTION("""COMPUTED_VALUE"""),"HG")</f>
        <v>HG</v>
      </c>
      <c r="G853" t="str">
        <f ca="1">IFERROR(__xludf.DUMMYFUNCTION("""COMPUTED_VALUE"""),"")</f>
        <v/>
      </c>
    </row>
    <row r="854" spans="1:7" ht="13.2" x14ac:dyDescent="0.25">
      <c r="A854" s="1" t="s">
        <v>34</v>
      </c>
      <c r="B854" t="str">
        <f ca="1">IFERROR(__xludf.DUMMYFUNCTION("""COMPUTED_VALUE"""),"Lopez, Luis")</f>
        <v>Lopez, Luis</v>
      </c>
      <c r="C854">
        <f ca="1">IFERROR(__xludf.DUMMYFUNCTION("""COMPUTED_VALUE"""),22)</f>
        <v>22</v>
      </c>
      <c r="D854" t="str">
        <f ca="1">IFERROR(__xludf.DUMMYFUNCTION("""COMPUTED_VALUE"""),"GK")</f>
        <v>GK</v>
      </c>
      <c r="E854" t="str">
        <f ca="1">IFERROR(__xludf.DUMMYFUNCTION("""COMPUTED_VALUE"""),"SeniorSR, Disabled ListDL")</f>
        <v>SeniorSR, Disabled ListDL</v>
      </c>
      <c r="F854" t="str">
        <f ca="1">IFERROR(__xludf.DUMMYFUNCTION("""COMPUTED_VALUE"""),"INTL")</f>
        <v>INTL</v>
      </c>
      <c r="G854" t="str">
        <f ca="1">IFERROR(__xludf.DUMMYFUNCTION("""COMPUTED_VALUE"""),"*Disabled ListDL*")</f>
        <v>*Disabled ListDL*</v>
      </c>
    </row>
    <row r="855" spans="1:7" ht="13.2" x14ac:dyDescent="0.25">
      <c r="A855" s="1" t="s">
        <v>34</v>
      </c>
      <c r="B855" t="str">
        <f ca="1">IFERROR(__xludf.DUMMYFUNCTION("""COMPUTED_VALUE"""),"Lyon, Charlie")</f>
        <v>Lyon, Charlie</v>
      </c>
      <c r="C855">
        <f ca="1">IFERROR(__xludf.DUMMYFUNCTION("""COMPUTED_VALUE"""),13)</f>
        <v>13</v>
      </c>
      <c r="D855" t="str">
        <f ca="1">IFERROR(__xludf.DUMMYFUNCTION("""COMPUTED_VALUE"""),"GK")</f>
        <v>GK</v>
      </c>
      <c r="E855" t="str">
        <f ca="1">IFERROR(__xludf.DUMMYFUNCTION("""COMPUTED_VALUE"""),"SeniorSR")</f>
        <v>SeniorSR</v>
      </c>
      <c r="F855" t="str">
        <f ca="1">IFERROR(__xludf.DUMMYFUNCTION("""COMPUTED_VALUE"""),"")</f>
        <v/>
      </c>
      <c r="G855" t="str">
        <f ca="1">IFERROR(__xludf.DUMMYFUNCTION("""COMPUTED_VALUE"""),"")</f>
        <v/>
      </c>
    </row>
    <row r="856" spans="1:7" ht="13.2" x14ac:dyDescent="0.25">
      <c r="A856" s="1" t="s">
        <v>34</v>
      </c>
      <c r="B856" t="str">
        <f ca="1">IFERROR(__xludf.DUMMYFUNCTION("""COMPUTED_VALUE"""),"Mallace, Calum")</f>
        <v>Mallace, Calum</v>
      </c>
      <c r="C856">
        <f ca="1">IFERROR(__xludf.DUMMYFUNCTION("""COMPUTED_VALUE"""),16)</f>
        <v>16</v>
      </c>
      <c r="D856" t="str">
        <f ca="1">IFERROR(__xludf.DUMMYFUNCTION("""COMPUTED_VALUE"""),"M")</f>
        <v>M</v>
      </c>
      <c r="E856" t="str">
        <f ca="1">IFERROR(__xludf.DUMMYFUNCTION("""COMPUTED_VALUE"""),"SeniorSR")</f>
        <v>SeniorSR</v>
      </c>
      <c r="F856" t="str">
        <f ca="1">IFERROR(__xludf.DUMMYFUNCTION("""COMPUTED_VALUE"""),"")</f>
        <v/>
      </c>
      <c r="G856" t="str">
        <f ca="1">IFERROR(__xludf.DUMMYFUNCTION("""COMPUTED_VALUE"""),"")</f>
        <v/>
      </c>
    </row>
    <row r="857" spans="1:7" ht="13.2" x14ac:dyDescent="0.25">
      <c r="A857" s="1" t="s">
        <v>34</v>
      </c>
      <c r="B857" t="str">
        <f ca="1">IFERROR(__xludf.DUMMYFUNCTION("""COMPUTED_VALUE"""),"Miller, Tyler")</f>
        <v>Miller, Tyler</v>
      </c>
      <c r="C857">
        <f ca="1">IFERROR(__xludf.DUMMYFUNCTION("""COMPUTED_VALUE"""),1)</f>
        <v>1</v>
      </c>
      <c r="D857" t="str">
        <f ca="1">IFERROR(__xludf.DUMMYFUNCTION("""COMPUTED_VALUE"""),"GK")</f>
        <v>GK</v>
      </c>
      <c r="E857" t="str">
        <f ca="1">IFERROR(__xludf.DUMMYFUNCTION("""COMPUTED_VALUE"""),"SeniorSR")</f>
        <v>SeniorSR</v>
      </c>
      <c r="F857" t="str">
        <f ca="1">IFERROR(__xludf.DUMMYFUNCTION("""COMPUTED_VALUE"""),"")</f>
        <v/>
      </c>
      <c r="G857" t="str">
        <f ca="1">IFERROR(__xludf.DUMMYFUNCTION("""COMPUTED_VALUE"""),"")</f>
        <v/>
      </c>
    </row>
    <row r="858" spans="1:7" ht="13.2" x14ac:dyDescent="0.25">
      <c r="A858" s="1" t="s">
        <v>34</v>
      </c>
      <c r="B858" t="str">
        <f ca="1">IFERROR(__xludf.DUMMYFUNCTION("""COMPUTED_VALUE"""),"Moutinho, Joao")</f>
        <v>Moutinho, Joao</v>
      </c>
      <c r="C858">
        <f ca="1">IFERROR(__xludf.DUMMYFUNCTION("""COMPUTED_VALUE"""),44)</f>
        <v>44</v>
      </c>
      <c r="D858" t="str">
        <f ca="1">IFERROR(__xludf.DUMMYFUNCTION("""COMPUTED_VALUE"""),"D")</f>
        <v>D</v>
      </c>
      <c r="E858" t="str">
        <f ca="1">IFERROR(__xludf.DUMMYFUNCTION("""COMPUTED_VALUE"""),"SupplementalSUP")</f>
        <v>SupplementalSUP</v>
      </c>
      <c r="F858" t="str">
        <f ca="1">IFERROR(__xludf.DUMMYFUNCTION("""COMPUTED_VALUE"""),"INTL")</f>
        <v>INTL</v>
      </c>
      <c r="G858" t="str">
        <f ca="1">IFERROR(__xludf.DUMMYFUNCTION("""COMPUTED_VALUE"""),"")</f>
        <v/>
      </c>
    </row>
    <row r="859" spans="1:7" ht="13.2" x14ac:dyDescent="0.25">
      <c r="A859" s="1" t="s">
        <v>34</v>
      </c>
      <c r="B859" t="str">
        <f ca="1">IFERROR(__xludf.DUMMYFUNCTION("""COMPUTED_VALUE"""),"Murphy, James")</f>
        <v>Murphy, James</v>
      </c>
      <c r="C859">
        <f ca="1">IFERROR(__xludf.DUMMYFUNCTION("""COMPUTED_VALUE"""),20)</f>
        <v>20</v>
      </c>
      <c r="D859" t="str">
        <f ca="1">IFERROR(__xludf.DUMMYFUNCTION("""COMPUTED_VALUE"""),"M")</f>
        <v>M</v>
      </c>
      <c r="E859" t="str">
        <f ca="1">IFERROR(__xludf.DUMMYFUNCTION("""COMPUTED_VALUE"""),"SupplementalSUP")</f>
        <v>SupplementalSUP</v>
      </c>
      <c r="F859" t="str">
        <f ca="1">IFERROR(__xludf.DUMMYFUNCTION("""COMPUTED_VALUE"""),"")</f>
        <v/>
      </c>
      <c r="G859" t="str">
        <f ca="1">IFERROR(__xludf.DUMMYFUNCTION("""COMPUTED_VALUE"""),"")</f>
        <v/>
      </c>
    </row>
    <row r="860" spans="1:7" ht="13.2" x14ac:dyDescent="0.25">
      <c r="A860" s="1" t="s">
        <v>34</v>
      </c>
      <c r="B860" t="str">
        <f ca="1">IFERROR(__xludf.DUMMYFUNCTION("""COMPUTED_VALUE"""),"Nguyen, Lee")</f>
        <v>Nguyen, Lee</v>
      </c>
      <c r="C860">
        <f ca="1">IFERROR(__xludf.DUMMYFUNCTION("""COMPUTED_VALUE"""),24)</f>
        <v>24</v>
      </c>
      <c r="D860" t="str">
        <f ca="1">IFERROR(__xludf.DUMMYFUNCTION("""COMPUTED_VALUE"""),"M")</f>
        <v>M</v>
      </c>
      <c r="E860" t="str">
        <f ca="1">IFERROR(__xludf.DUMMYFUNCTION("""COMPUTED_VALUE"""),"SeniorSR")</f>
        <v>SeniorSR</v>
      </c>
      <c r="F860" t="str">
        <f ca="1">IFERROR(__xludf.DUMMYFUNCTION("""COMPUTED_VALUE"""),"")</f>
        <v/>
      </c>
      <c r="G860" t="str">
        <f ca="1">IFERROR(__xludf.DUMMYFUNCTION("""COMPUTED_VALUE"""),"")</f>
        <v/>
      </c>
    </row>
    <row r="861" spans="1:7" ht="13.2" x14ac:dyDescent="0.25">
      <c r="A861" s="1" t="s">
        <v>34</v>
      </c>
      <c r="B861" t="str">
        <f ca="1">IFERROR(__xludf.DUMMYFUNCTION("""COMPUTED_VALUE"""),"Pérez, Josh")</f>
        <v>Pérez, Josh</v>
      </c>
      <c r="C861" t="str">
        <f ca="1">IFERROR(__xludf.DUMMYFUNCTION("""COMPUTED_VALUE"""),"")</f>
        <v/>
      </c>
      <c r="D861" t="str">
        <f ca="1">IFERROR(__xludf.DUMMYFUNCTION("""COMPUTED_VALUE"""),"F")</f>
        <v>F</v>
      </c>
      <c r="E861" t="str">
        <f ca="1">IFERROR(__xludf.DUMMYFUNCTION("""COMPUTED_VALUE"""),"ReserveRES")</f>
        <v>ReserveRES</v>
      </c>
      <c r="F861" t="str">
        <f ca="1">IFERROR(__xludf.DUMMYFUNCTION("""COMPUTED_VALUE"""),"")</f>
        <v/>
      </c>
      <c r="G861" t="str">
        <f ca="1">IFERROR(__xludf.DUMMYFUNCTION("""COMPUTED_VALUE"""),"")</f>
        <v/>
      </c>
    </row>
    <row r="862" spans="1:7" ht="13.2" x14ac:dyDescent="0.25">
      <c r="A862" s="1" t="s">
        <v>34</v>
      </c>
      <c r="B862" t="str">
        <f ca="1">IFERROR(__xludf.DUMMYFUNCTION("""COMPUTED_VALUE"""),"Ramirez, Christian")</f>
        <v>Ramirez, Christian</v>
      </c>
      <c r="C862">
        <f ca="1">IFERROR(__xludf.DUMMYFUNCTION("""COMPUTED_VALUE"""),21)</f>
        <v>21</v>
      </c>
      <c r="D862" t="str">
        <f ca="1">IFERROR(__xludf.DUMMYFUNCTION("""COMPUTED_VALUE"""),"F")</f>
        <v>F</v>
      </c>
      <c r="E862" t="str">
        <f ca="1">IFERROR(__xludf.DUMMYFUNCTION("""COMPUTED_VALUE"""),"SeniorSR")</f>
        <v>SeniorSR</v>
      </c>
      <c r="F862" t="str">
        <f ca="1">IFERROR(__xludf.DUMMYFUNCTION("""COMPUTED_VALUE"""),"")</f>
        <v/>
      </c>
      <c r="G862" t="str">
        <f ca="1">IFERROR(__xludf.DUMMYFUNCTION("""COMPUTED_VALUE"""),"")</f>
        <v/>
      </c>
    </row>
    <row r="863" spans="1:7" ht="13.2" x14ac:dyDescent="0.25">
      <c r="A863" s="1" t="s">
        <v>34</v>
      </c>
      <c r="B863" t="str">
        <f ca="1">IFERROR(__xludf.DUMMYFUNCTION("""COMPUTED_VALUE"""),"Roberts, Quillan")</f>
        <v>Roberts, Quillan</v>
      </c>
      <c r="C863">
        <f ca="1">IFERROR(__xludf.DUMMYFUNCTION("""COMPUTED_VALUE"""),18)</f>
        <v>18</v>
      </c>
      <c r="D863" t="str">
        <f ca="1">IFERROR(__xludf.DUMMYFUNCTION("""COMPUTED_VALUE"""),"GK")</f>
        <v>GK</v>
      </c>
      <c r="E863" t="str">
        <f ca="1">IFERROR(__xludf.DUMMYFUNCTION("""COMPUTED_VALUE"""),"SupplementalSUP")</f>
        <v>SupplementalSUP</v>
      </c>
      <c r="F863" t="str">
        <f ca="1">IFERROR(__xludf.DUMMYFUNCTION("""COMPUTED_VALUE"""),"")</f>
        <v/>
      </c>
      <c r="G863" t="str">
        <f ca="1">IFERROR(__xludf.DUMMYFUNCTION("""COMPUTED_VALUE"""),"")</f>
        <v/>
      </c>
    </row>
    <row r="864" spans="1:7" ht="13.2" x14ac:dyDescent="0.25">
      <c r="A864" s="1" t="s">
        <v>34</v>
      </c>
      <c r="B864" t="str">
        <f ca="1">IFERROR(__xludf.DUMMYFUNCTION("""COMPUTED_VALUE"""),"Rossi, Diego")</f>
        <v>Rossi, Diego</v>
      </c>
      <c r="C864">
        <f ca="1">IFERROR(__xludf.DUMMYFUNCTION("""COMPUTED_VALUE"""),9)</f>
        <v>9</v>
      </c>
      <c r="D864" t="str">
        <f ca="1">IFERROR(__xludf.DUMMYFUNCTION("""COMPUTED_VALUE"""),"F")</f>
        <v>F</v>
      </c>
      <c r="E864" t="str">
        <f ca="1">IFERROR(__xludf.DUMMYFUNCTION("""COMPUTED_VALUE"""),"SeniorSR")</f>
        <v>SeniorSR</v>
      </c>
      <c r="F864" t="str">
        <f ca="1">IFERROR(__xludf.DUMMYFUNCTION("""COMPUTED_VALUE"""),"DP, INTL")</f>
        <v>DP, INTL</v>
      </c>
      <c r="G864" t="str">
        <f ca="1">IFERROR(__xludf.DUMMYFUNCTION("""COMPUTED_VALUE"""),"")</f>
        <v/>
      </c>
    </row>
    <row r="865" spans="1:7" ht="13.2" x14ac:dyDescent="0.25">
      <c r="A865" s="1" t="s">
        <v>34</v>
      </c>
      <c r="B865" t="str">
        <f ca="1">IFERROR(__xludf.DUMMYFUNCTION("""COMPUTED_VALUE"""),"Saint-Duc, Steeve")</f>
        <v>Saint-Duc, Steeve</v>
      </c>
      <c r="C865" t="str">
        <f ca="1">IFERROR(__xludf.DUMMYFUNCTION("""COMPUTED_VALUE"""),"")</f>
        <v/>
      </c>
      <c r="D865" t="str">
        <f ca="1">IFERROR(__xludf.DUMMYFUNCTION("""COMPUTED_VALUE"""),"F")</f>
        <v>F</v>
      </c>
      <c r="E865" t="str">
        <f ca="1">IFERROR(__xludf.DUMMYFUNCTION("""COMPUTED_VALUE"""),"ReserveRES, On loanOL")</f>
        <v>ReserveRES, On loanOL</v>
      </c>
      <c r="F865" t="str">
        <f ca="1">IFERROR(__xludf.DUMMYFUNCTION("""COMPUTED_VALUE"""),"INTL")</f>
        <v>INTL</v>
      </c>
      <c r="G865" t="str">
        <f ca="1">IFERROR(__xludf.DUMMYFUNCTION("""COMPUTED_VALUE"""),"*On loanOL*")</f>
        <v>*On loanOL*</v>
      </c>
    </row>
    <row r="866" spans="1:7" ht="13.2" x14ac:dyDescent="0.25">
      <c r="A866" s="1" t="s">
        <v>34</v>
      </c>
      <c r="B866" t="str">
        <f ca="1">IFERROR(__xludf.DUMMYFUNCTION("""COMPUTED_VALUE"""),"Urena, Marco")</f>
        <v>Urena, Marco</v>
      </c>
      <c r="C866">
        <f ca="1">IFERROR(__xludf.DUMMYFUNCTION("""COMPUTED_VALUE"""),21)</f>
        <v>21</v>
      </c>
      <c r="D866" t="str">
        <f ca="1">IFERROR(__xludf.DUMMYFUNCTION("""COMPUTED_VALUE"""),"F")</f>
        <v>F</v>
      </c>
      <c r="E866" t="str">
        <f ca="1">IFERROR(__xludf.DUMMYFUNCTION("""COMPUTED_VALUE"""),"SeniorSR")</f>
        <v>SeniorSR</v>
      </c>
      <c r="F866" t="str">
        <f ca="1">IFERROR(__xludf.DUMMYFUNCTION("""COMPUTED_VALUE"""),"INTL")</f>
        <v>INTL</v>
      </c>
      <c r="G866" t="str">
        <f ca="1">IFERROR(__xludf.DUMMYFUNCTION("""COMPUTED_VALUE"""),"")</f>
        <v/>
      </c>
    </row>
    <row r="867" spans="1:7" ht="13.2" x14ac:dyDescent="0.25">
      <c r="A867" s="1" t="s">
        <v>34</v>
      </c>
      <c r="B867" t="str">
        <f ca="1">IFERROR(__xludf.DUMMYFUNCTION("""COMPUTED_VALUE"""),"Vela, Carlos")</f>
        <v>Vela, Carlos</v>
      </c>
      <c r="C867">
        <f ca="1">IFERROR(__xludf.DUMMYFUNCTION("""COMPUTED_VALUE"""),10)</f>
        <v>10</v>
      </c>
      <c r="D867" t="str">
        <f ca="1">IFERROR(__xludf.DUMMYFUNCTION("""COMPUTED_VALUE"""),"F")</f>
        <v>F</v>
      </c>
      <c r="E867" t="str">
        <f ca="1">IFERROR(__xludf.DUMMYFUNCTION("""COMPUTED_VALUE"""),"SeniorSR")</f>
        <v>SeniorSR</v>
      </c>
      <c r="F867" t="str">
        <f ca="1">IFERROR(__xludf.DUMMYFUNCTION("""COMPUTED_VALUE"""),"DP, INTL")</f>
        <v>DP, INTL</v>
      </c>
      <c r="G867" t="str">
        <f ca="1">IFERROR(__xludf.DUMMYFUNCTION("""COMPUTED_VALUE"""),"")</f>
        <v/>
      </c>
    </row>
    <row r="868" spans="1:7" ht="13.2" x14ac:dyDescent="0.25">
      <c r="A868" s="1" t="s">
        <v>34</v>
      </c>
      <c r="B868" t="str">
        <f ca="1">IFERROR(__xludf.DUMMYFUNCTION("""COMPUTED_VALUE"""),"Zimmerman, Walker")</f>
        <v>Zimmerman, Walker</v>
      </c>
      <c r="C868">
        <f ca="1">IFERROR(__xludf.DUMMYFUNCTION("""COMPUTED_VALUE"""),25)</f>
        <v>25</v>
      </c>
      <c r="D868" t="str">
        <f ca="1">IFERROR(__xludf.DUMMYFUNCTION("""COMPUTED_VALUE"""),"D")</f>
        <v>D</v>
      </c>
      <c r="E868" t="str">
        <f ca="1">IFERROR(__xludf.DUMMYFUNCTION("""COMPUTED_VALUE"""),"SeniorSR")</f>
        <v>SeniorSR</v>
      </c>
      <c r="F868" t="str">
        <f ca="1">IFERROR(__xludf.DUMMYFUNCTION("""COMPUTED_VALUE"""),"")</f>
        <v/>
      </c>
      <c r="G868" t="str">
        <f ca="1">IFERROR(__xludf.DUMMYFUNCTION("""COMPUTED_VALUE"""),"")</f>
        <v/>
      </c>
    </row>
    <row r="869" spans="1:7" ht="13.2" x14ac:dyDescent="0.25">
      <c r="A869" s="1" t="s">
        <v>34</v>
      </c>
      <c r="B869" t="str">
        <f ca="1">IFERROR(__xludf.DUMMYFUNCTION("""COMPUTED_VALUE"""),"")</f>
        <v/>
      </c>
      <c r="C869" t="str">
        <f ca="1">IFERROR(__xludf.DUMMYFUNCTION("""COMPUTED_VALUE"""),"")</f>
        <v/>
      </c>
      <c r="D869" t="str">
        <f ca="1">IFERROR(__xludf.DUMMYFUNCTION("""COMPUTED_VALUE"""),"")</f>
        <v/>
      </c>
      <c r="E869" t="str">
        <f ca="1">IFERROR(__xludf.DUMMYFUNCTION("""COMPUTED_VALUE"""),"")</f>
        <v/>
      </c>
      <c r="F869" t="str">
        <f ca="1">IFERROR(__xludf.DUMMYFUNCTION("""COMPUTED_VALUE"""),"")</f>
        <v/>
      </c>
      <c r="G869" t="str">
        <f ca="1">IFERROR(__xludf.DUMMYFUNCTION("""COMPUTED_VALUE"""),"")</f>
        <v/>
      </c>
    </row>
    <row r="870" spans="1:7" ht="13.2" x14ac:dyDescent="0.25">
      <c r="A870" s="1" t="s">
        <v>34</v>
      </c>
      <c r="B870" t="str">
        <f ca="1">IFERROR(__xludf.DUMMYFUNCTION("""COMPUTED_VALUE"""),"")</f>
        <v/>
      </c>
      <c r="C870" t="str">
        <f ca="1">IFERROR(__xludf.DUMMYFUNCTION("""COMPUTED_VALUE"""),"")</f>
        <v/>
      </c>
      <c r="D870" t="str">
        <f ca="1">IFERROR(__xludf.DUMMYFUNCTION("""COMPUTED_VALUE"""),"")</f>
        <v/>
      </c>
      <c r="E870" t="str">
        <f ca="1">IFERROR(__xludf.DUMMYFUNCTION("""COMPUTED_VALUE"""),"")</f>
        <v/>
      </c>
      <c r="F870" t="str">
        <f ca="1">IFERROR(__xludf.DUMMYFUNCTION("""COMPUTED_VALUE"""),"")</f>
        <v/>
      </c>
      <c r="G870" t="str">
        <f ca="1">IFERROR(__xludf.DUMMYFUNCTION("""COMPUTED_VALUE"""),"")</f>
        <v/>
      </c>
    </row>
    <row r="871" spans="1:7" ht="13.2" x14ac:dyDescent="0.25">
      <c r="A871" s="1" t="s">
        <v>34</v>
      </c>
      <c r="B871" t="str">
        <f ca="1">IFERROR(__xludf.DUMMYFUNCTION("""COMPUTED_VALUE"""),"")</f>
        <v/>
      </c>
      <c r="C871" t="str">
        <f ca="1">IFERROR(__xludf.DUMMYFUNCTION("""COMPUTED_VALUE"""),"")</f>
        <v/>
      </c>
      <c r="D871" t="str">
        <f ca="1">IFERROR(__xludf.DUMMYFUNCTION("""COMPUTED_VALUE"""),"")</f>
        <v/>
      </c>
      <c r="E871" t="str">
        <f ca="1">IFERROR(__xludf.DUMMYFUNCTION("""COMPUTED_VALUE"""),"")</f>
        <v/>
      </c>
      <c r="F871" t="str">
        <f ca="1">IFERROR(__xludf.DUMMYFUNCTION("""COMPUTED_VALUE"""),"")</f>
        <v/>
      </c>
      <c r="G871" t="str">
        <f ca="1">IFERROR(__xludf.DUMMYFUNCTION("""COMPUTED_VALUE"""),"")</f>
        <v/>
      </c>
    </row>
    <row r="872" spans="1:7" ht="13.2" x14ac:dyDescent="0.25">
      <c r="A872" s="1" t="s">
        <v>34</v>
      </c>
      <c r="B872" t="str">
        <f ca="1">IFERROR(__xludf.DUMMYFUNCTION("""COMPUTED_VALUE"""),"27 of 30 spots filled")</f>
        <v>27 of 30 spots filled</v>
      </c>
      <c r="C872" t="str">
        <f ca="1">IFERROR(__xludf.DUMMYFUNCTION("""COMPUTED_VALUE"""),"")</f>
        <v/>
      </c>
      <c r="D872" t="str">
        <f ca="1">IFERROR(__xludf.DUMMYFUNCTION("""COMPUTED_VALUE"""),"")</f>
        <v/>
      </c>
      <c r="E872" t="str">
        <f ca="1">IFERROR(__xludf.DUMMYFUNCTION("""COMPUTED_VALUE"""),"")</f>
        <v/>
      </c>
      <c r="F872" t="str">
        <f ca="1">IFERROR(__xludf.DUMMYFUNCTION("""COMPUTED_VALUE"""),"")</f>
        <v/>
      </c>
      <c r="G872" t="str">
        <f ca="1">IFERROR(__xludf.DUMMYFUNCTION("""COMPUTED_VALUE"""),"")</f>
        <v/>
      </c>
    </row>
    <row r="873" spans="1:7" ht="13.2" x14ac:dyDescent="0.25">
      <c r="A873" s="1" t="s">
        <v>34</v>
      </c>
      <c r="B873" t="str">
        <f ca="1">IFERROR(__xludf.DUMMYFUNCTION("""COMPUTED_VALUE"""),"*Players that do not count against the 30-man active roster*")</f>
        <v>*Players that do not count against the 30-man active roster*</v>
      </c>
      <c r="C873" t="str">
        <f ca="1">IFERROR(__xludf.DUMMYFUNCTION("""COMPUTED_VALUE"""),"")</f>
        <v/>
      </c>
      <c r="D873" t="str">
        <f ca="1">IFERROR(__xludf.DUMMYFUNCTION("""COMPUTED_VALUE"""),"")</f>
        <v/>
      </c>
      <c r="E873" t="str">
        <f ca="1">IFERROR(__xludf.DUMMYFUNCTION("""COMPUTED_VALUE"""),"")</f>
        <v/>
      </c>
      <c r="F873" t="str">
        <f ca="1">IFERROR(__xludf.DUMMYFUNCTION("""COMPUTED_VALUE"""),"")</f>
        <v/>
      </c>
      <c r="G873" t="str">
        <f ca="1">IFERROR(__xludf.DUMMYFUNCTION("""COMPUTED_VALUE"""),"")</f>
        <v/>
      </c>
    </row>
    <row r="874" spans="1:7" ht="13.2" x14ac:dyDescent="0.25">
      <c r="A874" s="1" t="s">
        <v>34</v>
      </c>
      <c r="B874" t="str">
        <f ca="1">IFERROR(__xludf.DUMMYFUNCTION("""COMPUTED_VALUE"""),"Kaye, Mark-Anthony")</f>
        <v>Kaye, Mark-Anthony</v>
      </c>
      <c r="C874">
        <f ca="1">IFERROR(__xludf.DUMMYFUNCTION("""COMPUTED_VALUE"""),17)</f>
        <v>17</v>
      </c>
      <c r="D874" t="str">
        <f ca="1">IFERROR(__xludf.DUMMYFUNCTION("""COMPUTED_VALUE"""),"M")</f>
        <v>M</v>
      </c>
      <c r="E874" t="str">
        <f ca="1">IFERROR(__xludf.DUMMYFUNCTION("""COMPUTED_VALUE"""),"SeniorSR, Season-Ending InjurySEI")</f>
        <v>SeniorSR, Season-Ending InjurySEI</v>
      </c>
      <c r="F874" t="str">
        <f ca="1">IFERROR(__xludf.DUMMYFUNCTION("""COMPUTED_VALUE"""),"*Season-Ending InjurySEI*")</f>
        <v>*Season-Ending InjurySEI*</v>
      </c>
      <c r="G874" t="str">
        <f ca="1">IFERROR(__xludf.DUMMYFUNCTION("""COMPUTED_VALUE"""),"")</f>
        <v/>
      </c>
    </row>
    <row r="875" spans="1:7" ht="13.2" x14ac:dyDescent="0.25">
      <c r="A875" s="1" t="s">
        <v>34</v>
      </c>
      <c r="B875" t="str">
        <f ca="1">IFERROR(__xludf.DUMMYFUNCTION("""COMPUTED_VALUE"""),"Czornomaz, Nico")</f>
        <v>Czornomaz, Nico</v>
      </c>
      <c r="C875" t="str">
        <f ca="1">IFERROR(__xludf.DUMMYFUNCTION("""COMPUTED_VALUE"""),"")</f>
        <v/>
      </c>
      <c r="D875" t="str">
        <f ca="1">IFERROR(__xludf.DUMMYFUNCTION("""COMPUTED_VALUE"""),"")</f>
        <v/>
      </c>
      <c r="E875" t="str">
        <f ca="1">IFERROR(__xludf.DUMMYFUNCTION("""COMPUTED_VALUE"""),"On loanOL")</f>
        <v>On loanOL</v>
      </c>
      <c r="F875" t="str">
        <f ca="1">IFERROR(__xludf.DUMMYFUNCTION("""COMPUTED_VALUE"""),"*Loaned to: USLOL: USL*")</f>
        <v>*Loaned to: USLOL: USL*</v>
      </c>
      <c r="G875" t="str">
        <f ca="1">IFERROR(__xludf.DUMMYFUNCTION("""COMPUTED_VALUE"""),"")</f>
        <v/>
      </c>
    </row>
    <row r="876" spans="1:7" ht="13.2" x14ac:dyDescent="0.25">
      <c r="A876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20"/>
  <sheetViews>
    <sheetView tabSelected="1" workbookViewId="0">
      <selection activeCell="B37" sqref="B37"/>
    </sheetView>
  </sheetViews>
  <sheetFormatPr defaultColWidth="14.44140625" defaultRowHeight="15.75" customHeight="1" x14ac:dyDescent="0.25"/>
  <cols>
    <col min="1" max="1" width="18.44140625" customWidth="1"/>
    <col min="2" max="2" width="24" customWidth="1"/>
    <col min="3" max="3" width="5.88671875" customWidth="1"/>
    <col min="4" max="4" width="7.33203125" customWidth="1"/>
    <col min="5" max="5" width="24.5546875" customWidth="1"/>
    <col min="6" max="6" width="21.33203125" customWidth="1"/>
  </cols>
  <sheetData>
    <row r="1" spans="1:7" ht="15.75" customHeight="1" x14ac:dyDescent="0.25">
      <c r="A1" s="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ht="15.75" customHeight="1" x14ac:dyDescent="0.25">
      <c r="A2" s="1" t="s">
        <v>11</v>
      </c>
      <c r="B2" t="s">
        <v>35</v>
      </c>
      <c r="C2">
        <v>10</v>
      </c>
      <c r="D2" t="s">
        <v>36</v>
      </c>
      <c r="E2" t="s">
        <v>37</v>
      </c>
      <c r="F2" t="s">
        <v>38</v>
      </c>
      <c r="G2" t="s">
        <v>39</v>
      </c>
    </row>
    <row r="3" spans="1:7" ht="15.75" customHeight="1" x14ac:dyDescent="0.25">
      <c r="A3" s="1" t="s">
        <v>11</v>
      </c>
      <c r="B3" t="s">
        <v>40</v>
      </c>
      <c r="C3">
        <v>22</v>
      </c>
      <c r="D3" t="s">
        <v>41</v>
      </c>
      <c r="E3" t="s">
        <v>42</v>
      </c>
      <c r="F3" t="s">
        <v>39</v>
      </c>
      <c r="G3" t="s">
        <v>39</v>
      </c>
    </row>
    <row r="4" spans="1:7" ht="15.75" customHeight="1" x14ac:dyDescent="0.25">
      <c r="A4" s="1" t="s">
        <v>11</v>
      </c>
      <c r="B4" t="s">
        <v>43</v>
      </c>
      <c r="C4">
        <v>8</v>
      </c>
      <c r="D4" t="s">
        <v>36</v>
      </c>
      <c r="E4" t="s">
        <v>37</v>
      </c>
      <c r="F4" t="s">
        <v>44</v>
      </c>
      <c r="G4" t="s">
        <v>39</v>
      </c>
    </row>
    <row r="5" spans="1:7" ht="15.75" customHeight="1" x14ac:dyDescent="0.25">
      <c r="A5" s="1" t="s">
        <v>11</v>
      </c>
      <c r="B5" t="s">
        <v>45</v>
      </c>
      <c r="C5">
        <v>21</v>
      </c>
      <c r="D5" t="s">
        <v>41</v>
      </c>
      <c r="E5" t="s">
        <v>46</v>
      </c>
      <c r="F5" t="s">
        <v>47</v>
      </c>
      <c r="G5" t="s">
        <v>39</v>
      </c>
    </row>
    <row r="6" spans="1:7" ht="15.75" customHeight="1" x14ac:dyDescent="0.25">
      <c r="A6" s="1" t="s">
        <v>11</v>
      </c>
      <c r="B6" t="s">
        <v>48</v>
      </c>
      <c r="C6">
        <v>30</v>
      </c>
      <c r="D6" t="s">
        <v>36</v>
      </c>
      <c r="E6" t="s">
        <v>46</v>
      </c>
      <c r="F6" t="s">
        <v>47</v>
      </c>
      <c r="G6" t="s">
        <v>39</v>
      </c>
    </row>
    <row r="7" spans="1:7" ht="15.75" customHeight="1" x14ac:dyDescent="0.25">
      <c r="A7" s="1" t="s">
        <v>11</v>
      </c>
      <c r="B7" t="s">
        <v>49</v>
      </c>
      <c r="C7">
        <v>2</v>
      </c>
      <c r="D7" t="s">
        <v>41</v>
      </c>
      <c r="E7" t="s">
        <v>37</v>
      </c>
      <c r="F7" t="s">
        <v>50</v>
      </c>
      <c r="G7" t="s">
        <v>39</v>
      </c>
    </row>
    <row r="8" spans="1:7" ht="15.75" customHeight="1" x14ac:dyDescent="0.25">
      <c r="A8" s="1" t="s">
        <v>11</v>
      </c>
      <c r="B8" t="s">
        <v>51</v>
      </c>
      <c r="C8">
        <v>4</v>
      </c>
      <c r="D8" t="s">
        <v>41</v>
      </c>
      <c r="E8" t="s">
        <v>37</v>
      </c>
      <c r="F8" t="s">
        <v>39</v>
      </c>
      <c r="G8" t="s">
        <v>39</v>
      </c>
    </row>
    <row r="9" spans="1:7" ht="15.75" customHeight="1" x14ac:dyDescent="0.25">
      <c r="A9" s="1" t="s">
        <v>11</v>
      </c>
      <c r="B9" t="s">
        <v>52</v>
      </c>
      <c r="C9">
        <v>5</v>
      </c>
      <c r="D9" t="s">
        <v>41</v>
      </c>
      <c r="E9" t="s">
        <v>37</v>
      </c>
      <c r="F9" t="s">
        <v>50</v>
      </c>
      <c r="G9" t="s">
        <v>39</v>
      </c>
    </row>
    <row r="10" spans="1:7" ht="15.75" customHeight="1" x14ac:dyDescent="0.25">
      <c r="A10" s="1" t="s">
        <v>11</v>
      </c>
      <c r="B10" t="s">
        <v>53</v>
      </c>
      <c r="C10">
        <v>20</v>
      </c>
      <c r="D10" t="s">
        <v>36</v>
      </c>
      <c r="E10" t="s">
        <v>46</v>
      </c>
      <c r="F10" t="s">
        <v>47</v>
      </c>
      <c r="G10" t="s">
        <v>39</v>
      </c>
    </row>
    <row r="11" spans="1:7" ht="15.75" customHeight="1" x14ac:dyDescent="0.25">
      <c r="A11" s="1" t="s">
        <v>11</v>
      </c>
      <c r="B11" t="s">
        <v>54</v>
      </c>
      <c r="C11">
        <v>24</v>
      </c>
      <c r="D11" t="s">
        <v>36</v>
      </c>
      <c r="E11" t="s">
        <v>37</v>
      </c>
      <c r="F11" t="s">
        <v>50</v>
      </c>
      <c r="G11" t="s">
        <v>39</v>
      </c>
    </row>
    <row r="12" spans="1:7" ht="15.75" customHeight="1" x14ac:dyDescent="0.25">
      <c r="A12" s="1" t="s">
        <v>11</v>
      </c>
      <c r="B12" t="s">
        <v>55</v>
      </c>
      <c r="C12">
        <v>1</v>
      </c>
      <c r="D12" t="s">
        <v>56</v>
      </c>
      <c r="E12" t="s">
        <v>37</v>
      </c>
      <c r="F12" t="s">
        <v>39</v>
      </c>
      <c r="G12" t="s">
        <v>39</v>
      </c>
    </row>
    <row r="13" spans="1:7" ht="15.75" customHeight="1" x14ac:dyDescent="0.25">
      <c r="A13" s="1" t="s">
        <v>11</v>
      </c>
      <c r="B13" t="s">
        <v>57</v>
      </c>
      <c r="C13">
        <v>13</v>
      </c>
      <c r="D13" t="s">
        <v>41</v>
      </c>
      <c r="E13" t="s">
        <v>37</v>
      </c>
      <c r="F13" t="s">
        <v>50</v>
      </c>
      <c r="G13" t="s">
        <v>39</v>
      </c>
    </row>
    <row r="14" spans="1:7" ht="15.75" customHeight="1" x14ac:dyDescent="0.25">
      <c r="A14" s="1" t="s">
        <v>11</v>
      </c>
      <c r="B14" t="s">
        <v>58</v>
      </c>
      <c r="C14">
        <v>27</v>
      </c>
      <c r="D14" t="s">
        <v>56</v>
      </c>
      <c r="E14" t="s">
        <v>42</v>
      </c>
      <c r="F14" t="s">
        <v>39</v>
      </c>
      <c r="G14" t="s">
        <v>39</v>
      </c>
    </row>
    <row r="15" spans="1:7" ht="15.75" customHeight="1" x14ac:dyDescent="0.25">
      <c r="A15" s="1" t="s">
        <v>11</v>
      </c>
      <c r="B15" t="s">
        <v>59</v>
      </c>
      <c r="C15">
        <v>25</v>
      </c>
      <c r="D15" t="s">
        <v>56</v>
      </c>
      <c r="E15" t="s">
        <v>37</v>
      </c>
      <c r="F15" t="s">
        <v>39</v>
      </c>
      <c r="G15" t="s">
        <v>39</v>
      </c>
    </row>
    <row r="16" spans="1:7" ht="15.75" customHeight="1" x14ac:dyDescent="0.25">
      <c r="A16" s="1" t="s">
        <v>11</v>
      </c>
      <c r="B16" t="s">
        <v>60</v>
      </c>
      <c r="C16">
        <v>32</v>
      </c>
      <c r="D16" t="s">
        <v>36</v>
      </c>
      <c r="E16" t="s">
        <v>37</v>
      </c>
      <c r="F16" t="s">
        <v>39</v>
      </c>
      <c r="G16" t="s">
        <v>39</v>
      </c>
    </row>
    <row r="17" spans="1:7" ht="15.75" customHeight="1" x14ac:dyDescent="0.25">
      <c r="A17" s="1" t="s">
        <v>11</v>
      </c>
      <c r="B17" t="s">
        <v>61</v>
      </c>
      <c r="C17">
        <v>23</v>
      </c>
      <c r="D17" t="s">
        <v>62</v>
      </c>
      <c r="E17" t="s">
        <v>46</v>
      </c>
      <c r="F17" t="s">
        <v>47</v>
      </c>
      <c r="G17" t="s">
        <v>39</v>
      </c>
    </row>
    <row r="18" spans="1:7" ht="15.75" customHeight="1" x14ac:dyDescent="0.25">
      <c r="A18" s="1" t="s">
        <v>11</v>
      </c>
      <c r="B18" t="s">
        <v>63</v>
      </c>
      <c r="C18">
        <v>18</v>
      </c>
      <c r="D18" t="s">
        <v>36</v>
      </c>
      <c r="E18" t="s">
        <v>37</v>
      </c>
      <c r="F18" t="s">
        <v>39</v>
      </c>
      <c r="G18" t="s">
        <v>39</v>
      </c>
    </row>
    <row r="19" spans="1:7" ht="15.75" customHeight="1" x14ac:dyDescent="0.25">
      <c r="A19" s="1" t="s">
        <v>11</v>
      </c>
      <c r="B19" t="s">
        <v>64</v>
      </c>
      <c r="C19">
        <v>7</v>
      </c>
      <c r="D19" t="s">
        <v>62</v>
      </c>
      <c r="E19" t="s">
        <v>37</v>
      </c>
      <c r="F19" t="s">
        <v>65</v>
      </c>
      <c r="G19" t="s">
        <v>39</v>
      </c>
    </row>
    <row r="20" spans="1:7" ht="15.75" customHeight="1" x14ac:dyDescent="0.25">
      <c r="A20" s="1" t="s">
        <v>11</v>
      </c>
      <c r="B20" t="s">
        <v>66</v>
      </c>
      <c r="C20">
        <v>16</v>
      </c>
      <c r="D20" t="s">
        <v>36</v>
      </c>
      <c r="E20" t="s">
        <v>37</v>
      </c>
      <c r="F20" t="s">
        <v>39</v>
      </c>
      <c r="G20" t="s">
        <v>39</v>
      </c>
    </row>
    <row r="21" spans="1:7" ht="15.75" customHeight="1" x14ac:dyDescent="0.25">
      <c r="A21" s="1" t="s">
        <v>11</v>
      </c>
      <c r="B21" t="s">
        <v>67</v>
      </c>
      <c r="C21">
        <v>6</v>
      </c>
      <c r="D21" t="s">
        <v>36</v>
      </c>
      <c r="E21" t="s">
        <v>37</v>
      </c>
      <c r="F21" t="s">
        <v>39</v>
      </c>
      <c r="G21" t="s">
        <v>39</v>
      </c>
    </row>
    <row r="22" spans="1:7" ht="15.75" customHeight="1" x14ac:dyDescent="0.25">
      <c r="A22" s="1" t="s">
        <v>11</v>
      </c>
      <c r="B22" t="s">
        <v>68</v>
      </c>
      <c r="C22">
        <v>3</v>
      </c>
      <c r="D22" t="s">
        <v>41</v>
      </c>
      <c r="E22" t="s">
        <v>37</v>
      </c>
      <c r="F22" t="s">
        <v>39</v>
      </c>
      <c r="G22" t="s">
        <v>39</v>
      </c>
    </row>
    <row r="23" spans="1:7" ht="13.2" x14ac:dyDescent="0.25">
      <c r="A23" s="1" t="s">
        <v>11</v>
      </c>
      <c r="B23" t="s">
        <v>69</v>
      </c>
      <c r="C23" t="s">
        <v>39</v>
      </c>
      <c r="D23" t="s">
        <v>36</v>
      </c>
      <c r="E23" t="s">
        <v>37</v>
      </c>
      <c r="F23" t="s">
        <v>50</v>
      </c>
      <c r="G23" t="s">
        <v>39</v>
      </c>
    </row>
    <row r="24" spans="1:7" ht="13.2" x14ac:dyDescent="0.25">
      <c r="A24" s="1" t="s">
        <v>11</v>
      </c>
      <c r="B24" t="s">
        <v>70</v>
      </c>
      <c r="C24">
        <v>12</v>
      </c>
      <c r="D24" t="s">
        <v>41</v>
      </c>
      <c r="E24" t="s">
        <v>42</v>
      </c>
      <c r="F24" t="s">
        <v>71</v>
      </c>
      <c r="G24" t="s">
        <v>39</v>
      </c>
    </row>
    <row r="25" spans="1:7" ht="13.2" x14ac:dyDescent="0.25">
      <c r="A25" s="1" t="s">
        <v>11</v>
      </c>
      <c r="B25" t="s">
        <v>72</v>
      </c>
      <c r="C25">
        <v>29</v>
      </c>
      <c r="D25" t="s">
        <v>36</v>
      </c>
      <c r="E25" t="s">
        <v>73</v>
      </c>
      <c r="F25" t="s">
        <v>50</v>
      </c>
      <c r="G25" t="s">
        <v>74</v>
      </c>
    </row>
    <row r="26" spans="1:7" ht="13.2" x14ac:dyDescent="0.25">
      <c r="A26" s="1" t="s">
        <v>11</v>
      </c>
      <c r="B26" t="s">
        <v>75</v>
      </c>
      <c r="C26">
        <v>19</v>
      </c>
      <c r="D26" t="s">
        <v>62</v>
      </c>
      <c r="E26" t="s">
        <v>37</v>
      </c>
      <c r="F26" t="s">
        <v>39</v>
      </c>
      <c r="G26" t="s">
        <v>39</v>
      </c>
    </row>
    <row r="27" spans="1:7" ht="13.2" x14ac:dyDescent="0.25">
      <c r="A27" s="1" t="s">
        <v>11</v>
      </c>
      <c r="B27" t="s">
        <v>76</v>
      </c>
      <c r="C27">
        <v>15</v>
      </c>
      <c r="D27" t="s">
        <v>62</v>
      </c>
      <c r="E27" t="s">
        <v>37</v>
      </c>
      <c r="F27" t="s">
        <v>39</v>
      </c>
      <c r="G27" t="s">
        <v>39</v>
      </c>
    </row>
    <row r="28" spans="1:7" ht="13.2" x14ac:dyDescent="0.25">
      <c r="A28" s="1" t="s">
        <v>11</v>
      </c>
      <c r="B28" t="s">
        <v>77</v>
      </c>
      <c r="C28">
        <v>28</v>
      </c>
      <c r="D28" t="s">
        <v>36</v>
      </c>
      <c r="E28" t="s">
        <v>46</v>
      </c>
      <c r="F28" t="s">
        <v>39</v>
      </c>
      <c r="G28" t="s">
        <v>39</v>
      </c>
    </row>
    <row r="29" spans="1:7" ht="13.2" x14ac:dyDescent="0.25">
      <c r="A29" s="1" t="s">
        <v>11</v>
      </c>
      <c r="B29" t="s">
        <v>78</v>
      </c>
      <c r="C29">
        <v>22</v>
      </c>
      <c r="D29" t="s">
        <v>62</v>
      </c>
      <c r="E29" t="s">
        <v>79</v>
      </c>
      <c r="F29" t="s">
        <v>80</v>
      </c>
      <c r="G29" t="s">
        <v>74</v>
      </c>
    </row>
    <row r="30" spans="1:7" ht="13.2" x14ac:dyDescent="0.25">
      <c r="A30" s="1" t="s">
        <v>11</v>
      </c>
      <c r="B30" t="s">
        <v>81</v>
      </c>
      <c r="C30">
        <v>9</v>
      </c>
      <c r="D30" t="s">
        <v>62</v>
      </c>
      <c r="E30" t="s">
        <v>37</v>
      </c>
      <c r="F30" t="s">
        <v>39</v>
      </c>
      <c r="G30" t="s">
        <v>39</v>
      </c>
    </row>
    <row r="31" spans="1:7" ht="13.2" x14ac:dyDescent="0.25">
      <c r="A31" s="1" t="s">
        <v>11</v>
      </c>
      <c r="B31" t="s">
        <v>82</v>
      </c>
      <c r="C31">
        <v>14</v>
      </c>
      <c r="D31" t="s">
        <v>41</v>
      </c>
      <c r="E31" t="s">
        <v>37</v>
      </c>
      <c r="F31" t="s">
        <v>39</v>
      </c>
      <c r="G31" t="s">
        <v>39</v>
      </c>
    </row>
    <row r="32" spans="1:7" ht="13.2" x14ac:dyDescent="0.25">
      <c r="A32" s="1" t="s">
        <v>11</v>
      </c>
      <c r="B32" t="s">
        <v>83</v>
      </c>
      <c r="C32" t="s">
        <v>39</v>
      </c>
      <c r="D32" t="s">
        <v>39</v>
      </c>
      <c r="E32" t="s">
        <v>39</v>
      </c>
      <c r="F32" t="s">
        <v>39</v>
      </c>
      <c r="G32" t="s">
        <v>39</v>
      </c>
    </row>
    <row r="33" spans="1:7" ht="13.2" x14ac:dyDescent="0.25">
      <c r="A33" s="1" t="s">
        <v>11</v>
      </c>
      <c r="B33" t="s">
        <v>84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</row>
    <row r="34" spans="1:7" ht="13.2" x14ac:dyDescent="0.25">
      <c r="A34" s="1" t="s">
        <v>11</v>
      </c>
      <c r="B34" t="s">
        <v>85</v>
      </c>
      <c r="C34">
        <v>26</v>
      </c>
      <c r="D34" t="s">
        <v>62</v>
      </c>
      <c r="E34" t="s">
        <v>86</v>
      </c>
      <c r="F34" t="s">
        <v>74</v>
      </c>
      <c r="G34" t="s">
        <v>39</v>
      </c>
    </row>
    <row r="35" spans="1:7" ht="13.2" x14ac:dyDescent="0.25">
      <c r="A35" s="1" t="s">
        <v>11</v>
      </c>
      <c r="B35" t="s">
        <v>87</v>
      </c>
      <c r="C35" t="s">
        <v>39</v>
      </c>
      <c r="D35" t="s">
        <v>39</v>
      </c>
      <c r="E35" t="s">
        <v>88</v>
      </c>
      <c r="F35" t="s">
        <v>89</v>
      </c>
      <c r="G35" t="s">
        <v>39</v>
      </c>
    </row>
    <row r="36" spans="1:7" ht="13.2" x14ac:dyDescent="0.25">
      <c r="A36" s="1" t="s">
        <v>11</v>
      </c>
    </row>
    <row r="37" spans="1:7" ht="13.2" x14ac:dyDescent="0.25">
      <c r="A37" s="1" t="s">
        <v>11</v>
      </c>
    </row>
    <row r="38" spans="1:7" ht="13.2" x14ac:dyDescent="0.25">
      <c r="A38" s="1" t="s">
        <v>11</v>
      </c>
    </row>
    <row r="39" spans="1:7" ht="13.2" x14ac:dyDescent="0.25">
      <c r="A39" s="1" t="s">
        <v>11</v>
      </c>
    </row>
    <row r="40" spans="1:7" ht="13.2" x14ac:dyDescent="0.25">
      <c r="A40" s="1" t="s">
        <v>13</v>
      </c>
      <c r="B40" t="s">
        <v>90</v>
      </c>
      <c r="C40">
        <v>19</v>
      </c>
      <c r="D40" t="s">
        <v>36</v>
      </c>
      <c r="E40" t="s">
        <v>86</v>
      </c>
      <c r="F40" t="s">
        <v>50</v>
      </c>
      <c r="G40" t="s">
        <v>74</v>
      </c>
    </row>
    <row r="41" spans="1:7" ht="13.2" x14ac:dyDescent="0.25">
      <c r="A41" s="1" t="s">
        <v>13</v>
      </c>
      <c r="B41" t="s">
        <v>91</v>
      </c>
      <c r="C41">
        <v>13</v>
      </c>
      <c r="D41" t="s">
        <v>36</v>
      </c>
      <c r="E41" t="s">
        <v>37</v>
      </c>
      <c r="F41" t="s">
        <v>39</v>
      </c>
      <c r="G41" t="s">
        <v>39</v>
      </c>
    </row>
    <row r="42" spans="1:7" ht="13.2" x14ac:dyDescent="0.25">
      <c r="A42" s="1" t="s">
        <v>13</v>
      </c>
      <c r="B42" t="s">
        <v>92</v>
      </c>
      <c r="C42">
        <v>16</v>
      </c>
      <c r="D42" t="s">
        <v>41</v>
      </c>
      <c r="E42" t="s">
        <v>37</v>
      </c>
      <c r="F42" t="s">
        <v>39</v>
      </c>
      <c r="G42" t="s">
        <v>39</v>
      </c>
    </row>
    <row r="43" spans="1:7" ht="13.2" x14ac:dyDescent="0.25">
      <c r="A43" s="1" t="s">
        <v>13</v>
      </c>
      <c r="B43" t="s">
        <v>93</v>
      </c>
      <c r="C43">
        <v>17</v>
      </c>
      <c r="D43" t="s">
        <v>62</v>
      </c>
      <c r="E43" t="s">
        <v>46</v>
      </c>
      <c r="F43" t="s">
        <v>50</v>
      </c>
      <c r="G43" t="s">
        <v>39</v>
      </c>
    </row>
    <row r="44" spans="1:7" ht="13.2" x14ac:dyDescent="0.25">
      <c r="A44" s="1" t="s">
        <v>13</v>
      </c>
      <c r="B44" t="s">
        <v>94</v>
      </c>
      <c r="C44">
        <v>28</v>
      </c>
      <c r="D44" t="s">
        <v>62</v>
      </c>
      <c r="E44" t="s">
        <v>46</v>
      </c>
      <c r="F44" t="s">
        <v>50</v>
      </c>
      <c r="G44" t="s">
        <v>39</v>
      </c>
    </row>
    <row r="45" spans="1:7" ht="13.2" x14ac:dyDescent="0.25">
      <c r="A45" s="1" t="s">
        <v>13</v>
      </c>
      <c r="B45" t="s">
        <v>95</v>
      </c>
      <c r="C45">
        <v>18</v>
      </c>
      <c r="D45" t="s">
        <v>36</v>
      </c>
      <c r="E45" t="s">
        <v>46</v>
      </c>
      <c r="F45" t="s">
        <v>47</v>
      </c>
      <c r="G45" t="s">
        <v>39</v>
      </c>
    </row>
    <row r="46" spans="1:7" ht="13.2" x14ac:dyDescent="0.25">
      <c r="A46" s="1" t="s">
        <v>13</v>
      </c>
      <c r="B46" t="s">
        <v>96</v>
      </c>
      <c r="C46">
        <v>25</v>
      </c>
      <c r="D46" t="s">
        <v>41</v>
      </c>
      <c r="E46" t="s">
        <v>37</v>
      </c>
      <c r="F46" t="s">
        <v>39</v>
      </c>
      <c r="G46" t="s">
        <v>39</v>
      </c>
    </row>
    <row r="47" spans="1:7" ht="13.2" x14ac:dyDescent="0.25">
      <c r="A47" s="1" t="s">
        <v>13</v>
      </c>
      <c r="B47" t="s">
        <v>97</v>
      </c>
      <c r="C47">
        <v>8</v>
      </c>
      <c r="D47" t="s">
        <v>62</v>
      </c>
      <c r="E47" t="s">
        <v>37</v>
      </c>
      <c r="F47" t="s">
        <v>50</v>
      </c>
      <c r="G47" t="s">
        <v>39</v>
      </c>
    </row>
    <row r="48" spans="1:7" ht="13.2" x14ac:dyDescent="0.25">
      <c r="A48" s="1" t="s">
        <v>13</v>
      </c>
      <c r="B48" t="s">
        <v>98</v>
      </c>
      <c r="C48">
        <v>26</v>
      </c>
      <c r="D48" t="s">
        <v>41</v>
      </c>
      <c r="E48" t="s">
        <v>37</v>
      </c>
      <c r="F48" t="s">
        <v>39</v>
      </c>
      <c r="G48" t="s">
        <v>39</v>
      </c>
    </row>
    <row r="49" spans="1:7" ht="13.2" x14ac:dyDescent="0.25">
      <c r="A49" s="1" t="s">
        <v>13</v>
      </c>
      <c r="B49" t="s">
        <v>99</v>
      </c>
      <c r="C49">
        <v>24</v>
      </c>
      <c r="D49" t="s">
        <v>41</v>
      </c>
      <c r="E49" t="s">
        <v>79</v>
      </c>
      <c r="F49" t="s">
        <v>50</v>
      </c>
      <c r="G49" t="s">
        <v>74</v>
      </c>
    </row>
    <row r="50" spans="1:7" ht="13.2" x14ac:dyDescent="0.25">
      <c r="A50" s="1" t="s">
        <v>13</v>
      </c>
      <c r="B50" t="s">
        <v>100</v>
      </c>
      <c r="C50">
        <v>7</v>
      </c>
      <c r="D50" t="s">
        <v>101</v>
      </c>
      <c r="E50" t="s">
        <v>46</v>
      </c>
      <c r="F50" t="s">
        <v>50</v>
      </c>
      <c r="G50" t="s">
        <v>39</v>
      </c>
    </row>
    <row r="51" spans="1:7" ht="13.2" x14ac:dyDescent="0.25">
      <c r="A51" s="1" t="s">
        <v>13</v>
      </c>
      <c r="B51" t="s">
        <v>102</v>
      </c>
      <c r="C51">
        <v>21</v>
      </c>
      <c r="D51" t="s">
        <v>62</v>
      </c>
      <c r="E51" t="s">
        <v>37</v>
      </c>
      <c r="F51" t="s">
        <v>39</v>
      </c>
      <c r="G51" t="s">
        <v>39</v>
      </c>
    </row>
    <row r="52" spans="1:7" ht="13.2" x14ac:dyDescent="0.25">
      <c r="A52" s="1" t="s">
        <v>13</v>
      </c>
      <c r="B52" t="s">
        <v>103</v>
      </c>
      <c r="C52">
        <v>22</v>
      </c>
      <c r="D52" t="s">
        <v>41</v>
      </c>
      <c r="E52" t="s">
        <v>37</v>
      </c>
      <c r="F52" t="s">
        <v>50</v>
      </c>
      <c r="G52" t="s">
        <v>39</v>
      </c>
    </row>
    <row r="53" spans="1:7" ht="13.2" x14ac:dyDescent="0.25">
      <c r="A53" s="1" t="s">
        <v>13</v>
      </c>
      <c r="B53" t="s">
        <v>104</v>
      </c>
      <c r="C53">
        <v>20</v>
      </c>
      <c r="D53" t="s">
        <v>36</v>
      </c>
      <c r="E53" t="s">
        <v>42</v>
      </c>
      <c r="F53" t="s">
        <v>39</v>
      </c>
      <c r="G53" t="s">
        <v>39</v>
      </c>
    </row>
    <row r="54" spans="1:7" ht="13.2" x14ac:dyDescent="0.25">
      <c r="A54" s="1" t="s">
        <v>13</v>
      </c>
      <c r="B54" t="s">
        <v>105</v>
      </c>
      <c r="C54">
        <v>4</v>
      </c>
      <c r="D54" t="s">
        <v>41</v>
      </c>
      <c r="E54" t="s">
        <v>37</v>
      </c>
      <c r="F54" t="s">
        <v>39</v>
      </c>
      <c r="G54" t="s">
        <v>39</v>
      </c>
    </row>
    <row r="55" spans="1:7" ht="13.2" x14ac:dyDescent="0.25">
      <c r="A55" s="1" t="s">
        <v>13</v>
      </c>
      <c r="B55" t="s">
        <v>106</v>
      </c>
      <c r="C55">
        <v>10</v>
      </c>
      <c r="D55" t="s">
        <v>36</v>
      </c>
      <c r="E55" t="s">
        <v>37</v>
      </c>
      <c r="F55" t="s">
        <v>50</v>
      </c>
      <c r="G55" t="s">
        <v>39</v>
      </c>
    </row>
    <row r="56" spans="1:7" ht="13.2" x14ac:dyDescent="0.25">
      <c r="A56" s="1" t="s">
        <v>13</v>
      </c>
      <c r="B56" t="s">
        <v>107</v>
      </c>
      <c r="C56">
        <v>15</v>
      </c>
      <c r="D56" t="s">
        <v>41</v>
      </c>
      <c r="E56" t="s">
        <v>46</v>
      </c>
      <c r="F56" t="s">
        <v>47</v>
      </c>
      <c r="G56" t="s">
        <v>39</v>
      </c>
    </row>
    <row r="57" spans="1:7" ht="13.2" x14ac:dyDescent="0.25">
      <c r="A57" s="1" t="s">
        <v>13</v>
      </c>
      <c r="B57" t="s">
        <v>108</v>
      </c>
      <c r="C57">
        <v>6</v>
      </c>
      <c r="D57" t="s">
        <v>36</v>
      </c>
      <c r="E57" t="s">
        <v>37</v>
      </c>
      <c r="F57" t="s">
        <v>39</v>
      </c>
      <c r="G57" t="s">
        <v>39</v>
      </c>
    </row>
    <row r="58" spans="1:7" ht="13.2" x14ac:dyDescent="0.25">
      <c r="A58" s="1" t="s">
        <v>13</v>
      </c>
      <c r="B58" t="s">
        <v>109</v>
      </c>
      <c r="C58">
        <v>32</v>
      </c>
      <c r="D58" t="s">
        <v>56</v>
      </c>
      <c r="E58" t="s">
        <v>42</v>
      </c>
      <c r="F58" t="s">
        <v>39</v>
      </c>
      <c r="G58" t="s">
        <v>39</v>
      </c>
    </row>
    <row r="59" spans="1:7" ht="13.2" x14ac:dyDescent="0.25">
      <c r="A59" s="1" t="s">
        <v>13</v>
      </c>
      <c r="B59" t="s">
        <v>110</v>
      </c>
      <c r="C59">
        <v>14</v>
      </c>
      <c r="D59" t="s">
        <v>36</v>
      </c>
      <c r="E59" t="s">
        <v>46</v>
      </c>
      <c r="F59" t="s">
        <v>47</v>
      </c>
      <c r="G59" t="s">
        <v>39</v>
      </c>
    </row>
    <row r="60" spans="1:7" ht="13.2" x14ac:dyDescent="0.25">
      <c r="A60" s="1" t="s">
        <v>13</v>
      </c>
      <c r="B60" t="s">
        <v>111</v>
      </c>
      <c r="C60" t="s">
        <v>39</v>
      </c>
      <c r="D60" t="s">
        <v>62</v>
      </c>
      <c r="E60" t="s">
        <v>37</v>
      </c>
      <c r="F60" t="s">
        <v>39</v>
      </c>
      <c r="G60" t="s">
        <v>39</v>
      </c>
    </row>
    <row r="61" spans="1:7" ht="13.2" x14ac:dyDescent="0.25">
      <c r="A61" s="1" t="s">
        <v>13</v>
      </c>
      <c r="B61" t="s">
        <v>112</v>
      </c>
      <c r="C61">
        <v>23</v>
      </c>
      <c r="D61" t="s">
        <v>62</v>
      </c>
      <c r="E61" t="s">
        <v>37</v>
      </c>
      <c r="F61" t="s">
        <v>38</v>
      </c>
      <c r="G61" t="s">
        <v>39</v>
      </c>
    </row>
    <row r="62" spans="1:7" ht="13.2" x14ac:dyDescent="0.25">
      <c r="A62" s="1" t="s">
        <v>13</v>
      </c>
      <c r="B62" t="s">
        <v>113</v>
      </c>
      <c r="C62">
        <v>2</v>
      </c>
      <c r="D62" t="s">
        <v>36</v>
      </c>
      <c r="E62" t="s">
        <v>37</v>
      </c>
      <c r="F62" t="s">
        <v>39</v>
      </c>
      <c r="G62" t="s">
        <v>39</v>
      </c>
    </row>
    <row r="63" spans="1:7" ht="13.2" x14ac:dyDescent="0.25">
      <c r="A63" s="1" t="s">
        <v>13</v>
      </c>
      <c r="B63" t="s">
        <v>114</v>
      </c>
      <c r="C63">
        <v>45</v>
      </c>
      <c r="D63" t="s">
        <v>56</v>
      </c>
      <c r="E63" t="s">
        <v>37</v>
      </c>
      <c r="F63" t="s">
        <v>39</v>
      </c>
      <c r="G63" t="s">
        <v>39</v>
      </c>
    </row>
    <row r="64" spans="1:7" ht="13.2" x14ac:dyDescent="0.25">
      <c r="A64" s="1" t="s">
        <v>13</v>
      </c>
      <c r="B64" t="s">
        <v>115</v>
      </c>
      <c r="C64">
        <v>31</v>
      </c>
      <c r="D64" t="s">
        <v>36</v>
      </c>
      <c r="E64" t="s">
        <v>37</v>
      </c>
      <c r="F64" t="s">
        <v>38</v>
      </c>
      <c r="G64" t="s">
        <v>39</v>
      </c>
    </row>
    <row r="65" spans="1:7" ht="13.2" x14ac:dyDescent="0.25">
      <c r="A65" s="1" t="s">
        <v>13</v>
      </c>
      <c r="B65" t="s">
        <v>116</v>
      </c>
      <c r="C65">
        <v>9</v>
      </c>
      <c r="D65" t="s">
        <v>62</v>
      </c>
      <c r="E65" t="s">
        <v>117</v>
      </c>
      <c r="F65" t="s">
        <v>50</v>
      </c>
      <c r="G65" t="s">
        <v>118</v>
      </c>
    </row>
    <row r="66" spans="1:7" ht="13.2" x14ac:dyDescent="0.25">
      <c r="A66" s="1" t="s">
        <v>13</v>
      </c>
      <c r="B66" t="s">
        <v>119</v>
      </c>
      <c r="C66">
        <v>3</v>
      </c>
      <c r="D66" t="s">
        <v>41</v>
      </c>
      <c r="E66" t="s">
        <v>37</v>
      </c>
      <c r="F66" t="s">
        <v>39</v>
      </c>
      <c r="G66" t="s">
        <v>39</v>
      </c>
    </row>
    <row r="67" spans="1:7" ht="13.2" x14ac:dyDescent="0.25">
      <c r="A67" s="1" t="s">
        <v>13</v>
      </c>
      <c r="B67" t="s">
        <v>39</v>
      </c>
      <c r="C67" t="s">
        <v>39</v>
      </c>
      <c r="D67" t="s">
        <v>39</v>
      </c>
      <c r="E67" t="s">
        <v>39</v>
      </c>
      <c r="F67" t="s">
        <v>39</v>
      </c>
      <c r="G67" t="s">
        <v>39</v>
      </c>
    </row>
    <row r="68" spans="1:7" ht="13.2" x14ac:dyDescent="0.25">
      <c r="A68" s="1" t="s">
        <v>13</v>
      </c>
      <c r="B68" t="s">
        <v>39</v>
      </c>
      <c r="C68" t="s">
        <v>39</v>
      </c>
      <c r="D68" t="s">
        <v>39</v>
      </c>
      <c r="E68" t="s">
        <v>39</v>
      </c>
      <c r="F68" t="s">
        <v>39</v>
      </c>
      <c r="G68" t="s">
        <v>39</v>
      </c>
    </row>
    <row r="69" spans="1:7" ht="13.2" x14ac:dyDescent="0.25">
      <c r="A69" s="1" t="s">
        <v>13</v>
      </c>
      <c r="B69" t="s">
        <v>39</v>
      </c>
      <c r="C69" t="s">
        <v>39</v>
      </c>
      <c r="D69" t="s">
        <v>39</v>
      </c>
      <c r="E69" t="s">
        <v>39</v>
      </c>
      <c r="F69" t="s">
        <v>39</v>
      </c>
      <c r="G69" t="s">
        <v>39</v>
      </c>
    </row>
    <row r="70" spans="1:7" ht="13.2" x14ac:dyDescent="0.25">
      <c r="A70" s="1" t="s">
        <v>13</v>
      </c>
      <c r="B70" t="s">
        <v>120</v>
      </c>
      <c r="C70" t="s">
        <v>39</v>
      </c>
      <c r="D70" t="s">
        <v>39</v>
      </c>
      <c r="E70" t="s">
        <v>39</v>
      </c>
      <c r="F70" t="s">
        <v>39</v>
      </c>
      <c r="G70" t="s">
        <v>39</v>
      </c>
    </row>
    <row r="71" spans="1:7" ht="13.2" x14ac:dyDescent="0.25">
      <c r="A71" s="1" t="s">
        <v>13</v>
      </c>
      <c r="B71" t="s">
        <v>84</v>
      </c>
      <c r="C71" t="s">
        <v>39</v>
      </c>
      <c r="D71" t="s">
        <v>39</v>
      </c>
      <c r="E71" t="s">
        <v>39</v>
      </c>
      <c r="F71" t="s">
        <v>39</v>
      </c>
      <c r="G71" t="s">
        <v>39</v>
      </c>
    </row>
    <row r="72" spans="1:7" ht="13.2" x14ac:dyDescent="0.25">
      <c r="A72" s="1" t="s">
        <v>13</v>
      </c>
      <c r="B72" t="s">
        <v>121</v>
      </c>
      <c r="C72">
        <v>30</v>
      </c>
      <c r="D72" t="s">
        <v>56</v>
      </c>
      <c r="E72" t="s">
        <v>73</v>
      </c>
      <c r="F72" t="s">
        <v>89</v>
      </c>
      <c r="G72" t="s">
        <v>39</v>
      </c>
    </row>
    <row r="73" spans="1:7" ht="13.2" x14ac:dyDescent="0.25">
      <c r="A73" s="1" t="s">
        <v>13</v>
      </c>
    </row>
    <row r="74" spans="1:7" ht="13.2" x14ac:dyDescent="0.25">
      <c r="A74" s="1" t="s">
        <v>14</v>
      </c>
      <c r="B74" t="s">
        <v>122</v>
      </c>
      <c r="C74">
        <v>10</v>
      </c>
      <c r="D74" t="s">
        <v>36</v>
      </c>
      <c r="E74" t="s">
        <v>37</v>
      </c>
      <c r="F74" t="s">
        <v>47</v>
      </c>
      <c r="G74" t="s">
        <v>39</v>
      </c>
    </row>
    <row r="75" spans="1:7" ht="13.2" x14ac:dyDescent="0.25">
      <c r="A75" s="1" t="s">
        <v>14</v>
      </c>
      <c r="B75" t="s">
        <v>123</v>
      </c>
      <c r="C75" t="s">
        <v>39</v>
      </c>
      <c r="D75" t="s">
        <v>62</v>
      </c>
      <c r="E75" t="s">
        <v>37</v>
      </c>
      <c r="F75" t="s">
        <v>39</v>
      </c>
      <c r="G75" t="s">
        <v>39</v>
      </c>
    </row>
    <row r="76" spans="1:7" ht="13.2" x14ac:dyDescent="0.25">
      <c r="A76" s="1" t="s">
        <v>14</v>
      </c>
      <c r="B76" t="s">
        <v>124</v>
      </c>
      <c r="C76">
        <v>26</v>
      </c>
      <c r="D76" t="s">
        <v>36</v>
      </c>
      <c r="E76" t="s">
        <v>46</v>
      </c>
      <c r="F76" t="s">
        <v>39</v>
      </c>
      <c r="G76" t="s">
        <v>39</v>
      </c>
    </row>
    <row r="77" spans="1:7" ht="13.2" x14ac:dyDescent="0.25">
      <c r="A77" s="1" t="s">
        <v>14</v>
      </c>
      <c r="B77" t="s">
        <v>125</v>
      </c>
      <c r="C77">
        <v>8</v>
      </c>
      <c r="D77" t="s">
        <v>36</v>
      </c>
      <c r="E77" t="s">
        <v>37</v>
      </c>
      <c r="F77" t="s">
        <v>50</v>
      </c>
      <c r="G77" t="s">
        <v>39</v>
      </c>
    </row>
    <row r="78" spans="1:7" ht="13.2" x14ac:dyDescent="0.25">
      <c r="A78" s="1" t="s">
        <v>14</v>
      </c>
      <c r="B78" t="s">
        <v>126</v>
      </c>
      <c r="C78">
        <v>21</v>
      </c>
      <c r="D78" t="s">
        <v>36</v>
      </c>
      <c r="E78" t="s">
        <v>37</v>
      </c>
      <c r="F78" t="s">
        <v>39</v>
      </c>
      <c r="G78" t="s">
        <v>39</v>
      </c>
    </row>
    <row r="79" spans="1:7" ht="13.2" x14ac:dyDescent="0.25">
      <c r="A79" s="1" t="s">
        <v>14</v>
      </c>
      <c r="B79" t="s">
        <v>127</v>
      </c>
      <c r="C79">
        <v>9</v>
      </c>
      <c r="D79" t="s">
        <v>62</v>
      </c>
      <c r="E79" t="s">
        <v>37</v>
      </c>
      <c r="F79" t="s">
        <v>50</v>
      </c>
      <c r="G79" t="s">
        <v>39</v>
      </c>
    </row>
    <row r="80" spans="1:7" ht="13.2" x14ac:dyDescent="0.25">
      <c r="A80" s="1" t="s">
        <v>14</v>
      </c>
      <c r="B80" t="s">
        <v>128</v>
      </c>
      <c r="C80">
        <v>29</v>
      </c>
      <c r="D80" t="s">
        <v>62</v>
      </c>
      <c r="E80" t="s">
        <v>37</v>
      </c>
      <c r="F80" t="s">
        <v>47</v>
      </c>
      <c r="G80" t="s">
        <v>39</v>
      </c>
    </row>
    <row r="81" spans="1:7" ht="13.2" x14ac:dyDescent="0.25">
      <c r="A81" s="1" t="s">
        <v>14</v>
      </c>
      <c r="B81" t="s">
        <v>129</v>
      </c>
      <c r="C81">
        <v>2</v>
      </c>
      <c r="D81" t="s">
        <v>41</v>
      </c>
      <c r="E81" t="s">
        <v>37</v>
      </c>
      <c r="F81" t="s">
        <v>39</v>
      </c>
      <c r="G81" t="s">
        <v>39</v>
      </c>
    </row>
    <row r="82" spans="1:7" ht="13.2" x14ac:dyDescent="0.25">
      <c r="A82" s="1" t="s">
        <v>14</v>
      </c>
      <c r="B82" t="s">
        <v>130</v>
      </c>
      <c r="C82">
        <v>23</v>
      </c>
      <c r="D82" t="s">
        <v>41</v>
      </c>
      <c r="E82" t="s">
        <v>42</v>
      </c>
      <c r="F82" t="s">
        <v>39</v>
      </c>
      <c r="G82" t="s">
        <v>39</v>
      </c>
    </row>
    <row r="83" spans="1:7" ht="13.2" x14ac:dyDescent="0.25">
      <c r="A83" s="1" t="s">
        <v>14</v>
      </c>
      <c r="B83" t="s">
        <v>131</v>
      </c>
      <c r="C83" t="s">
        <v>39</v>
      </c>
      <c r="D83" t="s">
        <v>41</v>
      </c>
      <c r="E83" t="s">
        <v>79</v>
      </c>
      <c r="F83" t="s">
        <v>39</v>
      </c>
      <c r="G83" t="s">
        <v>89</v>
      </c>
    </row>
    <row r="84" spans="1:7" ht="13.2" x14ac:dyDescent="0.25">
      <c r="A84" s="1" t="s">
        <v>14</v>
      </c>
      <c r="B84" t="s">
        <v>132</v>
      </c>
      <c r="C84">
        <v>50</v>
      </c>
      <c r="D84" t="s">
        <v>56</v>
      </c>
      <c r="E84" t="s">
        <v>42</v>
      </c>
      <c r="F84" t="s">
        <v>39</v>
      </c>
      <c r="G84" t="s">
        <v>39</v>
      </c>
    </row>
    <row r="85" spans="1:7" ht="13.2" x14ac:dyDescent="0.25">
      <c r="A85" s="1" t="s">
        <v>14</v>
      </c>
      <c r="B85" t="s">
        <v>133</v>
      </c>
      <c r="C85">
        <v>24</v>
      </c>
      <c r="D85" t="s">
        <v>41</v>
      </c>
      <c r="E85" t="s">
        <v>46</v>
      </c>
      <c r="F85" t="s">
        <v>47</v>
      </c>
      <c r="G85" t="s">
        <v>39</v>
      </c>
    </row>
    <row r="86" spans="1:7" ht="13.2" x14ac:dyDescent="0.25">
      <c r="A86" s="1" t="s">
        <v>14</v>
      </c>
      <c r="B86" t="s">
        <v>134</v>
      </c>
      <c r="C86">
        <v>11</v>
      </c>
      <c r="D86" t="s">
        <v>135</v>
      </c>
      <c r="E86" t="s">
        <v>37</v>
      </c>
      <c r="F86" t="s">
        <v>38</v>
      </c>
      <c r="G86" t="s">
        <v>39</v>
      </c>
    </row>
    <row r="87" spans="1:7" ht="13.2" x14ac:dyDescent="0.25">
      <c r="A87" s="1" t="s">
        <v>14</v>
      </c>
      <c r="B87" t="s">
        <v>136</v>
      </c>
      <c r="C87">
        <v>94</v>
      </c>
      <c r="D87" t="s">
        <v>36</v>
      </c>
      <c r="E87" t="s">
        <v>37</v>
      </c>
      <c r="F87" t="s">
        <v>39</v>
      </c>
      <c r="G87" t="s">
        <v>39</v>
      </c>
    </row>
    <row r="88" spans="1:7" ht="13.2" x14ac:dyDescent="0.25">
      <c r="A88" s="1" t="s">
        <v>14</v>
      </c>
      <c r="B88" t="s">
        <v>137</v>
      </c>
      <c r="C88">
        <v>15</v>
      </c>
      <c r="D88" t="s">
        <v>36</v>
      </c>
      <c r="E88" t="s">
        <v>42</v>
      </c>
      <c r="F88" t="s">
        <v>39</v>
      </c>
      <c r="G88" t="s">
        <v>39</v>
      </c>
    </row>
    <row r="89" spans="1:7" ht="13.2" x14ac:dyDescent="0.25">
      <c r="A89" s="1" t="s">
        <v>14</v>
      </c>
      <c r="B89" t="s">
        <v>138</v>
      </c>
      <c r="C89">
        <v>1</v>
      </c>
      <c r="D89" t="s">
        <v>56</v>
      </c>
      <c r="E89" t="s">
        <v>37</v>
      </c>
      <c r="F89" t="s">
        <v>65</v>
      </c>
      <c r="G89" t="s">
        <v>39</v>
      </c>
    </row>
    <row r="90" spans="1:7" ht="13.2" x14ac:dyDescent="0.25">
      <c r="A90" s="1" t="s">
        <v>14</v>
      </c>
      <c r="B90" t="s">
        <v>139</v>
      </c>
      <c r="C90">
        <v>12</v>
      </c>
      <c r="D90" t="s">
        <v>62</v>
      </c>
      <c r="E90" t="s">
        <v>46</v>
      </c>
      <c r="F90" t="s">
        <v>39</v>
      </c>
      <c r="G90" t="s">
        <v>39</v>
      </c>
    </row>
    <row r="91" spans="1:7" ht="13.2" x14ac:dyDescent="0.25">
      <c r="A91" s="1" t="s">
        <v>14</v>
      </c>
      <c r="B91" t="s">
        <v>140</v>
      </c>
      <c r="C91">
        <v>18</v>
      </c>
      <c r="D91" t="s">
        <v>56</v>
      </c>
      <c r="E91" t="s">
        <v>37</v>
      </c>
      <c r="F91" t="s">
        <v>39</v>
      </c>
      <c r="G91" t="s">
        <v>39</v>
      </c>
    </row>
    <row r="92" spans="1:7" ht="13.2" x14ac:dyDescent="0.25">
      <c r="A92" s="1" t="s">
        <v>14</v>
      </c>
      <c r="B92" t="s">
        <v>141</v>
      </c>
      <c r="C92">
        <v>90</v>
      </c>
      <c r="D92" t="s">
        <v>36</v>
      </c>
      <c r="E92" t="s">
        <v>37</v>
      </c>
      <c r="F92" t="s">
        <v>39</v>
      </c>
      <c r="G92" t="s">
        <v>39</v>
      </c>
    </row>
    <row r="93" spans="1:7" ht="13.2" x14ac:dyDescent="0.25">
      <c r="A93" s="1" t="s">
        <v>14</v>
      </c>
      <c r="B93" t="s">
        <v>142</v>
      </c>
      <c r="C93">
        <v>32</v>
      </c>
      <c r="D93" t="s">
        <v>62</v>
      </c>
      <c r="E93" t="s">
        <v>46</v>
      </c>
      <c r="F93" t="s">
        <v>47</v>
      </c>
      <c r="G93" t="s">
        <v>39</v>
      </c>
    </row>
    <row r="94" spans="1:7" ht="13.2" x14ac:dyDescent="0.25">
      <c r="A94" s="1" t="s">
        <v>14</v>
      </c>
      <c r="B94" t="s">
        <v>143</v>
      </c>
      <c r="C94">
        <v>15</v>
      </c>
      <c r="D94" t="s">
        <v>36</v>
      </c>
      <c r="E94" t="s">
        <v>37</v>
      </c>
      <c r="F94" t="s">
        <v>50</v>
      </c>
      <c r="G94" t="s">
        <v>39</v>
      </c>
    </row>
    <row r="95" spans="1:7" ht="13.2" x14ac:dyDescent="0.25">
      <c r="A95" s="1" t="s">
        <v>14</v>
      </c>
      <c r="B95" t="s">
        <v>144</v>
      </c>
      <c r="C95">
        <v>20</v>
      </c>
      <c r="D95" t="s">
        <v>36</v>
      </c>
      <c r="E95" t="s">
        <v>46</v>
      </c>
      <c r="F95" t="s">
        <v>47</v>
      </c>
      <c r="G95" t="s">
        <v>39</v>
      </c>
    </row>
    <row r="96" spans="1:7" ht="13.2" x14ac:dyDescent="0.25">
      <c r="A96" s="1" t="s">
        <v>14</v>
      </c>
      <c r="B96" t="s">
        <v>145</v>
      </c>
      <c r="C96">
        <v>19</v>
      </c>
      <c r="D96" t="s">
        <v>36</v>
      </c>
      <c r="E96" t="s">
        <v>37</v>
      </c>
      <c r="F96" t="s">
        <v>50</v>
      </c>
      <c r="G96" t="s">
        <v>39</v>
      </c>
    </row>
    <row r="97" spans="1:7" ht="13.2" x14ac:dyDescent="0.25">
      <c r="A97" s="1" t="s">
        <v>14</v>
      </c>
      <c r="B97" t="s">
        <v>146</v>
      </c>
      <c r="C97">
        <v>17</v>
      </c>
      <c r="D97" t="s">
        <v>36</v>
      </c>
      <c r="E97" t="s">
        <v>37</v>
      </c>
      <c r="F97" t="s">
        <v>47</v>
      </c>
      <c r="G97" t="s">
        <v>39</v>
      </c>
    </row>
    <row r="98" spans="1:7" ht="13.2" x14ac:dyDescent="0.25">
      <c r="A98" s="1" t="s">
        <v>14</v>
      </c>
      <c r="B98" t="s">
        <v>147</v>
      </c>
      <c r="C98">
        <v>44</v>
      </c>
      <c r="D98" t="s">
        <v>41</v>
      </c>
      <c r="E98" t="s">
        <v>37</v>
      </c>
      <c r="F98" t="s">
        <v>39</v>
      </c>
      <c r="G98" t="s">
        <v>39</v>
      </c>
    </row>
    <row r="99" spans="1:7" ht="13.2" x14ac:dyDescent="0.25">
      <c r="A99" s="1" t="s">
        <v>14</v>
      </c>
      <c r="B99" t="s">
        <v>148</v>
      </c>
      <c r="C99">
        <v>5</v>
      </c>
      <c r="D99" t="s">
        <v>41</v>
      </c>
      <c r="E99" t="s">
        <v>37</v>
      </c>
      <c r="F99" t="s">
        <v>50</v>
      </c>
      <c r="G99" t="s">
        <v>39</v>
      </c>
    </row>
    <row r="100" spans="1:7" ht="13.2" x14ac:dyDescent="0.25">
      <c r="A100" s="1" t="s">
        <v>14</v>
      </c>
      <c r="B100" t="s">
        <v>149</v>
      </c>
      <c r="C100">
        <v>13</v>
      </c>
      <c r="D100" t="s">
        <v>41</v>
      </c>
      <c r="E100" t="s">
        <v>46</v>
      </c>
      <c r="F100" t="s">
        <v>47</v>
      </c>
      <c r="G100" t="s">
        <v>39</v>
      </c>
    </row>
    <row r="101" spans="1:7" ht="13.2" x14ac:dyDescent="0.25">
      <c r="A101" s="1" t="s">
        <v>14</v>
      </c>
      <c r="B101" t="s">
        <v>150</v>
      </c>
      <c r="C101">
        <v>4</v>
      </c>
      <c r="D101" t="s">
        <v>41</v>
      </c>
      <c r="E101" t="s">
        <v>37</v>
      </c>
      <c r="F101" t="s">
        <v>50</v>
      </c>
      <c r="G101" t="s">
        <v>39</v>
      </c>
    </row>
    <row r="102" spans="1:7" ht="13.2" x14ac:dyDescent="0.25">
      <c r="A102" s="1" t="s">
        <v>14</v>
      </c>
      <c r="B102" t="s">
        <v>151</v>
      </c>
      <c r="C102">
        <v>27</v>
      </c>
      <c r="D102" t="s">
        <v>41</v>
      </c>
      <c r="E102" t="s">
        <v>42</v>
      </c>
      <c r="F102" t="s">
        <v>39</v>
      </c>
      <c r="G102" t="s">
        <v>39</v>
      </c>
    </row>
    <row r="103" spans="1:7" ht="13.2" x14ac:dyDescent="0.25">
      <c r="A103" s="1" t="s">
        <v>14</v>
      </c>
      <c r="B103" t="s">
        <v>39</v>
      </c>
      <c r="C103" t="s">
        <v>39</v>
      </c>
      <c r="D103" t="s">
        <v>39</v>
      </c>
      <c r="E103" t="s">
        <v>39</v>
      </c>
      <c r="F103" t="s">
        <v>39</v>
      </c>
      <c r="G103" t="s">
        <v>39</v>
      </c>
    </row>
    <row r="104" spans="1:7" ht="13.2" x14ac:dyDescent="0.25">
      <c r="A104" s="1" t="s">
        <v>14</v>
      </c>
      <c r="B104" t="s">
        <v>152</v>
      </c>
      <c r="C104" t="s">
        <v>39</v>
      </c>
      <c r="D104" t="s">
        <v>39</v>
      </c>
      <c r="E104" t="s">
        <v>39</v>
      </c>
      <c r="F104" t="s">
        <v>39</v>
      </c>
      <c r="G104" t="s">
        <v>39</v>
      </c>
    </row>
    <row r="105" spans="1:7" ht="13.2" x14ac:dyDescent="0.25">
      <c r="A105" s="1" t="s">
        <v>14</v>
      </c>
    </row>
    <row r="106" spans="1:7" ht="13.2" x14ac:dyDescent="0.25">
      <c r="A106" s="1" t="s">
        <v>14</v>
      </c>
    </row>
    <row r="107" spans="1:7" ht="13.2" x14ac:dyDescent="0.25">
      <c r="A107" s="1" t="s">
        <v>14</v>
      </c>
    </row>
    <row r="108" spans="1:7" ht="13.2" x14ac:dyDescent="0.25">
      <c r="A108" s="1" t="s">
        <v>15</v>
      </c>
      <c r="B108" t="s">
        <v>153</v>
      </c>
      <c r="C108">
        <v>5</v>
      </c>
      <c r="D108" t="s">
        <v>36</v>
      </c>
      <c r="E108" t="s">
        <v>79</v>
      </c>
      <c r="F108" t="s">
        <v>39</v>
      </c>
      <c r="G108" t="s">
        <v>74</v>
      </c>
    </row>
    <row r="109" spans="1:7" ht="13.2" x14ac:dyDescent="0.25">
      <c r="A109" s="1" t="s">
        <v>15</v>
      </c>
      <c r="B109" t="s">
        <v>154</v>
      </c>
      <c r="C109">
        <v>17</v>
      </c>
      <c r="D109" t="s">
        <v>41</v>
      </c>
      <c r="E109" t="s">
        <v>37</v>
      </c>
      <c r="F109" t="s">
        <v>39</v>
      </c>
      <c r="G109" t="s">
        <v>39</v>
      </c>
    </row>
    <row r="110" spans="1:7" ht="13.2" x14ac:dyDescent="0.25">
      <c r="A110" s="1" t="s">
        <v>15</v>
      </c>
      <c r="B110" t="s">
        <v>155</v>
      </c>
      <c r="C110">
        <v>25</v>
      </c>
      <c r="D110" t="s">
        <v>41</v>
      </c>
      <c r="E110" t="s">
        <v>37</v>
      </c>
      <c r="F110" t="s">
        <v>39</v>
      </c>
      <c r="G110" t="s">
        <v>39</v>
      </c>
    </row>
    <row r="111" spans="1:7" ht="13.2" x14ac:dyDescent="0.25">
      <c r="A111" s="1" t="s">
        <v>15</v>
      </c>
      <c r="B111" t="s">
        <v>156</v>
      </c>
      <c r="C111">
        <v>26</v>
      </c>
      <c r="D111" t="s">
        <v>36</v>
      </c>
      <c r="E111" t="s">
        <v>46</v>
      </c>
      <c r="F111" t="s">
        <v>39</v>
      </c>
      <c r="G111" t="s">
        <v>39</v>
      </c>
    </row>
    <row r="112" spans="1:7" ht="13.2" x14ac:dyDescent="0.25">
      <c r="A112" s="1" t="s">
        <v>15</v>
      </c>
      <c r="B112" t="s">
        <v>157</v>
      </c>
      <c r="C112">
        <v>8</v>
      </c>
      <c r="D112" t="s">
        <v>36</v>
      </c>
      <c r="E112" t="s">
        <v>37</v>
      </c>
      <c r="F112" t="s">
        <v>50</v>
      </c>
      <c r="G112" t="s">
        <v>39</v>
      </c>
    </row>
    <row r="113" spans="1:7" ht="13.2" x14ac:dyDescent="0.25">
      <c r="A113" s="1" t="s">
        <v>15</v>
      </c>
      <c r="B113" t="s">
        <v>158</v>
      </c>
      <c r="C113">
        <v>2</v>
      </c>
      <c r="D113" t="s">
        <v>36</v>
      </c>
      <c r="E113" t="s">
        <v>37</v>
      </c>
      <c r="F113" t="s">
        <v>39</v>
      </c>
      <c r="G113" t="s">
        <v>39</v>
      </c>
    </row>
    <row r="114" spans="1:7" ht="13.2" x14ac:dyDescent="0.25">
      <c r="A114" s="1" t="s">
        <v>15</v>
      </c>
      <c r="B114" t="s">
        <v>159</v>
      </c>
      <c r="C114">
        <v>21</v>
      </c>
      <c r="D114" t="s">
        <v>41</v>
      </c>
      <c r="E114" t="s">
        <v>46</v>
      </c>
      <c r="F114" t="s">
        <v>47</v>
      </c>
      <c r="G114" t="s">
        <v>39</v>
      </c>
    </row>
    <row r="115" spans="1:7" ht="13.2" x14ac:dyDescent="0.25">
      <c r="A115" s="1" t="s">
        <v>15</v>
      </c>
      <c r="B115" t="s">
        <v>160</v>
      </c>
      <c r="C115">
        <v>13</v>
      </c>
      <c r="D115" t="s">
        <v>36</v>
      </c>
      <c r="E115" t="s">
        <v>37</v>
      </c>
      <c r="F115" t="s">
        <v>39</v>
      </c>
      <c r="G115" t="s">
        <v>39</v>
      </c>
    </row>
    <row r="116" spans="1:7" ht="13.2" x14ac:dyDescent="0.25">
      <c r="A116" s="1" t="s">
        <v>15</v>
      </c>
      <c r="B116" t="s">
        <v>161</v>
      </c>
      <c r="C116">
        <v>28</v>
      </c>
      <c r="D116" t="s">
        <v>36</v>
      </c>
      <c r="E116" t="s">
        <v>42</v>
      </c>
      <c r="F116" t="s">
        <v>39</v>
      </c>
      <c r="G116" t="s">
        <v>39</v>
      </c>
    </row>
    <row r="117" spans="1:7" ht="13.2" x14ac:dyDescent="0.25">
      <c r="A117" s="1" t="s">
        <v>15</v>
      </c>
      <c r="B117" t="s">
        <v>162</v>
      </c>
      <c r="C117">
        <v>10</v>
      </c>
      <c r="D117" t="s">
        <v>36</v>
      </c>
      <c r="E117" t="s">
        <v>37</v>
      </c>
      <c r="F117" t="s">
        <v>65</v>
      </c>
      <c r="G117" t="s">
        <v>39</v>
      </c>
    </row>
    <row r="118" spans="1:7" ht="13.2" x14ac:dyDescent="0.25">
      <c r="A118" s="1" t="s">
        <v>15</v>
      </c>
      <c r="B118" t="s">
        <v>163</v>
      </c>
      <c r="C118">
        <v>14</v>
      </c>
      <c r="D118" t="s">
        <v>62</v>
      </c>
      <c r="E118" t="s">
        <v>79</v>
      </c>
      <c r="F118" t="s">
        <v>39</v>
      </c>
      <c r="G118" t="s">
        <v>74</v>
      </c>
    </row>
    <row r="119" spans="1:7" ht="13.2" x14ac:dyDescent="0.25">
      <c r="A119" s="1" t="s">
        <v>15</v>
      </c>
      <c r="B119" t="s">
        <v>164</v>
      </c>
      <c r="C119">
        <v>16</v>
      </c>
      <c r="D119" t="s">
        <v>36</v>
      </c>
      <c r="E119" t="s">
        <v>37</v>
      </c>
      <c r="F119" t="s">
        <v>39</v>
      </c>
      <c r="G119" t="s">
        <v>39</v>
      </c>
    </row>
    <row r="120" spans="1:7" ht="13.2" x14ac:dyDescent="0.25">
      <c r="A120" s="1" t="s">
        <v>15</v>
      </c>
      <c r="B120" t="s">
        <v>165</v>
      </c>
      <c r="C120">
        <v>24</v>
      </c>
      <c r="D120" t="s">
        <v>56</v>
      </c>
      <c r="E120" t="s">
        <v>42</v>
      </c>
      <c r="F120" t="s">
        <v>39</v>
      </c>
      <c r="G120" t="s">
        <v>39</v>
      </c>
    </row>
    <row r="121" spans="1:7" ht="13.2" x14ac:dyDescent="0.25">
      <c r="A121" s="1" t="s">
        <v>15</v>
      </c>
      <c r="B121" t="s">
        <v>166</v>
      </c>
      <c r="C121">
        <v>30</v>
      </c>
      <c r="D121" t="s">
        <v>56</v>
      </c>
      <c r="E121" t="s">
        <v>46</v>
      </c>
      <c r="F121" t="s">
        <v>39</v>
      </c>
      <c r="G121" t="s">
        <v>39</v>
      </c>
    </row>
    <row r="122" spans="1:7" ht="13.2" x14ac:dyDescent="0.25">
      <c r="A122" s="1" t="s">
        <v>15</v>
      </c>
      <c r="B122" t="s">
        <v>167</v>
      </c>
      <c r="C122">
        <v>31</v>
      </c>
      <c r="D122" t="s">
        <v>41</v>
      </c>
      <c r="E122" t="s">
        <v>46</v>
      </c>
      <c r="F122" t="s">
        <v>39</v>
      </c>
      <c r="G122" t="s">
        <v>39</v>
      </c>
    </row>
    <row r="123" spans="1:7" ht="13.2" x14ac:dyDescent="0.25">
      <c r="A123" s="1" t="s">
        <v>15</v>
      </c>
      <c r="B123" t="s">
        <v>168</v>
      </c>
      <c r="C123">
        <v>18</v>
      </c>
      <c r="D123" t="s">
        <v>36</v>
      </c>
      <c r="E123" t="s">
        <v>37</v>
      </c>
      <c r="F123" t="s">
        <v>39</v>
      </c>
      <c r="G123" t="s">
        <v>39</v>
      </c>
    </row>
    <row r="124" spans="1:7" ht="13.2" x14ac:dyDescent="0.25">
      <c r="A124" s="1" t="s">
        <v>15</v>
      </c>
      <c r="B124" t="s">
        <v>169</v>
      </c>
      <c r="C124">
        <v>4</v>
      </c>
      <c r="D124" t="s">
        <v>41</v>
      </c>
      <c r="E124" t="s">
        <v>37</v>
      </c>
      <c r="F124" t="s">
        <v>39</v>
      </c>
      <c r="G124" t="s">
        <v>39</v>
      </c>
    </row>
    <row r="125" spans="1:7" ht="13.2" x14ac:dyDescent="0.25">
      <c r="A125" s="1" t="s">
        <v>15</v>
      </c>
      <c r="B125" t="s">
        <v>170</v>
      </c>
      <c r="C125">
        <v>9</v>
      </c>
      <c r="D125" t="s">
        <v>36</v>
      </c>
      <c r="E125" t="s">
        <v>37</v>
      </c>
      <c r="F125" t="s">
        <v>39</v>
      </c>
      <c r="G125" t="s">
        <v>39</v>
      </c>
    </row>
    <row r="126" spans="1:7" ht="13.2" x14ac:dyDescent="0.25">
      <c r="A126" s="1" t="s">
        <v>15</v>
      </c>
      <c r="B126" t="s">
        <v>171</v>
      </c>
      <c r="C126">
        <v>32</v>
      </c>
      <c r="D126" t="s">
        <v>62</v>
      </c>
      <c r="E126" t="s">
        <v>37</v>
      </c>
      <c r="F126" t="s">
        <v>39</v>
      </c>
      <c r="G126" t="s">
        <v>39</v>
      </c>
    </row>
    <row r="127" spans="1:7" ht="13.2" x14ac:dyDescent="0.25">
      <c r="A127" s="1" t="s">
        <v>15</v>
      </c>
      <c r="B127" t="s">
        <v>172</v>
      </c>
      <c r="C127">
        <v>27</v>
      </c>
      <c r="D127" t="s">
        <v>62</v>
      </c>
      <c r="E127" t="s">
        <v>42</v>
      </c>
      <c r="F127" t="s">
        <v>80</v>
      </c>
      <c r="G127" t="s">
        <v>39</v>
      </c>
    </row>
    <row r="128" spans="1:7" ht="13.2" x14ac:dyDescent="0.25">
      <c r="A128" s="1" t="s">
        <v>15</v>
      </c>
      <c r="B128" t="s">
        <v>173</v>
      </c>
      <c r="C128">
        <v>7</v>
      </c>
      <c r="D128" t="s">
        <v>36</v>
      </c>
      <c r="E128" t="s">
        <v>37</v>
      </c>
      <c r="F128" t="s">
        <v>38</v>
      </c>
      <c r="G128" t="s">
        <v>39</v>
      </c>
    </row>
    <row r="129" spans="1:7" ht="13.2" x14ac:dyDescent="0.25">
      <c r="A129" s="1" t="s">
        <v>15</v>
      </c>
      <c r="B129" t="s">
        <v>174</v>
      </c>
      <c r="C129">
        <v>22</v>
      </c>
      <c r="D129" t="s">
        <v>41</v>
      </c>
      <c r="E129" t="s">
        <v>42</v>
      </c>
      <c r="F129" t="s">
        <v>39</v>
      </c>
      <c r="G129" t="s">
        <v>39</v>
      </c>
    </row>
    <row r="130" spans="1:7" ht="13.2" x14ac:dyDescent="0.25">
      <c r="A130" s="1" t="s">
        <v>15</v>
      </c>
      <c r="B130" t="s">
        <v>175</v>
      </c>
      <c r="C130">
        <v>20</v>
      </c>
      <c r="D130" t="s">
        <v>36</v>
      </c>
      <c r="E130" t="s">
        <v>37</v>
      </c>
      <c r="F130" t="s">
        <v>50</v>
      </c>
      <c r="G130" t="s">
        <v>39</v>
      </c>
    </row>
    <row r="131" spans="1:7" ht="13.2" x14ac:dyDescent="0.25">
      <c r="A131" s="1" t="s">
        <v>15</v>
      </c>
      <c r="B131" t="s">
        <v>176</v>
      </c>
      <c r="C131">
        <v>23</v>
      </c>
      <c r="D131" t="s">
        <v>56</v>
      </c>
      <c r="E131" t="s">
        <v>37</v>
      </c>
      <c r="F131" t="s">
        <v>39</v>
      </c>
      <c r="G131" t="s">
        <v>39</v>
      </c>
    </row>
    <row r="132" spans="1:7" ht="13.2" x14ac:dyDescent="0.25">
      <c r="A132" s="1" t="s">
        <v>15</v>
      </c>
      <c r="B132" t="s">
        <v>177</v>
      </c>
      <c r="C132">
        <v>6</v>
      </c>
      <c r="D132" t="s">
        <v>36</v>
      </c>
      <c r="E132" t="s">
        <v>37</v>
      </c>
      <c r="F132" t="s">
        <v>47</v>
      </c>
      <c r="G132" t="s">
        <v>39</v>
      </c>
    </row>
    <row r="133" spans="1:7" ht="13.2" x14ac:dyDescent="0.25">
      <c r="A133" s="1" t="s">
        <v>15</v>
      </c>
      <c r="B133" t="s">
        <v>178</v>
      </c>
      <c r="C133">
        <v>19</v>
      </c>
      <c r="D133" t="s">
        <v>41</v>
      </c>
      <c r="E133" t="s">
        <v>37</v>
      </c>
      <c r="F133" t="s">
        <v>38</v>
      </c>
      <c r="G133" t="s">
        <v>39</v>
      </c>
    </row>
    <row r="134" spans="1:7" ht="13.2" x14ac:dyDescent="0.25">
      <c r="A134" s="1" t="s">
        <v>15</v>
      </c>
      <c r="B134" t="s">
        <v>179</v>
      </c>
      <c r="C134">
        <v>3</v>
      </c>
      <c r="D134" t="s">
        <v>41</v>
      </c>
      <c r="E134" t="s">
        <v>37</v>
      </c>
      <c r="F134" t="s">
        <v>39</v>
      </c>
      <c r="G134" t="s">
        <v>39</v>
      </c>
    </row>
    <row r="135" spans="1:7" ht="13.2" x14ac:dyDescent="0.25">
      <c r="A135" s="1" t="s">
        <v>15</v>
      </c>
      <c r="B135" t="s">
        <v>180</v>
      </c>
      <c r="C135">
        <v>11</v>
      </c>
      <c r="D135" t="s">
        <v>62</v>
      </c>
      <c r="E135" t="s">
        <v>37</v>
      </c>
      <c r="F135" t="s">
        <v>39</v>
      </c>
      <c r="G135" t="s">
        <v>39</v>
      </c>
    </row>
    <row r="136" spans="1:7" ht="13.2" x14ac:dyDescent="0.25">
      <c r="A136" s="1" t="s">
        <v>15</v>
      </c>
      <c r="B136" t="s">
        <v>39</v>
      </c>
      <c r="C136" t="s">
        <v>39</v>
      </c>
      <c r="D136" t="s">
        <v>39</v>
      </c>
      <c r="E136" t="s">
        <v>39</v>
      </c>
      <c r="F136" t="s">
        <v>39</v>
      </c>
      <c r="G136" t="s">
        <v>39</v>
      </c>
    </row>
    <row r="137" spans="1:7" ht="13.2" x14ac:dyDescent="0.25">
      <c r="A137" s="1" t="s">
        <v>15</v>
      </c>
      <c r="B137" t="s">
        <v>39</v>
      </c>
      <c r="C137" t="s">
        <v>39</v>
      </c>
      <c r="D137" t="s">
        <v>39</v>
      </c>
      <c r="E137" t="s">
        <v>39</v>
      </c>
      <c r="F137" t="s">
        <v>39</v>
      </c>
      <c r="G137" t="s">
        <v>39</v>
      </c>
    </row>
    <row r="138" spans="1:7" ht="13.2" x14ac:dyDescent="0.25">
      <c r="A138" s="1" t="s">
        <v>15</v>
      </c>
      <c r="B138" t="s">
        <v>181</v>
      </c>
      <c r="C138" t="s">
        <v>39</v>
      </c>
      <c r="D138" t="s">
        <v>39</v>
      </c>
      <c r="E138" t="s">
        <v>39</v>
      </c>
      <c r="F138" t="s">
        <v>39</v>
      </c>
      <c r="G138" t="s">
        <v>39</v>
      </c>
    </row>
    <row r="139" spans="1:7" ht="13.2" x14ac:dyDescent="0.25">
      <c r="A139" s="1" t="s">
        <v>15</v>
      </c>
      <c r="B139" t="s">
        <v>84</v>
      </c>
      <c r="C139" t="s">
        <v>39</v>
      </c>
      <c r="D139" t="s">
        <v>39</v>
      </c>
      <c r="E139" t="s">
        <v>39</v>
      </c>
      <c r="F139" t="s">
        <v>39</v>
      </c>
      <c r="G139" t="s">
        <v>39</v>
      </c>
    </row>
    <row r="140" spans="1:7" ht="13.2" x14ac:dyDescent="0.25">
      <c r="A140" s="1" t="s">
        <v>15</v>
      </c>
      <c r="B140" t="s">
        <v>182</v>
      </c>
      <c r="C140">
        <v>12</v>
      </c>
      <c r="D140" t="s">
        <v>56</v>
      </c>
      <c r="E140" t="s">
        <v>73</v>
      </c>
      <c r="F140" t="s">
        <v>89</v>
      </c>
      <c r="G140" t="s">
        <v>39</v>
      </c>
    </row>
    <row r="141" spans="1:7" ht="13.2" x14ac:dyDescent="0.25">
      <c r="A141" s="1" t="s">
        <v>15</v>
      </c>
    </row>
    <row r="142" spans="1:7" ht="13.2" x14ac:dyDescent="0.25">
      <c r="A142" s="1" t="s">
        <v>15</v>
      </c>
    </row>
    <row r="143" spans="1:7" ht="13.2" x14ac:dyDescent="0.25">
      <c r="A143" s="1" t="s">
        <v>15</v>
      </c>
    </row>
    <row r="144" spans="1:7" ht="13.2" x14ac:dyDescent="0.25">
      <c r="A144" t="s">
        <v>16</v>
      </c>
      <c r="B144" t="s">
        <v>183</v>
      </c>
      <c r="C144">
        <v>10</v>
      </c>
      <c r="D144" t="s">
        <v>135</v>
      </c>
      <c r="E144" t="s">
        <v>37</v>
      </c>
      <c r="F144" t="s">
        <v>39</v>
      </c>
      <c r="G144" t="s">
        <v>39</v>
      </c>
    </row>
    <row r="145" spans="1:7" ht="13.2" x14ac:dyDescent="0.25">
      <c r="A145" t="s">
        <v>16</v>
      </c>
      <c r="B145" t="s">
        <v>184</v>
      </c>
      <c r="C145">
        <v>27</v>
      </c>
      <c r="D145" t="s">
        <v>41</v>
      </c>
      <c r="E145" t="s">
        <v>37</v>
      </c>
      <c r="F145" t="s">
        <v>39</v>
      </c>
      <c r="G145" t="s">
        <v>39</v>
      </c>
    </row>
    <row r="146" spans="1:7" ht="13.2" x14ac:dyDescent="0.25">
      <c r="A146" t="s">
        <v>16</v>
      </c>
      <c r="B146" t="s">
        <v>185</v>
      </c>
      <c r="C146">
        <v>7</v>
      </c>
      <c r="D146" t="s">
        <v>135</v>
      </c>
      <c r="E146" t="s">
        <v>37</v>
      </c>
      <c r="F146" t="s">
        <v>65</v>
      </c>
      <c r="G146" t="s">
        <v>39</v>
      </c>
    </row>
    <row r="147" spans="1:7" ht="13.2" x14ac:dyDescent="0.25">
      <c r="A147" t="s">
        <v>16</v>
      </c>
      <c r="B147" t="s">
        <v>186</v>
      </c>
      <c r="C147">
        <v>22</v>
      </c>
      <c r="D147" t="s">
        <v>135</v>
      </c>
      <c r="E147" t="s">
        <v>37</v>
      </c>
      <c r="F147" t="s">
        <v>50</v>
      </c>
      <c r="G147" t="s">
        <v>39</v>
      </c>
    </row>
    <row r="148" spans="1:7" ht="13.2" x14ac:dyDescent="0.25">
      <c r="A148" t="s">
        <v>16</v>
      </c>
      <c r="B148" t="s">
        <v>187</v>
      </c>
      <c r="C148">
        <v>15</v>
      </c>
      <c r="D148" t="s">
        <v>41</v>
      </c>
      <c r="E148" t="s">
        <v>37</v>
      </c>
      <c r="F148" t="s">
        <v>39</v>
      </c>
      <c r="G148" t="s">
        <v>39</v>
      </c>
    </row>
    <row r="149" spans="1:7" ht="13.2" x14ac:dyDescent="0.25">
      <c r="A149" t="s">
        <v>16</v>
      </c>
      <c r="B149" t="s">
        <v>188</v>
      </c>
      <c r="C149">
        <v>13</v>
      </c>
      <c r="D149" t="s">
        <v>41</v>
      </c>
      <c r="E149" t="s">
        <v>37</v>
      </c>
      <c r="F149" t="s">
        <v>39</v>
      </c>
      <c r="G149" t="s">
        <v>39</v>
      </c>
    </row>
    <row r="150" spans="1:7" ht="13.2" x14ac:dyDescent="0.25">
      <c r="A150" t="s">
        <v>16</v>
      </c>
      <c r="B150" t="s">
        <v>189</v>
      </c>
      <c r="C150">
        <v>4</v>
      </c>
      <c r="D150" t="s">
        <v>36</v>
      </c>
      <c r="E150" t="s">
        <v>37</v>
      </c>
      <c r="F150" t="s">
        <v>39</v>
      </c>
      <c r="G150" t="s">
        <v>39</v>
      </c>
    </row>
    <row r="151" spans="1:7" ht="13.2" x14ac:dyDescent="0.25">
      <c r="A151" t="s">
        <v>16</v>
      </c>
      <c r="B151" t="s">
        <v>190</v>
      </c>
      <c r="C151">
        <v>14</v>
      </c>
      <c r="D151" t="s">
        <v>36</v>
      </c>
      <c r="E151" t="s">
        <v>37</v>
      </c>
      <c r="F151" t="s">
        <v>39</v>
      </c>
      <c r="G151" t="s">
        <v>39</v>
      </c>
    </row>
    <row r="152" spans="1:7" ht="13.2" x14ac:dyDescent="0.25">
      <c r="A152" t="s">
        <v>16</v>
      </c>
      <c r="B152" t="s">
        <v>191</v>
      </c>
      <c r="C152">
        <v>21</v>
      </c>
      <c r="D152" t="s">
        <v>192</v>
      </c>
      <c r="E152" t="s">
        <v>46</v>
      </c>
      <c r="F152" t="s">
        <v>47</v>
      </c>
      <c r="G152" t="s">
        <v>39</v>
      </c>
    </row>
    <row r="153" spans="1:7" ht="13.2" x14ac:dyDescent="0.25">
      <c r="A153" t="s">
        <v>16</v>
      </c>
      <c r="B153" t="s">
        <v>193</v>
      </c>
      <c r="C153" t="s">
        <v>39</v>
      </c>
      <c r="D153" t="s">
        <v>41</v>
      </c>
      <c r="E153" t="s">
        <v>37</v>
      </c>
      <c r="F153" t="s">
        <v>39</v>
      </c>
      <c r="G153" t="s">
        <v>39</v>
      </c>
    </row>
    <row r="154" spans="1:7" ht="13.2" x14ac:dyDescent="0.25">
      <c r="A154" t="s">
        <v>16</v>
      </c>
      <c r="B154" t="s">
        <v>194</v>
      </c>
      <c r="C154">
        <v>19</v>
      </c>
      <c r="D154" t="s">
        <v>41</v>
      </c>
      <c r="E154" t="s">
        <v>42</v>
      </c>
      <c r="F154" t="s">
        <v>39</v>
      </c>
      <c r="G154" t="s">
        <v>39</v>
      </c>
    </row>
    <row r="155" spans="1:7" ht="13.2" x14ac:dyDescent="0.25">
      <c r="A155" t="s">
        <v>16</v>
      </c>
      <c r="B155" t="s">
        <v>195</v>
      </c>
      <c r="C155">
        <v>24</v>
      </c>
      <c r="D155" t="s">
        <v>56</v>
      </c>
      <c r="E155" t="s">
        <v>37</v>
      </c>
      <c r="F155" t="s">
        <v>39</v>
      </c>
      <c r="G155" t="s">
        <v>39</v>
      </c>
    </row>
    <row r="156" spans="1:7" ht="13.2" x14ac:dyDescent="0.25">
      <c r="A156" t="s">
        <v>16</v>
      </c>
      <c r="B156" t="s">
        <v>196</v>
      </c>
      <c r="C156">
        <v>23</v>
      </c>
      <c r="D156" t="s">
        <v>36</v>
      </c>
      <c r="E156" t="s">
        <v>46</v>
      </c>
      <c r="F156" t="s">
        <v>47</v>
      </c>
      <c r="G156" t="s">
        <v>39</v>
      </c>
    </row>
    <row r="157" spans="1:7" ht="13.2" x14ac:dyDescent="0.25">
      <c r="A157" t="s">
        <v>16</v>
      </c>
      <c r="B157" t="s">
        <v>197</v>
      </c>
      <c r="C157">
        <v>25</v>
      </c>
      <c r="D157" t="s">
        <v>36</v>
      </c>
      <c r="E157" t="s">
        <v>37</v>
      </c>
      <c r="F157" t="s">
        <v>39</v>
      </c>
      <c r="G157" t="s">
        <v>39</v>
      </c>
    </row>
    <row r="158" spans="1:7" ht="13.2" x14ac:dyDescent="0.25">
      <c r="A158" t="s">
        <v>16</v>
      </c>
      <c r="B158" t="s">
        <v>198</v>
      </c>
      <c r="C158">
        <v>29</v>
      </c>
      <c r="D158" t="s">
        <v>62</v>
      </c>
      <c r="E158" t="s">
        <v>42</v>
      </c>
      <c r="F158" t="s">
        <v>39</v>
      </c>
      <c r="G158" t="s">
        <v>39</v>
      </c>
    </row>
    <row r="159" spans="1:7" ht="13.2" x14ac:dyDescent="0.25">
      <c r="A159" t="s">
        <v>16</v>
      </c>
      <c r="B159" t="s">
        <v>199</v>
      </c>
      <c r="C159">
        <v>2</v>
      </c>
      <c r="D159" t="s">
        <v>41</v>
      </c>
      <c r="E159" t="s">
        <v>200</v>
      </c>
      <c r="F159" t="s">
        <v>39</v>
      </c>
      <c r="G159" t="s">
        <v>201</v>
      </c>
    </row>
    <row r="160" spans="1:7" ht="13.2" x14ac:dyDescent="0.25">
      <c r="A160" t="s">
        <v>16</v>
      </c>
      <c r="B160" t="s">
        <v>202</v>
      </c>
      <c r="C160">
        <v>11</v>
      </c>
      <c r="D160" t="s">
        <v>62</v>
      </c>
      <c r="E160" t="s">
        <v>37</v>
      </c>
      <c r="F160" t="s">
        <v>39</v>
      </c>
      <c r="G160" t="s">
        <v>39</v>
      </c>
    </row>
    <row r="161" spans="1:7" ht="13.2" x14ac:dyDescent="0.25">
      <c r="A161" t="s">
        <v>16</v>
      </c>
      <c r="B161" t="s">
        <v>203</v>
      </c>
      <c r="C161">
        <v>32</v>
      </c>
      <c r="D161" t="s">
        <v>62</v>
      </c>
      <c r="E161" t="s">
        <v>86</v>
      </c>
      <c r="F161" t="s">
        <v>50</v>
      </c>
      <c r="G161" t="s">
        <v>74</v>
      </c>
    </row>
    <row r="162" spans="1:7" ht="13.2" x14ac:dyDescent="0.25">
      <c r="A162" t="s">
        <v>16</v>
      </c>
      <c r="B162" t="s">
        <v>204</v>
      </c>
      <c r="C162">
        <v>28</v>
      </c>
      <c r="D162" t="s">
        <v>41</v>
      </c>
      <c r="E162" t="s">
        <v>37</v>
      </c>
      <c r="F162" t="s">
        <v>50</v>
      </c>
      <c r="G162" t="s">
        <v>39</v>
      </c>
    </row>
    <row r="163" spans="1:7" ht="13.2" x14ac:dyDescent="0.25">
      <c r="A163" t="s">
        <v>16</v>
      </c>
      <c r="B163" t="s">
        <v>205</v>
      </c>
      <c r="C163">
        <v>5</v>
      </c>
      <c r="D163" t="s">
        <v>36</v>
      </c>
      <c r="E163" t="s">
        <v>37</v>
      </c>
      <c r="F163" t="s">
        <v>50</v>
      </c>
      <c r="G163" t="s">
        <v>39</v>
      </c>
    </row>
    <row r="164" spans="1:7" ht="13.2" x14ac:dyDescent="0.25">
      <c r="A164" t="s">
        <v>16</v>
      </c>
      <c r="B164" t="s">
        <v>206</v>
      </c>
      <c r="C164">
        <v>3</v>
      </c>
      <c r="D164" t="s">
        <v>41</v>
      </c>
      <c r="E164" t="s">
        <v>46</v>
      </c>
      <c r="F164" t="s">
        <v>39</v>
      </c>
      <c r="G164" t="s">
        <v>39</v>
      </c>
    </row>
    <row r="165" spans="1:7" ht="13.2" x14ac:dyDescent="0.25">
      <c r="A165" t="s">
        <v>16</v>
      </c>
      <c r="B165" t="s">
        <v>207</v>
      </c>
      <c r="C165">
        <v>6</v>
      </c>
      <c r="D165" t="s">
        <v>41</v>
      </c>
      <c r="E165" t="s">
        <v>37</v>
      </c>
      <c r="F165" t="s">
        <v>39</v>
      </c>
      <c r="G165" t="s">
        <v>39</v>
      </c>
    </row>
    <row r="166" spans="1:7" ht="13.2" x14ac:dyDescent="0.25">
      <c r="A166" t="s">
        <v>16</v>
      </c>
      <c r="B166" t="s">
        <v>208</v>
      </c>
      <c r="C166">
        <v>1</v>
      </c>
      <c r="D166" t="s">
        <v>56</v>
      </c>
      <c r="E166" t="s">
        <v>37</v>
      </c>
      <c r="F166" t="s">
        <v>50</v>
      </c>
      <c r="G166" t="s">
        <v>39</v>
      </c>
    </row>
    <row r="167" spans="1:7" ht="13.2" x14ac:dyDescent="0.25">
      <c r="A167" t="s">
        <v>16</v>
      </c>
      <c r="B167" t="s">
        <v>209</v>
      </c>
      <c r="C167">
        <v>20</v>
      </c>
      <c r="D167" t="s">
        <v>41</v>
      </c>
      <c r="E167" t="s">
        <v>46</v>
      </c>
      <c r="F167" t="s">
        <v>47</v>
      </c>
      <c r="G167" t="s">
        <v>39</v>
      </c>
    </row>
    <row r="168" spans="1:7" ht="13.2" x14ac:dyDescent="0.25">
      <c r="A168" t="s">
        <v>16</v>
      </c>
      <c r="B168" t="s">
        <v>210</v>
      </c>
      <c r="C168">
        <v>9</v>
      </c>
      <c r="D168" t="s">
        <v>211</v>
      </c>
      <c r="E168" t="s">
        <v>37</v>
      </c>
      <c r="F168" t="s">
        <v>38</v>
      </c>
      <c r="G168" t="s">
        <v>39</v>
      </c>
    </row>
    <row r="169" spans="1:7" ht="13.2" x14ac:dyDescent="0.25">
      <c r="A169" t="s">
        <v>16</v>
      </c>
      <c r="B169" t="s">
        <v>212</v>
      </c>
      <c r="C169">
        <v>8</v>
      </c>
      <c r="D169" t="s">
        <v>36</v>
      </c>
      <c r="E169" t="s">
        <v>117</v>
      </c>
      <c r="F169" t="s">
        <v>50</v>
      </c>
      <c r="G169" t="s">
        <v>118</v>
      </c>
    </row>
    <row r="170" spans="1:7" ht="13.2" x14ac:dyDescent="0.25">
      <c r="A170" t="s">
        <v>16</v>
      </c>
      <c r="B170" t="s">
        <v>213</v>
      </c>
      <c r="C170">
        <v>18</v>
      </c>
      <c r="D170" t="s">
        <v>135</v>
      </c>
      <c r="E170" t="s">
        <v>37</v>
      </c>
      <c r="F170" t="s">
        <v>50</v>
      </c>
      <c r="G170" t="s">
        <v>39</v>
      </c>
    </row>
    <row r="171" spans="1:7" ht="13.2" x14ac:dyDescent="0.25">
      <c r="A171" t="s">
        <v>16</v>
      </c>
      <c r="B171" t="s">
        <v>214</v>
      </c>
      <c r="C171">
        <v>48</v>
      </c>
      <c r="D171" t="s">
        <v>56</v>
      </c>
      <c r="E171" t="s">
        <v>42</v>
      </c>
      <c r="F171" t="s">
        <v>39</v>
      </c>
      <c r="G171" t="s">
        <v>39</v>
      </c>
    </row>
    <row r="172" spans="1:7" ht="13.2" x14ac:dyDescent="0.25">
      <c r="A172" t="s">
        <v>16</v>
      </c>
      <c r="B172" t="s">
        <v>39</v>
      </c>
      <c r="C172" t="s">
        <v>39</v>
      </c>
      <c r="D172" t="s">
        <v>39</v>
      </c>
      <c r="E172" t="s">
        <v>39</v>
      </c>
      <c r="F172" t="s">
        <v>39</v>
      </c>
      <c r="G172" t="s">
        <v>39</v>
      </c>
    </row>
    <row r="173" spans="1:7" ht="13.2" x14ac:dyDescent="0.25">
      <c r="A173" t="s">
        <v>16</v>
      </c>
      <c r="B173" t="s">
        <v>39</v>
      </c>
      <c r="C173" t="s">
        <v>39</v>
      </c>
      <c r="D173" t="s">
        <v>39</v>
      </c>
      <c r="E173" t="s">
        <v>39</v>
      </c>
      <c r="F173" t="s">
        <v>39</v>
      </c>
      <c r="G173" t="s">
        <v>39</v>
      </c>
    </row>
    <row r="174" spans="1:7" ht="13.2" x14ac:dyDescent="0.25">
      <c r="A174" t="s">
        <v>16</v>
      </c>
      <c r="B174" t="s">
        <v>181</v>
      </c>
      <c r="C174" t="s">
        <v>39</v>
      </c>
      <c r="D174" t="s">
        <v>39</v>
      </c>
      <c r="E174" t="s">
        <v>39</v>
      </c>
      <c r="F174" t="s">
        <v>39</v>
      </c>
      <c r="G174" t="s">
        <v>39</v>
      </c>
    </row>
    <row r="175" spans="1:7" ht="13.2" x14ac:dyDescent="0.25">
      <c r="A175" t="s">
        <v>16</v>
      </c>
    </row>
    <row r="176" spans="1:7" ht="13.2" x14ac:dyDescent="0.25">
      <c r="A176" t="s">
        <v>16</v>
      </c>
    </row>
    <row r="177" spans="1:7" ht="13.2" x14ac:dyDescent="0.25">
      <c r="A177" t="s">
        <v>16</v>
      </c>
    </row>
    <row r="178" spans="1:7" ht="13.2" x14ac:dyDescent="0.25">
      <c r="A178" s="1" t="s">
        <v>17</v>
      </c>
      <c r="B178" t="s">
        <v>215</v>
      </c>
      <c r="C178">
        <v>44</v>
      </c>
      <c r="D178" t="s">
        <v>36</v>
      </c>
      <c r="E178" t="s">
        <v>37</v>
      </c>
      <c r="F178" t="s">
        <v>50</v>
      </c>
      <c r="G178" t="s">
        <v>39</v>
      </c>
    </row>
    <row r="179" spans="1:7" ht="13.2" x14ac:dyDescent="0.25">
      <c r="A179" s="1" t="s">
        <v>17</v>
      </c>
      <c r="B179" t="s">
        <v>216</v>
      </c>
      <c r="C179">
        <v>13</v>
      </c>
      <c r="D179" t="s">
        <v>62</v>
      </c>
      <c r="E179" t="s">
        <v>37</v>
      </c>
      <c r="F179" t="s">
        <v>39</v>
      </c>
      <c r="G179" t="s">
        <v>39</v>
      </c>
    </row>
    <row r="180" spans="1:7" ht="13.2" x14ac:dyDescent="0.25">
      <c r="A180" s="1" t="s">
        <v>17</v>
      </c>
      <c r="B180" t="s">
        <v>217</v>
      </c>
      <c r="C180">
        <v>10</v>
      </c>
      <c r="D180" t="s">
        <v>36</v>
      </c>
      <c r="E180" t="s">
        <v>37</v>
      </c>
      <c r="F180" t="s">
        <v>50</v>
      </c>
      <c r="G180" t="s">
        <v>39</v>
      </c>
    </row>
    <row r="181" spans="1:7" ht="13.2" x14ac:dyDescent="0.25">
      <c r="A181" s="1" t="s">
        <v>17</v>
      </c>
      <c r="B181" t="s">
        <v>218</v>
      </c>
      <c r="C181">
        <v>17</v>
      </c>
      <c r="D181" t="s">
        <v>62</v>
      </c>
      <c r="E181" t="s">
        <v>86</v>
      </c>
      <c r="F181" t="s">
        <v>50</v>
      </c>
      <c r="G181" t="s">
        <v>74</v>
      </c>
    </row>
    <row r="182" spans="1:7" ht="13.2" x14ac:dyDescent="0.25">
      <c r="A182" s="1" t="s">
        <v>17</v>
      </c>
      <c r="B182" t="s">
        <v>219</v>
      </c>
      <c r="C182">
        <v>16</v>
      </c>
      <c r="D182" t="s">
        <v>62</v>
      </c>
      <c r="E182" t="s">
        <v>37</v>
      </c>
      <c r="F182" t="s">
        <v>50</v>
      </c>
      <c r="G182" t="s">
        <v>39</v>
      </c>
    </row>
    <row r="183" spans="1:7" ht="13.2" x14ac:dyDescent="0.25">
      <c r="A183" s="1" t="s">
        <v>17</v>
      </c>
      <c r="B183" t="s">
        <v>220</v>
      </c>
      <c r="C183">
        <v>21</v>
      </c>
      <c r="D183" t="s">
        <v>36</v>
      </c>
      <c r="E183" t="s">
        <v>37</v>
      </c>
      <c r="F183" t="s">
        <v>39</v>
      </c>
      <c r="G183" t="s">
        <v>39</v>
      </c>
    </row>
    <row r="184" spans="1:7" ht="13.2" x14ac:dyDescent="0.25">
      <c r="A184" s="1" t="s">
        <v>17</v>
      </c>
      <c r="B184" t="s">
        <v>221</v>
      </c>
      <c r="C184">
        <v>2</v>
      </c>
      <c r="D184" t="s">
        <v>41</v>
      </c>
      <c r="E184" t="s">
        <v>46</v>
      </c>
      <c r="F184" t="s">
        <v>47</v>
      </c>
      <c r="G184" t="s">
        <v>39</v>
      </c>
    </row>
    <row r="185" spans="1:7" ht="13.2" x14ac:dyDescent="0.25">
      <c r="A185" s="1" t="s">
        <v>17</v>
      </c>
      <c r="B185" t="s">
        <v>222</v>
      </c>
      <c r="C185">
        <v>34</v>
      </c>
      <c r="D185" t="s">
        <v>41</v>
      </c>
      <c r="E185" t="s">
        <v>46</v>
      </c>
      <c r="F185" t="s">
        <v>47</v>
      </c>
      <c r="G185" t="s">
        <v>39</v>
      </c>
    </row>
    <row r="186" spans="1:7" ht="13.2" x14ac:dyDescent="0.25">
      <c r="A186" s="1" t="s">
        <v>17</v>
      </c>
      <c r="B186" t="s">
        <v>223</v>
      </c>
      <c r="C186">
        <v>9</v>
      </c>
      <c r="D186" t="s">
        <v>62</v>
      </c>
      <c r="E186" t="s">
        <v>37</v>
      </c>
      <c r="F186" t="s">
        <v>44</v>
      </c>
      <c r="G186" t="s">
        <v>39</v>
      </c>
    </row>
    <row r="187" spans="1:7" ht="13.2" x14ac:dyDescent="0.25">
      <c r="A187" s="1" t="s">
        <v>17</v>
      </c>
      <c r="B187" t="s">
        <v>224</v>
      </c>
      <c r="C187">
        <v>27</v>
      </c>
      <c r="D187" t="s">
        <v>62</v>
      </c>
      <c r="E187" t="s">
        <v>46</v>
      </c>
      <c r="F187" t="s">
        <v>47</v>
      </c>
      <c r="G187" t="s">
        <v>39</v>
      </c>
    </row>
    <row r="188" spans="1:7" ht="13.2" x14ac:dyDescent="0.25">
      <c r="A188" s="1" t="s">
        <v>17</v>
      </c>
      <c r="B188" t="s">
        <v>225</v>
      </c>
      <c r="C188">
        <v>31</v>
      </c>
      <c r="D188" t="s">
        <v>41</v>
      </c>
      <c r="E188" t="s">
        <v>37</v>
      </c>
      <c r="F188" t="s">
        <v>50</v>
      </c>
      <c r="G188" t="s">
        <v>39</v>
      </c>
    </row>
    <row r="189" spans="1:7" ht="13.2" x14ac:dyDescent="0.25">
      <c r="A189" s="1" t="s">
        <v>17</v>
      </c>
      <c r="B189" t="s">
        <v>226</v>
      </c>
      <c r="C189">
        <v>1</v>
      </c>
      <c r="D189" t="s">
        <v>56</v>
      </c>
      <c r="E189" t="s">
        <v>37</v>
      </c>
      <c r="F189" t="s">
        <v>47</v>
      </c>
      <c r="G189" t="s">
        <v>39</v>
      </c>
    </row>
    <row r="190" spans="1:7" ht="13.2" x14ac:dyDescent="0.25">
      <c r="A190" s="1" t="s">
        <v>17</v>
      </c>
      <c r="B190" t="s">
        <v>227</v>
      </c>
      <c r="C190">
        <v>7</v>
      </c>
      <c r="D190" t="s">
        <v>36</v>
      </c>
      <c r="E190" t="s">
        <v>37</v>
      </c>
      <c r="F190" t="s">
        <v>44</v>
      </c>
      <c r="G190" t="s">
        <v>39</v>
      </c>
    </row>
    <row r="191" spans="1:7" ht="13.2" x14ac:dyDescent="0.25">
      <c r="A191" s="1" t="s">
        <v>17</v>
      </c>
      <c r="B191" t="s">
        <v>228</v>
      </c>
      <c r="C191">
        <v>15</v>
      </c>
      <c r="D191" t="s">
        <v>36</v>
      </c>
      <c r="E191" t="s">
        <v>37</v>
      </c>
      <c r="F191" t="s">
        <v>39</v>
      </c>
      <c r="G191" t="s">
        <v>39</v>
      </c>
    </row>
    <row r="192" spans="1:7" ht="13.2" x14ac:dyDescent="0.25">
      <c r="A192" s="1" t="s">
        <v>17</v>
      </c>
      <c r="B192" t="s">
        <v>229</v>
      </c>
      <c r="C192">
        <v>24</v>
      </c>
      <c r="D192" t="s">
        <v>41</v>
      </c>
      <c r="E192" t="s">
        <v>37</v>
      </c>
      <c r="F192" t="s">
        <v>39</v>
      </c>
      <c r="G192" t="s">
        <v>39</v>
      </c>
    </row>
    <row r="193" spans="1:7" ht="13.2" x14ac:dyDescent="0.25">
      <c r="A193" s="1" t="s">
        <v>17</v>
      </c>
      <c r="B193" t="s">
        <v>230</v>
      </c>
      <c r="C193" t="s">
        <v>39</v>
      </c>
      <c r="D193" t="s">
        <v>39</v>
      </c>
      <c r="E193" t="s">
        <v>37</v>
      </c>
      <c r="F193" t="s">
        <v>39</v>
      </c>
      <c r="G193" t="s">
        <v>39</v>
      </c>
    </row>
    <row r="194" spans="1:7" ht="13.2" x14ac:dyDescent="0.25">
      <c r="A194" s="1" t="s">
        <v>17</v>
      </c>
      <c r="B194" t="s">
        <v>231</v>
      </c>
      <c r="C194">
        <v>12</v>
      </c>
      <c r="D194" t="s">
        <v>36</v>
      </c>
      <c r="E194" t="s">
        <v>37</v>
      </c>
      <c r="F194" t="s">
        <v>39</v>
      </c>
      <c r="G194" t="s">
        <v>39</v>
      </c>
    </row>
    <row r="195" spans="1:7" ht="13.2" x14ac:dyDescent="0.25">
      <c r="A195" s="1" t="s">
        <v>17</v>
      </c>
      <c r="B195" t="s">
        <v>232</v>
      </c>
      <c r="C195">
        <v>20</v>
      </c>
      <c r="D195" t="s">
        <v>36</v>
      </c>
      <c r="E195" t="s">
        <v>37</v>
      </c>
      <c r="F195" t="s">
        <v>50</v>
      </c>
      <c r="G195" t="s">
        <v>39</v>
      </c>
    </row>
    <row r="196" spans="1:7" ht="13.2" x14ac:dyDescent="0.25">
      <c r="A196" s="1" t="s">
        <v>17</v>
      </c>
      <c r="B196" t="s">
        <v>233</v>
      </c>
      <c r="C196">
        <v>14</v>
      </c>
      <c r="D196" t="s">
        <v>56</v>
      </c>
      <c r="E196" t="s">
        <v>37</v>
      </c>
      <c r="F196" t="s">
        <v>39</v>
      </c>
      <c r="G196" t="s">
        <v>39</v>
      </c>
    </row>
    <row r="197" spans="1:7" ht="13.2" x14ac:dyDescent="0.25">
      <c r="A197" s="1" t="s">
        <v>17</v>
      </c>
      <c r="B197" t="s">
        <v>234</v>
      </c>
      <c r="C197">
        <v>11</v>
      </c>
      <c r="D197" t="s">
        <v>36</v>
      </c>
      <c r="E197" t="s">
        <v>37</v>
      </c>
      <c r="F197" t="s">
        <v>44</v>
      </c>
      <c r="G197" t="s">
        <v>39</v>
      </c>
    </row>
    <row r="198" spans="1:7" ht="13.2" x14ac:dyDescent="0.25">
      <c r="A198" s="1" t="s">
        <v>17</v>
      </c>
      <c r="B198" t="s">
        <v>235</v>
      </c>
      <c r="C198">
        <v>6</v>
      </c>
      <c r="D198" t="s">
        <v>41</v>
      </c>
      <c r="E198" t="s">
        <v>37</v>
      </c>
      <c r="F198" t="s">
        <v>50</v>
      </c>
      <c r="G198" t="s">
        <v>39</v>
      </c>
    </row>
    <row r="199" spans="1:7" ht="13.2" x14ac:dyDescent="0.25">
      <c r="A199" s="1" t="s">
        <v>17</v>
      </c>
      <c r="B199" t="s">
        <v>236</v>
      </c>
      <c r="C199">
        <v>19</v>
      </c>
      <c r="D199" t="s">
        <v>36</v>
      </c>
      <c r="E199" t="s">
        <v>42</v>
      </c>
      <c r="F199" t="s">
        <v>47</v>
      </c>
      <c r="G199" t="s">
        <v>39</v>
      </c>
    </row>
    <row r="200" spans="1:7" ht="13.2" x14ac:dyDescent="0.25">
      <c r="A200" s="1" t="s">
        <v>17</v>
      </c>
      <c r="B200" t="s">
        <v>237</v>
      </c>
      <c r="C200">
        <v>32</v>
      </c>
      <c r="D200" t="s">
        <v>41</v>
      </c>
      <c r="E200" t="s">
        <v>46</v>
      </c>
      <c r="F200" t="s">
        <v>47</v>
      </c>
      <c r="G200" t="s">
        <v>39</v>
      </c>
    </row>
    <row r="201" spans="1:7" ht="13.2" x14ac:dyDescent="0.25">
      <c r="A201" s="1" t="s">
        <v>17</v>
      </c>
      <c r="B201" t="s">
        <v>238</v>
      </c>
      <c r="C201">
        <v>29</v>
      </c>
      <c r="D201" t="s">
        <v>62</v>
      </c>
      <c r="E201" t="s">
        <v>46</v>
      </c>
      <c r="F201" t="s">
        <v>47</v>
      </c>
      <c r="G201" t="s">
        <v>39</v>
      </c>
    </row>
    <row r="202" spans="1:7" ht="13.2" x14ac:dyDescent="0.25">
      <c r="A202" s="1" t="s">
        <v>17</v>
      </c>
      <c r="B202" t="s">
        <v>239</v>
      </c>
      <c r="C202">
        <v>18</v>
      </c>
      <c r="D202" t="s">
        <v>36</v>
      </c>
      <c r="E202" t="s">
        <v>46</v>
      </c>
      <c r="F202" t="s">
        <v>47</v>
      </c>
      <c r="G202" t="s">
        <v>39</v>
      </c>
    </row>
    <row r="203" spans="1:7" ht="13.2" x14ac:dyDescent="0.25">
      <c r="A203" s="1" t="s">
        <v>17</v>
      </c>
      <c r="B203" t="s">
        <v>240</v>
      </c>
      <c r="C203">
        <v>22</v>
      </c>
      <c r="D203" t="s">
        <v>62</v>
      </c>
      <c r="E203" t="s">
        <v>86</v>
      </c>
      <c r="F203" t="s">
        <v>50</v>
      </c>
      <c r="G203" t="s">
        <v>74</v>
      </c>
    </row>
    <row r="204" spans="1:7" ht="13.2" x14ac:dyDescent="0.25">
      <c r="A204" s="1" t="s">
        <v>17</v>
      </c>
      <c r="B204" t="s">
        <v>241</v>
      </c>
      <c r="C204">
        <v>8</v>
      </c>
      <c r="D204" t="s">
        <v>36</v>
      </c>
      <c r="E204" t="s">
        <v>37</v>
      </c>
      <c r="F204" t="s">
        <v>47</v>
      </c>
      <c r="G204" t="s">
        <v>39</v>
      </c>
    </row>
    <row r="205" spans="1:7" ht="13.2" x14ac:dyDescent="0.25">
      <c r="A205" s="1" t="s">
        <v>17</v>
      </c>
      <c r="B205" t="s">
        <v>242</v>
      </c>
      <c r="C205">
        <v>37</v>
      </c>
      <c r="D205" t="s">
        <v>62</v>
      </c>
      <c r="E205" t="s">
        <v>37</v>
      </c>
      <c r="F205" t="s">
        <v>39</v>
      </c>
      <c r="G205" t="s">
        <v>39</v>
      </c>
    </row>
    <row r="206" spans="1:7" ht="13.2" x14ac:dyDescent="0.25">
      <c r="A206" s="1" t="s">
        <v>17</v>
      </c>
      <c r="B206" t="s">
        <v>243</v>
      </c>
      <c r="C206">
        <v>3</v>
      </c>
      <c r="D206" t="s">
        <v>41</v>
      </c>
      <c r="E206" t="s">
        <v>37</v>
      </c>
      <c r="F206" t="s">
        <v>50</v>
      </c>
      <c r="G206" t="s">
        <v>39</v>
      </c>
    </row>
    <row r="207" spans="1:7" ht="13.2" x14ac:dyDescent="0.25">
      <c r="A207" s="1" t="s">
        <v>17</v>
      </c>
      <c r="B207" t="s">
        <v>244</v>
      </c>
      <c r="C207">
        <v>30</v>
      </c>
      <c r="D207" t="s">
        <v>56</v>
      </c>
      <c r="E207" t="s">
        <v>42</v>
      </c>
      <c r="F207" t="s">
        <v>39</v>
      </c>
      <c r="G207" t="s">
        <v>39</v>
      </c>
    </row>
    <row r="208" spans="1:7" ht="13.2" x14ac:dyDescent="0.25">
      <c r="A208" s="1" t="s">
        <v>17</v>
      </c>
      <c r="B208" t="s">
        <v>83</v>
      </c>
      <c r="C208" t="s">
        <v>39</v>
      </c>
      <c r="D208" t="s">
        <v>39</v>
      </c>
      <c r="E208" t="s">
        <v>39</v>
      </c>
      <c r="F208" t="s">
        <v>39</v>
      </c>
      <c r="G208" t="s">
        <v>39</v>
      </c>
    </row>
    <row r="209" spans="1:7" ht="13.2" x14ac:dyDescent="0.25">
      <c r="A209" s="1" t="s">
        <v>17</v>
      </c>
      <c r="B209" t="s">
        <v>84</v>
      </c>
      <c r="C209" t="s">
        <v>39</v>
      </c>
      <c r="D209" t="s">
        <v>39</v>
      </c>
      <c r="E209" t="s">
        <v>39</v>
      </c>
      <c r="F209" t="s">
        <v>39</v>
      </c>
      <c r="G209" t="s">
        <v>39</v>
      </c>
    </row>
    <row r="210" spans="1:7" ht="13.2" x14ac:dyDescent="0.25">
      <c r="A210" s="1" t="s">
        <v>17</v>
      </c>
      <c r="B210" t="s">
        <v>245</v>
      </c>
      <c r="C210" t="s">
        <v>39</v>
      </c>
      <c r="D210" t="s">
        <v>39</v>
      </c>
      <c r="E210" t="s">
        <v>88</v>
      </c>
      <c r="F210" t="s">
        <v>89</v>
      </c>
      <c r="G210" t="s">
        <v>39</v>
      </c>
    </row>
    <row r="211" spans="1:7" ht="13.2" x14ac:dyDescent="0.25">
      <c r="A211" s="1" t="s">
        <v>17</v>
      </c>
      <c r="B211" t="s">
        <v>246</v>
      </c>
      <c r="C211" t="s">
        <v>39</v>
      </c>
      <c r="D211" t="s">
        <v>41</v>
      </c>
      <c r="E211" t="s">
        <v>88</v>
      </c>
      <c r="F211" t="s">
        <v>74</v>
      </c>
      <c r="G211" t="s">
        <v>39</v>
      </c>
    </row>
    <row r="212" spans="1:7" ht="13.2" x14ac:dyDescent="0.25">
      <c r="A212" s="1" t="s">
        <v>18</v>
      </c>
      <c r="B212" t="s">
        <v>247</v>
      </c>
      <c r="C212">
        <v>6</v>
      </c>
      <c r="D212" t="s">
        <v>36</v>
      </c>
      <c r="E212" t="s">
        <v>37</v>
      </c>
      <c r="F212" t="s">
        <v>39</v>
      </c>
      <c r="G212" t="s">
        <v>39</v>
      </c>
    </row>
    <row r="213" spans="1:7" ht="13.2" x14ac:dyDescent="0.25">
      <c r="A213" s="1" t="s">
        <v>18</v>
      </c>
      <c r="B213" t="s">
        <v>248</v>
      </c>
      <c r="C213">
        <v>12</v>
      </c>
      <c r="D213" t="s">
        <v>36</v>
      </c>
      <c r="E213" t="s">
        <v>37</v>
      </c>
      <c r="F213" t="s">
        <v>39</v>
      </c>
      <c r="G213" t="s">
        <v>39</v>
      </c>
    </row>
    <row r="214" spans="1:7" ht="13.2" x14ac:dyDescent="0.25">
      <c r="A214" s="1" t="s">
        <v>18</v>
      </c>
      <c r="B214" t="s">
        <v>249</v>
      </c>
      <c r="C214">
        <v>7</v>
      </c>
      <c r="D214" t="s">
        <v>41</v>
      </c>
      <c r="E214" t="s">
        <v>37</v>
      </c>
      <c r="F214" t="s">
        <v>39</v>
      </c>
      <c r="G214" t="s">
        <v>39</v>
      </c>
    </row>
    <row r="215" spans="1:7" ht="13.2" x14ac:dyDescent="0.25">
      <c r="A215" s="1" t="s">
        <v>18</v>
      </c>
      <c r="B215" t="s">
        <v>250</v>
      </c>
      <c r="C215">
        <v>25</v>
      </c>
      <c r="D215" t="s">
        <v>36</v>
      </c>
      <c r="E215" t="s">
        <v>42</v>
      </c>
      <c r="F215" t="s">
        <v>39</v>
      </c>
      <c r="G215" t="s">
        <v>39</v>
      </c>
    </row>
    <row r="216" spans="1:7" ht="13.2" x14ac:dyDescent="0.25">
      <c r="A216" s="1" t="s">
        <v>18</v>
      </c>
      <c r="B216" t="s">
        <v>251</v>
      </c>
      <c r="C216">
        <v>5</v>
      </c>
      <c r="D216" t="s">
        <v>36</v>
      </c>
      <c r="E216" t="s">
        <v>37</v>
      </c>
      <c r="F216" t="s">
        <v>50</v>
      </c>
      <c r="G216" t="s">
        <v>39</v>
      </c>
    </row>
    <row r="217" spans="1:7" ht="13.2" x14ac:dyDescent="0.25">
      <c r="A217" s="1" t="s">
        <v>18</v>
      </c>
      <c r="B217" t="s">
        <v>252</v>
      </c>
      <c r="C217">
        <v>24</v>
      </c>
      <c r="D217" t="s">
        <v>36</v>
      </c>
      <c r="E217" t="s">
        <v>37</v>
      </c>
      <c r="F217" t="s">
        <v>39</v>
      </c>
      <c r="G217" t="s">
        <v>39</v>
      </c>
    </row>
    <row r="218" spans="1:7" ht="13.2" x14ac:dyDescent="0.25">
      <c r="A218" s="1" t="s">
        <v>18</v>
      </c>
      <c r="B218" t="s">
        <v>253</v>
      </c>
      <c r="C218">
        <v>20</v>
      </c>
      <c r="D218" t="s">
        <v>41</v>
      </c>
      <c r="E218" t="s">
        <v>117</v>
      </c>
      <c r="F218" t="s">
        <v>39</v>
      </c>
      <c r="G218" t="s">
        <v>118</v>
      </c>
    </row>
    <row r="219" spans="1:7" ht="13.2" x14ac:dyDescent="0.25">
      <c r="A219" s="1" t="s">
        <v>18</v>
      </c>
      <c r="B219" t="s">
        <v>254</v>
      </c>
      <c r="C219" t="s">
        <v>39</v>
      </c>
      <c r="D219" t="s">
        <v>56</v>
      </c>
      <c r="E219" t="s">
        <v>46</v>
      </c>
      <c r="F219" t="s">
        <v>39</v>
      </c>
      <c r="G219" t="s">
        <v>39</v>
      </c>
    </row>
    <row r="220" spans="1:7" ht="13.2" x14ac:dyDescent="0.25">
      <c r="A220" s="1" t="s">
        <v>18</v>
      </c>
      <c r="B220" t="s">
        <v>255</v>
      </c>
      <c r="C220">
        <v>30</v>
      </c>
      <c r="D220" t="s">
        <v>41</v>
      </c>
      <c r="E220" t="s">
        <v>46</v>
      </c>
      <c r="F220" t="s">
        <v>39</v>
      </c>
      <c r="G220" t="s">
        <v>39</v>
      </c>
    </row>
    <row r="221" spans="1:7" ht="13.2" x14ac:dyDescent="0.25">
      <c r="A221" s="1" t="s">
        <v>18</v>
      </c>
      <c r="B221" t="s">
        <v>256</v>
      </c>
      <c r="C221">
        <v>17</v>
      </c>
      <c r="D221" t="s">
        <v>62</v>
      </c>
      <c r="E221" t="s">
        <v>37</v>
      </c>
      <c r="F221" t="s">
        <v>44</v>
      </c>
      <c r="G221" t="s">
        <v>39</v>
      </c>
    </row>
    <row r="222" spans="1:7" ht="13.2" x14ac:dyDescent="0.25">
      <c r="A222" s="1" t="s">
        <v>18</v>
      </c>
      <c r="B222" t="s">
        <v>257</v>
      </c>
      <c r="C222">
        <v>2</v>
      </c>
      <c r="D222" t="s">
        <v>41</v>
      </c>
      <c r="E222" t="s">
        <v>37</v>
      </c>
      <c r="F222" t="s">
        <v>50</v>
      </c>
      <c r="G222" t="s">
        <v>39</v>
      </c>
    </row>
    <row r="223" spans="1:7" ht="13.2" x14ac:dyDescent="0.25">
      <c r="A223" s="1" t="s">
        <v>18</v>
      </c>
      <c r="B223" t="s">
        <v>258</v>
      </c>
      <c r="C223">
        <v>27</v>
      </c>
      <c r="D223" t="s">
        <v>36</v>
      </c>
      <c r="E223" t="s">
        <v>37</v>
      </c>
      <c r="F223" t="s">
        <v>39</v>
      </c>
      <c r="G223" t="s">
        <v>39</v>
      </c>
    </row>
    <row r="224" spans="1:7" ht="13.2" x14ac:dyDescent="0.25">
      <c r="A224" s="1" t="s">
        <v>18</v>
      </c>
      <c r="B224" t="s">
        <v>259</v>
      </c>
      <c r="C224">
        <v>16</v>
      </c>
      <c r="D224" t="s">
        <v>41</v>
      </c>
      <c r="E224" t="s">
        <v>42</v>
      </c>
      <c r="F224" t="s">
        <v>39</v>
      </c>
      <c r="G224" t="s">
        <v>39</v>
      </c>
    </row>
    <row r="225" spans="1:7" ht="13.2" x14ac:dyDescent="0.25">
      <c r="A225" s="1" t="s">
        <v>18</v>
      </c>
      <c r="B225" t="s">
        <v>260</v>
      </c>
      <c r="C225">
        <v>13</v>
      </c>
      <c r="D225" t="s">
        <v>36</v>
      </c>
      <c r="E225" t="s">
        <v>37</v>
      </c>
      <c r="F225" t="s">
        <v>39</v>
      </c>
      <c r="G225" t="s">
        <v>39</v>
      </c>
    </row>
    <row r="226" spans="1:7" ht="13.2" x14ac:dyDescent="0.25">
      <c r="A226" s="1" t="s">
        <v>18</v>
      </c>
      <c r="B226" t="s">
        <v>261</v>
      </c>
      <c r="C226">
        <v>22</v>
      </c>
      <c r="D226" t="s">
        <v>41</v>
      </c>
      <c r="E226" t="s">
        <v>37</v>
      </c>
      <c r="F226" t="s">
        <v>39</v>
      </c>
      <c r="G226" t="s">
        <v>39</v>
      </c>
    </row>
    <row r="227" spans="1:7" ht="13.2" x14ac:dyDescent="0.25">
      <c r="A227" s="1" t="s">
        <v>18</v>
      </c>
      <c r="B227" t="s">
        <v>262</v>
      </c>
      <c r="C227">
        <v>14</v>
      </c>
      <c r="D227" t="s">
        <v>41</v>
      </c>
      <c r="E227" t="s">
        <v>37</v>
      </c>
      <c r="F227" t="s">
        <v>50</v>
      </c>
      <c r="G227" t="s">
        <v>39</v>
      </c>
    </row>
    <row r="228" spans="1:7" ht="13.2" x14ac:dyDescent="0.25">
      <c r="A228" s="1" t="s">
        <v>18</v>
      </c>
      <c r="B228" t="s">
        <v>263</v>
      </c>
      <c r="C228">
        <v>3</v>
      </c>
      <c r="D228" t="s">
        <v>41</v>
      </c>
      <c r="E228" t="s">
        <v>37</v>
      </c>
      <c r="F228" t="s">
        <v>50</v>
      </c>
      <c r="G228" t="s">
        <v>39</v>
      </c>
    </row>
    <row r="229" spans="1:7" ht="13.2" x14ac:dyDescent="0.25">
      <c r="A229" s="1" t="s">
        <v>18</v>
      </c>
      <c r="B229" t="s">
        <v>264</v>
      </c>
      <c r="C229">
        <v>9</v>
      </c>
      <c r="D229" t="s">
        <v>62</v>
      </c>
      <c r="E229" t="s">
        <v>37</v>
      </c>
      <c r="F229" t="s">
        <v>39</v>
      </c>
      <c r="G229" t="s">
        <v>39</v>
      </c>
    </row>
    <row r="230" spans="1:7" ht="13.2" x14ac:dyDescent="0.25">
      <c r="A230" s="1" t="s">
        <v>18</v>
      </c>
      <c r="B230" t="s">
        <v>265</v>
      </c>
      <c r="C230">
        <v>10</v>
      </c>
      <c r="D230" t="s">
        <v>62</v>
      </c>
      <c r="E230" t="s">
        <v>37</v>
      </c>
      <c r="F230" t="s">
        <v>44</v>
      </c>
      <c r="G230" t="s">
        <v>39</v>
      </c>
    </row>
    <row r="231" spans="1:7" ht="13.2" x14ac:dyDescent="0.25">
      <c r="A231" s="1" t="s">
        <v>18</v>
      </c>
      <c r="B231" t="s">
        <v>266</v>
      </c>
      <c r="C231">
        <v>26</v>
      </c>
      <c r="D231" t="s">
        <v>56</v>
      </c>
      <c r="E231" t="s">
        <v>46</v>
      </c>
      <c r="F231" t="s">
        <v>39</v>
      </c>
      <c r="G231" t="s">
        <v>39</v>
      </c>
    </row>
    <row r="232" spans="1:7" ht="13.2" x14ac:dyDescent="0.25">
      <c r="A232" s="1" t="s">
        <v>18</v>
      </c>
      <c r="B232" t="s">
        <v>267</v>
      </c>
      <c r="C232" t="s">
        <v>39</v>
      </c>
      <c r="D232" t="s">
        <v>62</v>
      </c>
      <c r="E232" t="s">
        <v>37</v>
      </c>
      <c r="F232" t="s">
        <v>50</v>
      </c>
      <c r="G232" t="s">
        <v>39</v>
      </c>
    </row>
    <row r="233" spans="1:7" ht="13.2" x14ac:dyDescent="0.25">
      <c r="A233" s="1" t="s">
        <v>18</v>
      </c>
      <c r="B233" t="s">
        <v>268</v>
      </c>
      <c r="C233">
        <v>31</v>
      </c>
      <c r="D233" t="s">
        <v>62</v>
      </c>
      <c r="E233" t="s">
        <v>37</v>
      </c>
      <c r="F233" t="s">
        <v>39</v>
      </c>
      <c r="G233" t="s">
        <v>39</v>
      </c>
    </row>
    <row r="234" spans="1:7" ht="13.2" x14ac:dyDescent="0.25">
      <c r="A234" s="1" t="s">
        <v>18</v>
      </c>
      <c r="B234" t="s">
        <v>269</v>
      </c>
      <c r="C234">
        <v>15</v>
      </c>
      <c r="D234" t="s">
        <v>41</v>
      </c>
      <c r="E234" t="s">
        <v>200</v>
      </c>
      <c r="F234" t="s">
        <v>39</v>
      </c>
      <c r="G234" t="s">
        <v>201</v>
      </c>
    </row>
    <row r="235" spans="1:7" ht="13.2" x14ac:dyDescent="0.25">
      <c r="A235" s="1" t="s">
        <v>18</v>
      </c>
      <c r="B235" t="s">
        <v>270</v>
      </c>
      <c r="C235">
        <v>8</v>
      </c>
      <c r="D235" t="s">
        <v>36</v>
      </c>
      <c r="E235" t="s">
        <v>46</v>
      </c>
      <c r="F235" t="s">
        <v>47</v>
      </c>
      <c r="G235" t="s">
        <v>39</v>
      </c>
    </row>
    <row r="236" spans="1:7" ht="13.2" x14ac:dyDescent="0.25">
      <c r="A236" s="1" t="s">
        <v>18</v>
      </c>
      <c r="B236" t="s">
        <v>271</v>
      </c>
      <c r="C236">
        <v>18</v>
      </c>
      <c r="D236" t="s">
        <v>56</v>
      </c>
      <c r="E236" t="s">
        <v>37</v>
      </c>
      <c r="F236" t="s">
        <v>39</v>
      </c>
      <c r="G236" t="s">
        <v>39</v>
      </c>
    </row>
    <row r="237" spans="1:7" ht="13.2" x14ac:dyDescent="0.25">
      <c r="A237" s="1" t="s">
        <v>18</v>
      </c>
      <c r="B237" t="s">
        <v>272</v>
      </c>
      <c r="C237">
        <v>4</v>
      </c>
      <c r="D237" t="s">
        <v>41</v>
      </c>
      <c r="E237" t="s">
        <v>37</v>
      </c>
      <c r="F237" t="s">
        <v>50</v>
      </c>
      <c r="G237" t="s">
        <v>39</v>
      </c>
    </row>
    <row r="238" spans="1:7" ht="13.2" x14ac:dyDescent="0.25">
      <c r="A238" s="1" t="s">
        <v>18</v>
      </c>
      <c r="B238" t="s">
        <v>273</v>
      </c>
      <c r="C238">
        <v>19</v>
      </c>
      <c r="D238" t="s">
        <v>62</v>
      </c>
      <c r="E238" t="s">
        <v>274</v>
      </c>
      <c r="F238" t="s">
        <v>39</v>
      </c>
      <c r="G238" t="s">
        <v>201</v>
      </c>
    </row>
    <row r="239" spans="1:7" ht="13.2" x14ac:dyDescent="0.25">
      <c r="A239" s="1" t="s">
        <v>18</v>
      </c>
      <c r="B239" t="s">
        <v>275</v>
      </c>
      <c r="C239">
        <v>33</v>
      </c>
      <c r="D239" t="s">
        <v>41</v>
      </c>
      <c r="E239" t="s">
        <v>42</v>
      </c>
      <c r="F239" t="s">
        <v>39</v>
      </c>
      <c r="G239" t="s">
        <v>39</v>
      </c>
    </row>
    <row r="240" spans="1:7" ht="13.2" x14ac:dyDescent="0.25">
      <c r="A240" s="1" t="s">
        <v>18</v>
      </c>
      <c r="B240" t="s">
        <v>276</v>
      </c>
      <c r="C240">
        <v>11</v>
      </c>
      <c r="D240" t="s">
        <v>36</v>
      </c>
      <c r="E240" t="s">
        <v>37</v>
      </c>
      <c r="F240" t="s">
        <v>39</v>
      </c>
      <c r="G240" t="s">
        <v>39</v>
      </c>
    </row>
    <row r="241" spans="1:7" ht="13.2" x14ac:dyDescent="0.25">
      <c r="A241" s="1" t="s">
        <v>18</v>
      </c>
      <c r="B241" t="s">
        <v>277</v>
      </c>
      <c r="C241">
        <v>23</v>
      </c>
      <c r="D241" t="s">
        <v>56</v>
      </c>
      <c r="E241" t="s">
        <v>37</v>
      </c>
      <c r="F241" t="s">
        <v>39</v>
      </c>
      <c r="G241" t="s">
        <v>39</v>
      </c>
    </row>
    <row r="242" spans="1:7" ht="13.2" x14ac:dyDescent="0.25">
      <c r="A242" s="1" t="s">
        <v>18</v>
      </c>
      <c r="B242" t="s">
        <v>83</v>
      </c>
      <c r="C242" t="s">
        <v>39</v>
      </c>
      <c r="D242" t="s">
        <v>39</v>
      </c>
      <c r="E242" t="s">
        <v>39</v>
      </c>
      <c r="F242" t="s">
        <v>39</v>
      </c>
      <c r="G242" t="s">
        <v>39</v>
      </c>
    </row>
    <row r="243" spans="1:7" ht="13.2" x14ac:dyDescent="0.25">
      <c r="A243" s="1" t="s">
        <v>18</v>
      </c>
    </row>
    <row r="244" spans="1:7" ht="13.2" x14ac:dyDescent="0.25">
      <c r="A244" s="1" t="s">
        <v>18</v>
      </c>
    </row>
    <row r="245" spans="1:7" ht="13.2" x14ac:dyDescent="0.25">
      <c r="A245" s="1" t="s">
        <v>18</v>
      </c>
    </row>
    <row r="246" spans="1:7" ht="13.2" x14ac:dyDescent="0.25">
      <c r="A246" s="1" t="s">
        <v>18</v>
      </c>
    </row>
    <row r="247" spans="1:7" ht="13.2" x14ac:dyDescent="0.25">
      <c r="A247" s="1" t="s">
        <v>18</v>
      </c>
    </row>
    <row r="248" spans="1:7" ht="13.2" x14ac:dyDescent="0.25">
      <c r="A248" s="1" t="s">
        <v>19</v>
      </c>
      <c r="B248" t="s">
        <v>278</v>
      </c>
      <c r="C248">
        <v>7</v>
      </c>
      <c r="D248" t="s">
        <v>36</v>
      </c>
      <c r="E248" t="s">
        <v>37</v>
      </c>
      <c r="F248" t="s">
        <v>38</v>
      </c>
      <c r="G248" t="s">
        <v>39</v>
      </c>
    </row>
    <row r="249" spans="1:7" ht="13.2" x14ac:dyDescent="0.25">
      <c r="A249" s="1" t="s">
        <v>19</v>
      </c>
      <c r="B249" t="s">
        <v>279</v>
      </c>
      <c r="C249">
        <v>21</v>
      </c>
      <c r="D249" t="s">
        <v>41</v>
      </c>
      <c r="E249" t="s">
        <v>46</v>
      </c>
      <c r="F249" t="s">
        <v>47</v>
      </c>
      <c r="G249" t="s">
        <v>39</v>
      </c>
    </row>
    <row r="250" spans="1:7" ht="13.2" x14ac:dyDescent="0.25">
      <c r="A250" s="1" t="s">
        <v>19</v>
      </c>
      <c r="B250" t="s">
        <v>280</v>
      </c>
      <c r="C250">
        <v>1</v>
      </c>
      <c r="D250" t="s">
        <v>56</v>
      </c>
      <c r="E250" t="s">
        <v>37</v>
      </c>
      <c r="F250" t="s">
        <v>39</v>
      </c>
      <c r="G250" t="s">
        <v>39</v>
      </c>
    </row>
    <row r="251" spans="1:7" ht="13.2" x14ac:dyDescent="0.25">
      <c r="A251" s="1" t="s">
        <v>19</v>
      </c>
      <c r="B251" t="s">
        <v>281</v>
      </c>
      <c r="C251">
        <v>24</v>
      </c>
      <c r="D251" t="s">
        <v>36</v>
      </c>
      <c r="E251" t="s">
        <v>37</v>
      </c>
      <c r="F251" t="s">
        <v>39</v>
      </c>
      <c r="G251" t="s">
        <v>39</v>
      </c>
    </row>
    <row r="252" spans="1:7" ht="13.2" x14ac:dyDescent="0.25">
      <c r="A252" s="1" t="s">
        <v>19</v>
      </c>
      <c r="B252" t="s">
        <v>282</v>
      </c>
      <c r="C252">
        <v>14</v>
      </c>
      <c r="D252" t="s">
        <v>36</v>
      </c>
      <c r="E252" t="s">
        <v>42</v>
      </c>
      <c r="F252" t="s">
        <v>39</v>
      </c>
      <c r="G252" t="s">
        <v>39</v>
      </c>
    </row>
    <row r="253" spans="1:7" ht="13.2" x14ac:dyDescent="0.25">
      <c r="A253" s="1" t="s">
        <v>19</v>
      </c>
      <c r="B253" t="s">
        <v>283</v>
      </c>
      <c r="C253">
        <v>28</v>
      </c>
      <c r="D253" t="s">
        <v>41</v>
      </c>
      <c r="E253" t="s">
        <v>37</v>
      </c>
      <c r="F253" t="s">
        <v>50</v>
      </c>
      <c r="G253" t="s">
        <v>39</v>
      </c>
    </row>
    <row r="254" spans="1:7" ht="13.2" x14ac:dyDescent="0.25">
      <c r="A254" s="1" t="s">
        <v>19</v>
      </c>
      <c r="B254" t="s">
        <v>284</v>
      </c>
      <c r="C254">
        <v>3</v>
      </c>
      <c r="D254" t="s">
        <v>41</v>
      </c>
      <c r="E254" t="s">
        <v>37</v>
      </c>
      <c r="F254" t="s">
        <v>50</v>
      </c>
      <c r="G254" t="s">
        <v>39</v>
      </c>
    </row>
    <row r="255" spans="1:7" ht="13.2" x14ac:dyDescent="0.25">
      <c r="A255" s="1" t="s">
        <v>19</v>
      </c>
      <c r="B255" t="s">
        <v>285</v>
      </c>
      <c r="C255">
        <v>10</v>
      </c>
      <c r="D255" t="s">
        <v>62</v>
      </c>
      <c r="E255" t="s">
        <v>37</v>
      </c>
      <c r="F255" t="s">
        <v>38</v>
      </c>
      <c r="G255" t="s">
        <v>39</v>
      </c>
    </row>
    <row r="256" spans="1:7" ht="13.2" x14ac:dyDescent="0.25">
      <c r="A256" s="1" t="s">
        <v>19</v>
      </c>
      <c r="B256" t="s">
        <v>286</v>
      </c>
      <c r="C256">
        <v>8</v>
      </c>
      <c r="D256" t="s">
        <v>36</v>
      </c>
      <c r="E256" t="s">
        <v>37</v>
      </c>
      <c r="F256" t="s">
        <v>38</v>
      </c>
      <c r="G256" t="s">
        <v>39</v>
      </c>
    </row>
    <row r="257" spans="1:7" ht="13.2" x14ac:dyDescent="0.25">
      <c r="A257" s="1" t="s">
        <v>19</v>
      </c>
      <c r="B257" t="s">
        <v>287</v>
      </c>
      <c r="C257">
        <v>25</v>
      </c>
      <c r="D257" t="s">
        <v>41</v>
      </c>
      <c r="E257" t="s">
        <v>37</v>
      </c>
      <c r="F257" t="s">
        <v>50</v>
      </c>
      <c r="G257" t="s">
        <v>39</v>
      </c>
    </row>
    <row r="258" spans="1:7" ht="13.2" x14ac:dyDescent="0.25">
      <c r="A258" s="1" t="s">
        <v>19</v>
      </c>
      <c r="B258" t="s">
        <v>288</v>
      </c>
      <c r="C258">
        <v>20</v>
      </c>
      <c r="D258" t="s">
        <v>41</v>
      </c>
      <c r="E258" t="s">
        <v>42</v>
      </c>
      <c r="F258" t="s">
        <v>39</v>
      </c>
      <c r="G258" t="s">
        <v>39</v>
      </c>
    </row>
    <row r="259" spans="1:7" ht="13.2" x14ac:dyDescent="0.25">
      <c r="A259" s="1" t="s">
        <v>19</v>
      </c>
      <c r="B259" t="s">
        <v>289</v>
      </c>
      <c r="C259">
        <v>6</v>
      </c>
      <c r="D259" t="s">
        <v>36</v>
      </c>
      <c r="E259" t="s">
        <v>37</v>
      </c>
      <c r="F259" t="s">
        <v>39</v>
      </c>
      <c r="G259" t="s">
        <v>39</v>
      </c>
    </row>
    <row r="260" spans="1:7" ht="13.2" x14ac:dyDescent="0.25">
      <c r="A260" s="1" t="s">
        <v>19</v>
      </c>
      <c r="B260" t="s">
        <v>290</v>
      </c>
      <c r="C260">
        <v>9</v>
      </c>
      <c r="D260" t="s">
        <v>62</v>
      </c>
      <c r="E260" t="s">
        <v>37</v>
      </c>
      <c r="F260" t="s">
        <v>50</v>
      </c>
      <c r="G260" t="s">
        <v>39</v>
      </c>
    </row>
    <row r="261" spans="1:7" ht="13.2" x14ac:dyDescent="0.25">
      <c r="A261" s="1" t="s">
        <v>19</v>
      </c>
      <c r="B261" t="s">
        <v>291</v>
      </c>
      <c r="C261">
        <v>38</v>
      </c>
      <c r="D261" t="s">
        <v>62</v>
      </c>
      <c r="E261" t="s">
        <v>46</v>
      </c>
      <c r="F261" t="s">
        <v>47</v>
      </c>
      <c r="G261" t="s">
        <v>39</v>
      </c>
    </row>
    <row r="262" spans="1:7" ht="13.2" x14ac:dyDescent="0.25">
      <c r="A262" s="1" t="s">
        <v>19</v>
      </c>
      <c r="B262" t="s">
        <v>292</v>
      </c>
      <c r="C262">
        <v>11</v>
      </c>
      <c r="D262" t="s">
        <v>62</v>
      </c>
      <c r="E262" t="s">
        <v>37</v>
      </c>
      <c r="F262" t="s">
        <v>39</v>
      </c>
      <c r="G262" t="s">
        <v>39</v>
      </c>
    </row>
    <row r="263" spans="1:7" ht="13.2" x14ac:dyDescent="0.25">
      <c r="A263" s="1" t="s">
        <v>19</v>
      </c>
      <c r="B263" t="s">
        <v>293</v>
      </c>
      <c r="C263">
        <v>2</v>
      </c>
      <c r="D263" t="s">
        <v>36</v>
      </c>
      <c r="E263" t="s">
        <v>37</v>
      </c>
      <c r="F263" t="s">
        <v>39</v>
      </c>
      <c r="G263" t="s">
        <v>39</v>
      </c>
    </row>
    <row r="264" spans="1:7" ht="13.2" x14ac:dyDescent="0.25">
      <c r="A264" s="1" t="s">
        <v>19</v>
      </c>
      <c r="B264" t="s">
        <v>294</v>
      </c>
      <c r="C264">
        <v>15</v>
      </c>
      <c r="D264" t="s">
        <v>62</v>
      </c>
      <c r="E264" t="s">
        <v>46</v>
      </c>
      <c r="F264" t="s">
        <v>47</v>
      </c>
      <c r="G264" t="s">
        <v>39</v>
      </c>
    </row>
    <row r="265" spans="1:7" ht="13.2" x14ac:dyDescent="0.25">
      <c r="A265" s="1" t="s">
        <v>19</v>
      </c>
      <c r="B265" t="s">
        <v>295</v>
      </c>
      <c r="C265">
        <v>17</v>
      </c>
      <c r="D265" t="s">
        <v>36</v>
      </c>
      <c r="E265" t="s">
        <v>37</v>
      </c>
      <c r="F265" t="s">
        <v>39</v>
      </c>
      <c r="G265" t="s">
        <v>39</v>
      </c>
    </row>
    <row r="266" spans="1:7" ht="13.2" x14ac:dyDescent="0.25">
      <c r="A266" s="1" t="s">
        <v>19</v>
      </c>
      <c r="B266" t="s">
        <v>296</v>
      </c>
      <c r="C266">
        <v>88</v>
      </c>
      <c r="D266" t="s">
        <v>36</v>
      </c>
      <c r="E266" t="s">
        <v>79</v>
      </c>
      <c r="F266" t="s">
        <v>50</v>
      </c>
      <c r="G266" t="s">
        <v>74</v>
      </c>
    </row>
    <row r="267" spans="1:7" ht="13.2" x14ac:dyDescent="0.25">
      <c r="A267" s="1" t="s">
        <v>19</v>
      </c>
      <c r="B267" t="s">
        <v>297</v>
      </c>
      <c r="C267">
        <v>19</v>
      </c>
      <c r="D267" t="s">
        <v>62</v>
      </c>
      <c r="E267" t="s">
        <v>37</v>
      </c>
      <c r="F267" t="s">
        <v>39</v>
      </c>
      <c r="G267" t="s">
        <v>39</v>
      </c>
    </row>
    <row r="268" spans="1:7" ht="13.2" x14ac:dyDescent="0.25">
      <c r="A268" s="1" t="s">
        <v>19</v>
      </c>
      <c r="B268" t="s">
        <v>298</v>
      </c>
      <c r="C268">
        <v>4</v>
      </c>
      <c r="D268" t="s">
        <v>41</v>
      </c>
      <c r="E268" t="s">
        <v>37</v>
      </c>
      <c r="F268" t="s">
        <v>39</v>
      </c>
      <c r="G268" t="s">
        <v>39</v>
      </c>
    </row>
    <row r="269" spans="1:7" ht="13.2" x14ac:dyDescent="0.25">
      <c r="A269" s="1" t="s">
        <v>19</v>
      </c>
      <c r="B269" t="s">
        <v>299</v>
      </c>
      <c r="C269">
        <v>16</v>
      </c>
      <c r="D269" t="s">
        <v>41</v>
      </c>
      <c r="E269" t="s">
        <v>37</v>
      </c>
      <c r="F269" t="s">
        <v>50</v>
      </c>
      <c r="G269" t="s">
        <v>39</v>
      </c>
    </row>
    <row r="270" spans="1:7" ht="13.2" x14ac:dyDescent="0.25">
      <c r="A270" s="1" t="s">
        <v>19</v>
      </c>
      <c r="B270" t="s">
        <v>300</v>
      </c>
      <c r="C270">
        <v>5</v>
      </c>
      <c r="D270" t="s">
        <v>41</v>
      </c>
      <c r="E270" t="s">
        <v>37</v>
      </c>
      <c r="F270" t="s">
        <v>39</v>
      </c>
      <c r="G270" t="s">
        <v>39</v>
      </c>
    </row>
    <row r="271" spans="1:7" ht="13.2" x14ac:dyDescent="0.25">
      <c r="A271" s="1" t="s">
        <v>19</v>
      </c>
      <c r="B271" t="s">
        <v>301</v>
      </c>
      <c r="C271">
        <v>12</v>
      </c>
      <c r="D271" t="s">
        <v>56</v>
      </c>
      <c r="E271" t="s">
        <v>42</v>
      </c>
      <c r="F271" t="s">
        <v>39</v>
      </c>
      <c r="G271" t="s">
        <v>39</v>
      </c>
    </row>
    <row r="272" spans="1:7" ht="13.2" x14ac:dyDescent="0.25">
      <c r="A272" s="1" t="s">
        <v>19</v>
      </c>
      <c r="B272" t="s">
        <v>302</v>
      </c>
      <c r="C272">
        <v>41</v>
      </c>
      <c r="D272" t="s">
        <v>56</v>
      </c>
      <c r="E272" t="s">
        <v>46</v>
      </c>
      <c r="F272" t="s">
        <v>39</v>
      </c>
      <c r="G272" t="s">
        <v>39</v>
      </c>
    </row>
    <row r="273" spans="1:7" ht="13.2" x14ac:dyDescent="0.25">
      <c r="A273" s="1" t="s">
        <v>19</v>
      </c>
      <c r="B273" t="s">
        <v>303</v>
      </c>
      <c r="C273" t="s">
        <v>39</v>
      </c>
      <c r="D273" t="s">
        <v>39</v>
      </c>
      <c r="E273" t="s">
        <v>42</v>
      </c>
      <c r="F273" t="s">
        <v>39</v>
      </c>
      <c r="G273" t="s">
        <v>39</v>
      </c>
    </row>
    <row r="274" spans="1:7" ht="13.2" x14ac:dyDescent="0.25">
      <c r="A274" s="1" t="s">
        <v>19</v>
      </c>
      <c r="B274" t="s">
        <v>39</v>
      </c>
      <c r="C274" t="s">
        <v>39</v>
      </c>
      <c r="D274" t="s">
        <v>39</v>
      </c>
      <c r="E274" t="s">
        <v>39</v>
      </c>
      <c r="F274" t="s">
        <v>39</v>
      </c>
      <c r="G274" t="s">
        <v>39</v>
      </c>
    </row>
    <row r="275" spans="1:7" ht="13.2" x14ac:dyDescent="0.25">
      <c r="A275" s="1" t="s">
        <v>19</v>
      </c>
      <c r="B275" t="s">
        <v>39</v>
      </c>
      <c r="C275" t="s">
        <v>39</v>
      </c>
      <c r="D275" t="s">
        <v>39</v>
      </c>
      <c r="E275" t="s">
        <v>39</v>
      </c>
      <c r="F275" t="s">
        <v>39</v>
      </c>
      <c r="G275" t="s">
        <v>39</v>
      </c>
    </row>
    <row r="276" spans="1:7" ht="13.2" x14ac:dyDescent="0.25">
      <c r="A276" s="1" t="s">
        <v>19</v>
      </c>
      <c r="B276" t="s">
        <v>39</v>
      </c>
      <c r="C276" t="s">
        <v>39</v>
      </c>
      <c r="D276" t="s">
        <v>39</v>
      </c>
      <c r="E276" t="s">
        <v>39</v>
      </c>
      <c r="F276" t="s">
        <v>39</v>
      </c>
      <c r="G276" t="s">
        <v>39</v>
      </c>
    </row>
    <row r="277" spans="1:7" ht="13.2" x14ac:dyDescent="0.25">
      <c r="A277" s="1" t="s">
        <v>19</v>
      </c>
      <c r="B277" t="s">
        <v>39</v>
      </c>
      <c r="C277" t="s">
        <v>39</v>
      </c>
      <c r="D277" t="s">
        <v>39</v>
      </c>
      <c r="E277" t="s">
        <v>39</v>
      </c>
      <c r="F277" t="s">
        <v>39</v>
      </c>
      <c r="G277" t="s">
        <v>39</v>
      </c>
    </row>
    <row r="278" spans="1:7" ht="13.2" x14ac:dyDescent="0.25">
      <c r="A278" s="1" t="s">
        <v>19</v>
      </c>
      <c r="B278" t="s">
        <v>304</v>
      </c>
      <c r="C278" t="s">
        <v>39</v>
      </c>
      <c r="D278" t="s">
        <v>39</v>
      </c>
      <c r="E278" t="s">
        <v>39</v>
      </c>
      <c r="F278" t="s">
        <v>39</v>
      </c>
      <c r="G278" t="s">
        <v>39</v>
      </c>
    </row>
    <row r="279" spans="1:7" ht="13.2" x14ac:dyDescent="0.25">
      <c r="A279" s="1" t="s">
        <v>19</v>
      </c>
      <c r="B279" t="s">
        <v>84</v>
      </c>
      <c r="C279" t="s">
        <v>39</v>
      </c>
      <c r="D279" t="s">
        <v>39</v>
      </c>
      <c r="E279" t="s">
        <v>39</v>
      </c>
      <c r="F279" t="s">
        <v>39</v>
      </c>
      <c r="G279" t="s">
        <v>39</v>
      </c>
    </row>
    <row r="280" spans="1:7" ht="13.2" x14ac:dyDescent="0.25">
      <c r="A280" s="1" t="s">
        <v>19</v>
      </c>
      <c r="B280" t="s">
        <v>305</v>
      </c>
      <c r="C280" t="s">
        <v>39</v>
      </c>
      <c r="D280" t="s">
        <v>39</v>
      </c>
      <c r="E280" t="s">
        <v>73</v>
      </c>
      <c r="F280" t="s">
        <v>89</v>
      </c>
      <c r="G280" t="s">
        <v>39</v>
      </c>
    </row>
    <row r="281" spans="1:7" ht="13.2" x14ac:dyDescent="0.25">
      <c r="A281" s="1" t="s">
        <v>19</v>
      </c>
    </row>
    <row r="282" spans="1:7" ht="13.2" x14ac:dyDescent="0.25">
      <c r="A282" s="1" t="s">
        <v>19</v>
      </c>
    </row>
    <row r="283" spans="1:7" ht="13.2" x14ac:dyDescent="0.25">
      <c r="A283" s="1" t="s">
        <v>19</v>
      </c>
    </row>
    <row r="284" spans="1:7" ht="13.2" x14ac:dyDescent="0.25">
      <c r="A284" s="1" t="s">
        <v>20</v>
      </c>
      <c r="B284" t="s">
        <v>306</v>
      </c>
      <c r="C284">
        <v>25</v>
      </c>
      <c r="D284" t="s">
        <v>41</v>
      </c>
      <c r="E284" t="s">
        <v>37</v>
      </c>
      <c r="F284" t="s">
        <v>50</v>
      </c>
      <c r="G284" t="s">
        <v>39</v>
      </c>
    </row>
    <row r="285" spans="1:7" ht="13.2" x14ac:dyDescent="0.25">
      <c r="A285" s="1" t="s">
        <v>20</v>
      </c>
      <c r="B285" t="s">
        <v>307</v>
      </c>
      <c r="C285">
        <v>8</v>
      </c>
      <c r="D285" t="s">
        <v>41</v>
      </c>
      <c r="E285" t="s">
        <v>37</v>
      </c>
      <c r="F285" t="s">
        <v>39</v>
      </c>
      <c r="G285" t="s">
        <v>39</v>
      </c>
    </row>
    <row r="286" spans="1:7" ht="13.2" x14ac:dyDescent="0.25">
      <c r="A286" s="1" t="s">
        <v>20</v>
      </c>
      <c r="B286" t="s">
        <v>308</v>
      </c>
      <c r="C286">
        <v>5</v>
      </c>
      <c r="D286" t="s">
        <v>41</v>
      </c>
      <c r="E286" t="s">
        <v>37</v>
      </c>
      <c r="F286" t="s">
        <v>39</v>
      </c>
      <c r="G286" t="s">
        <v>39</v>
      </c>
    </row>
    <row r="287" spans="1:7" ht="13.2" x14ac:dyDescent="0.25">
      <c r="A287" s="1" t="s">
        <v>20</v>
      </c>
      <c r="B287" t="s">
        <v>309</v>
      </c>
      <c r="C287">
        <v>6</v>
      </c>
      <c r="D287" t="s">
        <v>36</v>
      </c>
      <c r="E287" t="s">
        <v>37</v>
      </c>
      <c r="F287" t="s">
        <v>39</v>
      </c>
      <c r="G287" t="s">
        <v>39</v>
      </c>
    </row>
    <row r="288" spans="1:7" ht="13.2" x14ac:dyDescent="0.25">
      <c r="A288" s="1" t="s">
        <v>20</v>
      </c>
      <c r="B288" t="s">
        <v>310</v>
      </c>
      <c r="C288">
        <v>9</v>
      </c>
      <c r="D288" t="s">
        <v>62</v>
      </c>
      <c r="E288" t="s">
        <v>42</v>
      </c>
      <c r="F288" t="s">
        <v>71</v>
      </c>
      <c r="G288" t="s">
        <v>39</v>
      </c>
    </row>
    <row r="289" spans="1:7" ht="13.2" x14ac:dyDescent="0.25">
      <c r="A289" s="1" t="s">
        <v>20</v>
      </c>
      <c r="B289" t="s">
        <v>311</v>
      </c>
      <c r="C289">
        <v>32</v>
      </c>
      <c r="D289" t="s">
        <v>101</v>
      </c>
      <c r="E289" t="s">
        <v>37</v>
      </c>
      <c r="F289" t="s">
        <v>50</v>
      </c>
      <c r="G289" t="s">
        <v>39</v>
      </c>
    </row>
    <row r="290" spans="1:7" ht="13.2" x14ac:dyDescent="0.25">
      <c r="A290" s="1" t="s">
        <v>20</v>
      </c>
      <c r="B290" t="s">
        <v>312</v>
      </c>
      <c r="C290">
        <v>16</v>
      </c>
      <c r="D290" t="s">
        <v>36</v>
      </c>
      <c r="E290" t="s">
        <v>46</v>
      </c>
      <c r="F290" t="s">
        <v>47</v>
      </c>
      <c r="G290" t="s">
        <v>39</v>
      </c>
    </row>
    <row r="291" spans="1:7" ht="13.2" x14ac:dyDescent="0.25">
      <c r="A291" s="1" t="s">
        <v>20</v>
      </c>
      <c r="B291" t="s">
        <v>313</v>
      </c>
      <c r="C291">
        <v>10</v>
      </c>
      <c r="D291" t="s">
        <v>36</v>
      </c>
      <c r="E291" t="s">
        <v>37</v>
      </c>
      <c r="F291" t="s">
        <v>39</v>
      </c>
      <c r="G291" t="s">
        <v>39</v>
      </c>
    </row>
    <row r="292" spans="1:7" ht="13.2" x14ac:dyDescent="0.25">
      <c r="A292" s="1" t="s">
        <v>20</v>
      </c>
      <c r="B292" t="s">
        <v>314</v>
      </c>
      <c r="C292">
        <v>11</v>
      </c>
      <c r="D292" t="s">
        <v>36</v>
      </c>
      <c r="E292" t="s">
        <v>37</v>
      </c>
      <c r="F292" t="s">
        <v>50</v>
      </c>
      <c r="G292" t="s">
        <v>39</v>
      </c>
    </row>
    <row r="293" spans="1:7" ht="13.2" x14ac:dyDescent="0.25">
      <c r="A293" s="1" t="s">
        <v>20</v>
      </c>
      <c r="B293" t="s">
        <v>315</v>
      </c>
      <c r="C293">
        <v>7</v>
      </c>
      <c r="D293" t="s">
        <v>36</v>
      </c>
      <c r="E293" t="s">
        <v>37</v>
      </c>
      <c r="F293" t="s">
        <v>39</v>
      </c>
      <c r="G293" t="s">
        <v>39</v>
      </c>
    </row>
    <row r="294" spans="1:7" ht="13.2" x14ac:dyDescent="0.25">
      <c r="A294" s="1" t="s">
        <v>20</v>
      </c>
      <c r="B294" t="s">
        <v>316</v>
      </c>
      <c r="C294">
        <v>14</v>
      </c>
      <c r="D294" t="s">
        <v>41</v>
      </c>
      <c r="E294" t="s">
        <v>37</v>
      </c>
      <c r="F294" t="s">
        <v>39</v>
      </c>
      <c r="G294" t="s">
        <v>39</v>
      </c>
    </row>
    <row r="295" spans="1:7" ht="13.2" x14ac:dyDescent="0.25">
      <c r="A295" s="1" t="s">
        <v>20</v>
      </c>
      <c r="B295" t="s">
        <v>317</v>
      </c>
      <c r="C295">
        <v>24</v>
      </c>
      <c r="D295" t="s">
        <v>41</v>
      </c>
      <c r="E295" t="s">
        <v>46</v>
      </c>
      <c r="F295" t="s">
        <v>39</v>
      </c>
      <c r="G295" t="s">
        <v>39</v>
      </c>
    </row>
    <row r="296" spans="1:7" ht="13.2" x14ac:dyDescent="0.25">
      <c r="A296" s="1" t="s">
        <v>20</v>
      </c>
      <c r="B296" t="s">
        <v>318</v>
      </c>
      <c r="C296">
        <v>28</v>
      </c>
      <c r="D296" t="s">
        <v>56</v>
      </c>
      <c r="E296" t="s">
        <v>37</v>
      </c>
      <c r="F296" t="s">
        <v>39</v>
      </c>
      <c r="G296" t="s">
        <v>39</v>
      </c>
    </row>
    <row r="297" spans="1:7" ht="13.2" x14ac:dyDescent="0.25">
      <c r="A297" s="1" t="s">
        <v>20</v>
      </c>
      <c r="B297" t="s">
        <v>319</v>
      </c>
      <c r="C297">
        <v>2</v>
      </c>
      <c r="D297" t="s">
        <v>41</v>
      </c>
      <c r="E297" t="s">
        <v>46</v>
      </c>
      <c r="F297" t="s">
        <v>39</v>
      </c>
      <c r="G297" t="s">
        <v>39</v>
      </c>
    </row>
    <row r="298" spans="1:7" ht="13.2" x14ac:dyDescent="0.25">
      <c r="A298" s="1" t="s">
        <v>20</v>
      </c>
      <c r="B298" t="s">
        <v>320</v>
      </c>
      <c r="C298">
        <v>17</v>
      </c>
      <c r="D298" t="s">
        <v>36</v>
      </c>
      <c r="E298" t="s">
        <v>46</v>
      </c>
      <c r="F298" t="s">
        <v>47</v>
      </c>
      <c r="G298" t="s">
        <v>39</v>
      </c>
    </row>
    <row r="299" spans="1:7" ht="13.2" x14ac:dyDescent="0.25">
      <c r="A299" s="1" t="s">
        <v>20</v>
      </c>
      <c r="B299" t="s">
        <v>321</v>
      </c>
      <c r="C299">
        <v>31</v>
      </c>
      <c r="D299" t="s">
        <v>36</v>
      </c>
      <c r="E299" t="s">
        <v>37</v>
      </c>
      <c r="F299" t="s">
        <v>50</v>
      </c>
      <c r="G299" t="s">
        <v>39</v>
      </c>
    </row>
    <row r="300" spans="1:7" ht="13.2" x14ac:dyDescent="0.25">
      <c r="A300" s="1" t="s">
        <v>20</v>
      </c>
      <c r="B300" t="s">
        <v>322</v>
      </c>
      <c r="C300">
        <v>4</v>
      </c>
      <c r="D300" t="s">
        <v>41</v>
      </c>
      <c r="E300" t="s">
        <v>37</v>
      </c>
      <c r="F300" t="s">
        <v>39</v>
      </c>
      <c r="G300" t="s">
        <v>39</v>
      </c>
    </row>
    <row r="301" spans="1:7" ht="13.2" x14ac:dyDescent="0.25">
      <c r="A301" s="1" t="s">
        <v>20</v>
      </c>
      <c r="B301" t="s">
        <v>323</v>
      </c>
      <c r="C301">
        <v>30</v>
      </c>
      <c r="D301" t="s">
        <v>41</v>
      </c>
      <c r="E301" t="s">
        <v>37</v>
      </c>
      <c r="F301" t="s">
        <v>39</v>
      </c>
      <c r="G301" t="s">
        <v>39</v>
      </c>
    </row>
    <row r="302" spans="1:7" ht="13.2" x14ac:dyDescent="0.25">
      <c r="A302" s="1" t="s">
        <v>20</v>
      </c>
      <c r="B302" t="s">
        <v>324</v>
      </c>
      <c r="C302">
        <v>22</v>
      </c>
      <c r="D302" t="s">
        <v>41</v>
      </c>
      <c r="E302" t="s">
        <v>46</v>
      </c>
      <c r="F302" t="s">
        <v>39</v>
      </c>
      <c r="G302" t="s">
        <v>39</v>
      </c>
    </row>
    <row r="303" spans="1:7" ht="13.2" x14ac:dyDescent="0.25">
      <c r="A303" s="1" t="s">
        <v>20</v>
      </c>
      <c r="B303" t="s">
        <v>325</v>
      </c>
      <c r="C303">
        <v>27</v>
      </c>
      <c r="D303" t="s">
        <v>41</v>
      </c>
      <c r="E303" t="s">
        <v>42</v>
      </c>
      <c r="F303" t="s">
        <v>50</v>
      </c>
      <c r="G303" t="s">
        <v>39</v>
      </c>
    </row>
    <row r="304" spans="1:7" ht="13.2" x14ac:dyDescent="0.25">
      <c r="A304" s="1" t="s">
        <v>20</v>
      </c>
      <c r="B304" t="s">
        <v>326</v>
      </c>
      <c r="C304">
        <v>19</v>
      </c>
      <c r="D304" t="s">
        <v>36</v>
      </c>
      <c r="E304" t="s">
        <v>42</v>
      </c>
      <c r="F304" t="s">
        <v>50</v>
      </c>
      <c r="G304" t="s">
        <v>39</v>
      </c>
    </row>
    <row r="305" spans="1:7" ht="13.2" x14ac:dyDescent="0.25">
      <c r="A305" s="1" t="s">
        <v>20</v>
      </c>
      <c r="B305" t="s">
        <v>327</v>
      </c>
      <c r="C305">
        <v>25</v>
      </c>
      <c r="D305" t="s">
        <v>62</v>
      </c>
      <c r="E305" t="s">
        <v>37</v>
      </c>
      <c r="F305" t="s">
        <v>38</v>
      </c>
      <c r="G305" t="s">
        <v>39</v>
      </c>
    </row>
    <row r="306" spans="1:7" ht="13.2" x14ac:dyDescent="0.25">
      <c r="A306" s="1" t="s">
        <v>20</v>
      </c>
      <c r="B306" t="s">
        <v>328</v>
      </c>
      <c r="C306" t="s">
        <v>39</v>
      </c>
      <c r="D306" t="s">
        <v>62</v>
      </c>
      <c r="E306" t="s">
        <v>37</v>
      </c>
      <c r="F306" t="s">
        <v>38</v>
      </c>
      <c r="G306" t="s">
        <v>39</v>
      </c>
    </row>
    <row r="307" spans="1:7" ht="13.2" x14ac:dyDescent="0.25">
      <c r="A307" s="1" t="s">
        <v>20</v>
      </c>
      <c r="B307" t="s">
        <v>329</v>
      </c>
      <c r="C307">
        <v>20</v>
      </c>
      <c r="D307" t="s">
        <v>36</v>
      </c>
      <c r="E307" t="s">
        <v>37</v>
      </c>
      <c r="F307" t="s">
        <v>39</v>
      </c>
      <c r="G307" t="s">
        <v>39</v>
      </c>
    </row>
    <row r="308" spans="1:7" ht="13.2" x14ac:dyDescent="0.25">
      <c r="A308" s="1" t="s">
        <v>20</v>
      </c>
      <c r="B308" t="s">
        <v>330</v>
      </c>
      <c r="C308">
        <v>33</v>
      </c>
      <c r="D308" t="s">
        <v>56</v>
      </c>
      <c r="E308" t="s">
        <v>37</v>
      </c>
      <c r="F308" t="s">
        <v>39</v>
      </c>
      <c r="G308" t="s">
        <v>39</v>
      </c>
    </row>
    <row r="309" spans="1:7" ht="13.2" x14ac:dyDescent="0.25">
      <c r="A309" s="1" t="s">
        <v>20</v>
      </c>
      <c r="B309" t="s">
        <v>331</v>
      </c>
      <c r="C309">
        <v>3</v>
      </c>
      <c r="D309" t="s">
        <v>41</v>
      </c>
      <c r="E309" t="s">
        <v>37</v>
      </c>
      <c r="F309" t="s">
        <v>39</v>
      </c>
      <c r="G309" t="s">
        <v>39</v>
      </c>
    </row>
    <row r="310" spans="1:7" ht="13.2" x14ac:dyDescent="0.25">
      <c r="A310" s="1" t="s">
        <v>20</v>
      </c>
      <c r="B310" t="s">
        <v>332</v>
      </c>
      <c r="C310">
        <v>23</v>
      </c>
      <c r="D310" t="s">
        <v>62</v>
      </c>
      <c r="E310" t="s">
        <v>42</v>
      </c>
      <c r="F310" t="s">
        <v>71</v>
      </c>
      <c r="G310" t="s">
        <v>39</v>
      </c>
    </row>
    <row r="311" spans="1:7" ht="13.2" x14ac:dyDescent="0.25">
      <c r="A311" s="1" t="s">
        <v>20</v>
      </c>
      <c r="B311" t="s">
        <v>333</v>
      </c>
      <c r="C311">
        <v>11</v>
      </c>
      <c r="D311" t="s">
        <v>36</v>
      </c>
      <c r="E311" t="s">
        <v>79</v>
      </c>
      <c r="F311" t="s">
        <v>50</v>
      </c>
      <c r="G311" t="s">
        <v>74</v>
      </c>
    </row>
    <row r="312" spans="1:7" ht="13.2" x14ac:dyDescent="0.25">
      <c r="A312" s="1" t="s">
        <v>20</v>
      </c>
      <c r="B312" t="s">
        <v>334</v>
      </c>
      <c r="C312">
        <v>26</v>
      </c>
      <c r="D312" t="s">
        <v>36</v>
      </c>
      <c r="E312" t="s">
        <v>37</v>
      </c>
      <c r="F312" t="s">
        <v>39</v>
      </c>
      <c r="G312" t="s">
        <v>39</v>
      </c>
    </row>
    <row r="313" spans="1:7" ht="13.2" x14ac:dyDescent="0.25">
      <c r="A313" s="1" t="s">
        <v>20</v>
      </c>
      <c r="B313" t="s">
        <v>39</v>
      </c>
      <c r="C313" t="s">
        <v>39</v>
      </c>
      <c r="D313" t="s">
        <v>39</v>
      </c>
      <c r="E313" t="s">
        <v>39</v>
      </c>
      <c r="F313" t="s">
        <v>39</v>
      </c>
      <c r="G313" t="s">
        <v>39</v>
      </c>
    </row>
    <row r="314" spans="1:7" ht="13.2" x14ac:dyDescent="0.25">
      <c r="A314" s="1" t="s">
        <v>20</v>
      </c>
      <c r="B314" t="s">
        <v>152</v>
      </c>
      <c r="C314" t="s">
        <v>39</v>
      </c>
      <c r="D314" t="s">
        <v>39</v>
      </c>
      <c r="E314" t="s">
        <v>39</v>
      </c>
      <c r="F314" t="s">
        <v>39</v>
      </c>
      <c r="G314" t="s">
        <v>39</v>
      </c>
    </row>
    <row r="315" spans="1:7" ht="13.2" x14ac:dyDescent="0.25">
      <c r="A315" s="1" t="s">
        <v>20</v>
      </c>
      <c r="B315" t="s">
        <v>84</v>
      </c>
      <c r="C315" t="s">
        <v>39</v>
      </c>
      <c r="D315" t="s">
        <v>39</v>
      </c>
      <c r="E315" t="s">
        <v>39</v>
      </c>
      <c r="F315" t="s">
        <v>39</v>
      </c>
      <c r="G315" t="s">
        <v>39</v>
      </c>
    </row>
    <row r="316" spans="1:7" ht="13.2" x14ac:dyDescent="0.25">
      <c r="A316" s="1" t="s">
        <v>20</v>
      </c>
      <c r="B316" t="s">
        <v>335</v>
      </c>
      <c r="C316">
        <v>18</v>
      </c>
      <c r="D316" t="s">
        <v>36</v>
      </c>
      <c r="E316" t="s">
        <v>200</v>
      </c>
      <c r="F316" t="s">
        <v>201</v>
      </c>
      <c r="G316" t="s">
        <v>39</v>
      </c>
    </row>
    <row r="317" spans="1:7" ht="13.2" x14ac:dyDescent="0.25">
      <c r="A317" s="1" t="s">
        <v>20</v>
      </c>
      <c r="B317" t="s">
        <v>336</v>
      </c>
      <c r="C317">
        <v>13</v>
      </c>
      <c r="D317" t="s">
        <v>36</v>
      </c>
      <c r="E317" t="s">
        <v>200</v>
      </c>
      <c r="F317" t="s">
        <v>201</v>
      </c>
      <c r="G317" t="s">
        <v>39</v>
      </c>
    </row>
    <row r="318" spans="1:7" ht="13.2" x14ac:dyDescent="0.25">
      <c r="A318" s="1" t="s">
        <v>20</v>
      </c>
    </row>
    <row r="319" spans="1:7" ht="13.2" x14ac:dyDescent="0.25">
      <c r="A319" s="1" t="s">
        <v>21</v>
      </c>
      <c r="B319" t="s">
        <v>337</v>
      </c>
      <c r="C319">
        <v>30</v>
      </c>
      <c r="D319" t="s">
        <v>62</v>
      </c>
      <c r="E319" t="s">
        <v>37</v>
      </c>
      <c r="F319" t="s">
        <v>39</v>
      </c>
      <c r="G319" t="s">
        <v>39</v>
      </c>
    </row>
    <row r="320" spans="1:7" ht="13.2" x14ac:dyDescent="0.25">
      <c r="A320" s="1" t="s">
        <v>21</v>
      </c>
      <c r="B320" t="s">
        <v>338</v>
      </c>
      <c r="C320">
        <v>32</v>
      </c>
      <c r="D320" t="s">
        <v>36</v>
      </c>
      <c r="E320" t="s">
        <v>37</v>
      </c>
      <c r="F320" t="s">
        <v>39</v>
      </c>
      <c r="G320" t="s">
        <v>39</v>
      </c>
    </row>
    <row r="321" spans="1:7" ht="13.2" x14ac:dyDescent="0.25">
      <c r="A321" s="1" t="s">
        <v>21</v>
      </c>
      <c r="B321" t="s">
        <v>339</v>
      </c>
      <c r="C321">
        <v>40</v>
      </c>
      <c r="D321" t="s">
        <v>56</v>
      </c>
      <c r="E321" t="s">
        <v>46</v>
      </c>
      <c r="F321" t="s">
        <v>39</v>
      </c>
      <c r="G321" t="s">
        <v>39</v>
      </c>
    </row>
    <row r="322" spans="1:7" ht="13.2" x14ac:dyDescent="0.25">
      <c r="A322" s="1" t="s">
        <v>21</v>
      </c>
      <c r="B322" t="s">
        <v>340</v>
      </c>
      <c r="C322">
        <v>25</v>
      </c>
      <c r="D322" t="s">
        <v>36</v>
      </c>
      <c r="E322" t="s">
        <v>46</v>
      </c>
      <c r="F322" t="s">
        <v>47</v>
      </c>
      <c r="G322" t="s">
        <v>39</v>
      </c>
    </row>
    <row r="323" spans="1:7" ht="13.2" x14ac:dyDescent="0.25">
      <c r="A323" s="1" t="s">
        <v>21</v>
      </c>
      <c r="B323" t="s">
        <v>341</v>
      </c>
      <c r="C323">
        <v>1</v>
      </c>
      <c r="D323" t="s">
        <v>56</v>
      </c>
      <c r="E323" t="s">
        <v>37</v>
      </c>
      <c r="F323" t="s">
        <v>39</v>
      </c>
      <c r="G323" t="s">
        <v>39</v>
      </c>
    </row>
    <row r="324" spans="1:7" ht="13.2" x14ac:dyDescent="0.25">
      <c r="A324" s="1" t="s">
        <v>21</v>
      </c>
      <c r="B324" t="s">
        <v>342</v>
      </c>
      <c r="C324">
        <v>2</v>
      </c>
      <c r="D324" t="s">
        <v>41</v>
      </c>
      <c r="E324" t="s">
        <v>37</v>
      </c>
      <c r="F324" t="s">
        <v>50</v>
      </c>
      <c r="G324" t="s">
        <v>39</v>
      </c>
    </row>
    <row r="325" spans="1:7" ht="13.2" x14ac:dyDescent="0.25">
      <c r="A325" s="1" t="s">
        <v>21</v>
      </c>
      <c r="B325" t="s">
        <v>343</v>
      </c>
      <c r="C325">
        <v>4</v>
      </c>
      <c r="D325" t="s">
        <v>41</v>
      </c>
      <c r="E325" t="s">
        <v>37</v>
      </c>
      <c r="F325" t="s">
        <v>50</v>
      </c>
      <c r="G325" t="s">
        <v>39</v>
      </c>
    </row>
    <row r="326" spans="1:7" ht="13.2" x14ac:dyDescent="0.25">
      <c r="A326" s="1" t="s">
        <v>21</v>
      </c>
      <c r="B326" t="s">
        <v>344</v>
      </c>
      <c r="C326">
        <v>17</v>
      </c>
      <c r="D326" t="s">
        <v>36</v>
      </c>
      <c r="E326" t="s">
        <v>42</v>
      </c>
      <c r="F326" t="s">
        <v>47</v>
      </c>
      <c r="G326" t="s">
        <v>39</v>
      </c>
    </row>
    <row r="327" spans="1:7" ht="13.2" x14ac:dyDescent="0.25">
      <c r="A327" s="1" t="s">
        <v>21</v>
      </c>
      <c r="B327" t="s">
        <v>345</v>
      </c>
      <c r="C327" t="s">
        <v>39</v>
      </c>
      <c r="D327" t="s">
        <v>36</v>
      </c>
      <c r="E327" t="s">
        <v>46</v>
      </c>
      <c r="F327" t="s">
        <v>47</v>
      </c>
      <c r="G327" t="s">
        <v>39</v>
      </c>
    </row>
    <row r="328" spans="1:7" ht="13.2" x14ac:dyDescent="0.25">
      <c r="A328" s="1" t="s">
        <v>21</v>
      </c>
      <c r="B328" t="s">
        <v>346</v>
      </c>
      <c r="C328">
        <v>5</v>
      </c>
      <c r="D328" t="s">
        <v>41</v>
      </c>
      <c r="E328" t="s">
        <v>37</v>
      </c>
      <c r="F328" t="s">
        <v>50</v>
      </c>
      <c r="G328" t="s">
        <v>39</v>
      </c>
    </row>
    <row r="329" spans="1:7" ht="13.2" x14ac:dyDescent="0.25">
      <c r="A329" s="1" t="s">
        <v>21</v>
      </c>
      <c r="B329" t="s">
        <v>347</v>
      </c>
      <c r="C329">
        <v>23</v>
      </c>
      <c r="D329" t="s">
        <v>56</v>
      </c>
      <c r="E329" t="s">
        <v>37</v>
      </c>
      <c r="F329" t="s">
        <v>39</v>
      </c>
      <c r="G329" t="s">
        <v>39</v>
      </c>
    </row>
    <row r="330" spans="1:7" ht="13.2" x14ac:dyDescent="0.25">
      <c r="A330" s="1" t="s">
        <v>21</v>
      </c>
      <c r="B330" t="s">
        <v>348</v>
      </c>
      <c r="C330">
        <v>18</v>
      </c>
      <c r="D330" t="s">
        <v>41</v>
      </c>
      <c r="E330" t="s">
        <v>37</v>
      </c>
      <c r="F330" t="s">
        <v>39</v>
      </c>
      <c r="G330" t="s">
        <v>39</v>
      </c>
    </row>
    <row r="331" spans="1:7" ht="13.2" x14ac:dyDescent="0.25">
      <c r="A331" s="1" t="s">
        <v>21</v>
      </c>
      <c r="B331" t="s">
        <v>349</v>
      </c>
      <c r="C331">
        <v>15</v>
      </c>
      <c r="D331" t="s">
        <v>41</v>
      </c>
      <c r="E331" t="s">
        <v>37</v>
      </c>
      <c r="F331" t="s">
        <v>50</v>
      </c>
      <c r="G331" t="s">
        <v>39</v>
      </c>
    </row>
    <row r="332" spans="1:7" ht="13.2" x14ac:dyDescent="0.25">
      <c r="A332" s="1" t="s">
        <v>21</v>
      </c>
      <c r="B332" t="s">
        <v>350</v>
      </c>
      <c r="C332">
        <v>26</v>
      </c>
      <c r="D332" t="s">
        <v>41</v>
      </c>
      <c r="E332" t="s">
        <v>351</v>
      </c>
      <c r="F332" t="s">
        <v>39</v>
      </c>
      <c r="G332" t="s">
        <v>118</v>
      </c>
    </row>
    <row r="333" spans="1:7" ht="13.2" x14ac:dyDescent="0.25">
      <c r="A333" s="1" t="s">
        <v>21</v>
      </c>
      <c r="B333" t="s">
        <v>352</v>
      </c>
      <c r="C333">
        <v>11</v>
      </c>
      <c r="D333" t="s">
        <v>62</v>
      </c>
      <c r="E333" t="s">
        <v>37</v>
      </c>
      <c r="F333" t="s">
        <v>47</v>
      </c>
      <c r="G333" t="s">
        <v>39</v>
      </c>
    </row>
    <row r="334" spans="1:7" ht="13.2" x14ac:dyDescent="0.25">
      <c r="A334" s="1" t="s">
        <v>21</v>
      </c>
      <c r="B334" t="s">
        <v>353</v>
      </c>
      <c r="C334">
        <v>13</v>
      </c>
      <c r="D334" t="s">
        <v>36</v>
      </c>
      <c r="E334" t="s">
        <v>46</v>
      </c>
      <c r="F334" t="s">
        <v>39</v>
      </c>
      <c r="G334" t="s">
        <v>39</v>
      </c>
    </row>
    <row r="335" spans="1:7" ht="13.2" x14ac:dyDescent="0.25">
      <c r="A335" s="1" t="s">
        <v>21</v>
      </c>
      <c r="B335" t="s">
        <v>354</v>
      </c>
      <c r="C335">
        <v>3</v>
      </c>
      <c r="D335" t="s">
        <v>41</v>
      </c>
      <c r="E335" t="s">
        <v>37</v>
      </c>
      <c r="F335" t="s">
        <v>39</v>
      </c>
      <c r="G335" t="s">
        <v>39</v>
      </c>
    </row>
    <row r="336" spans="1:7" ht="13.2" x14ac:dyDescent="0.25">
      <c r="A336" s="1" t="s">
        <v>21</v>
      </c>
      <c r="B336" t="s">
        <v>355</v>
      </c>
      <c r="C336">
        <v>21</v>
      </c>
      <c r="D336" t="s">
        <v>62</v>
      </c>
      <c r="E336" t="s">
        <v>37</v>
      </c>
      <c r="F336" t="s">
        <v>50</v>
      </c>
      <c r="G336" t="s">
        <v>39</v>
      </c>
    </row>
    <row r="337" spans="1:7" ht="13.2" x14ac:dyDescent="0.25">
      <c r="A337" s="1" t="s">
        <v>21</v>
      </c>
      <c r="B337" t="s">
        <v>356</v>
      </c>
      <c r="C337">
        <v>41</v>
      </c>
      <c r="D337" t="s">
        <v>62</v>
      </c>
      <c r="E337" t="s">
        <v>46</v>
      </c>
      <c r="F337" t="s">
        <v>47</v>
      </c>
      <c r="G337" t="s">
        <v>39</v>
      </c>
    </row>
    <row r="338" spans="1:7" ht="13.2" x14ac:dyDescent="0.25">
      <c r="A338" s="1" t="s">
        <v>21</v>
      </c>
      <c r="B338" t="s">
        <v>357</v>
      </c>
      <c r="C338">
        <v>24</v>
      </c>
      <c r="D338" t="s">
        <v>41</v>
      </c>
      <c r="E338" t="s">
        <v>37</v>
      </c>
      <c r="F338" t="s">
        <v>39</v>
      </c>
      <c r="G338" t="s">
        <v>39</v>
      </c>
    </row>
    <row r="339" spans="1:7" ht="13.2" x14ac:dyDescent="0.25">
      <c r="A339" s="1" t="s">
        <v>21</v>
      </c>
      <c r="B339" t="s">
        <v>358</v>
      </c>
      <c r="C339">
        <v>10</v>
      </c>
      <c r="D339" t="s">
        <v>36</v>
      </c>
      <c r="E339" t="s">
        <v>37</v>
      </c>
      <c r="F339" t="s">
        <v>38</v>
      </c>
      <c r="G339" t="s">
        <v>39</v>
      </c>
    </row>
    <row r="340" spans="1:7" ht="13.2" x14ac:dyDescent="0.25">
      <c r="A340" s="1" t="s">
        <v>21</v>
      </c>
      <c r="B340" t="s">
        <v>359</v>
      </c>
      <c r="C340">
        <v>6</v>
      </c>
      <c r="D340" t="s">
        <v>36</v>
      </c>
      <c r="E340" t="s">
        <v>37</v>
      </c>
      <c r="F340" t="s">
        <v>39</v>
      </c>
      <c r="G340" t="s">
        <v>39</v>
      </c>
    </row>
    <row r="341" spans="1:7" ht="13.2" x14ac:dyDescent="0.25">
      <c r="A341" s="1" t="s">
        <v>21</v>
      </c>
      <c r="B341" t="s">
        <v>360</v>
      </c>
      <c r="C341">
        <v>22</v>
      </c>
      <c r="D341" t="s">
        <v>41</v>
      </c>
      <c r="E341" t="s">
        <v>37</v>
      </c>
      <c r="F341" t="s">
        <v>50</v>
      </c>
      <c r="G341" t="s">
        <v>39</v>
      </c>
    </row>
    <row r="342" spans="1:7" ht="13.2" x14ac:dyDescent="0.25">
      <c r="A342" s="1" t="s">
        <v>21</v>
      </c>
      <c r="B342" t="s">
        <v>361</v>
      </c>
      <c r="C342">
        <v>33</v>
      </c>
      <c r="D342" t="s">
        <v>41</v>
      </c>
      <c r="E342" t="s">
        <v>37</v>
      </c>
      <c r="F342" t="s">
        <v>50</v>
      </c>
      <c r="G342" t="s">
        <v>39</v>
      </c>
    </row>
    <row r="343" spans="1:7" ht="13.2" x14ac:dyDescent="0.25">
      <c r="A343" s="1" t="s">
        <v>21</v>
      </c>
      <c r="B343" t="s">
        <v>362</v>
      </c>
      <c r="C343">
        <v>19</v>
      </c>
      <c r="D343" t="s">
        <v>62</v>
      </c>
      <c r="E343" t="s">
        <v>42</v>
      </c>
      <c r="F343" t="s">
        <v>39</v>
      </c>
      <c r="G343" t="s">
        <v>39</v>
      </c>
    </row>
    <row r="344" spans="1:7" ht="13.2" x14ac:dyDescent="0.25">
      <c r="A344" s="1" t="s">
        <v>21</v>
      </c>
      <c r="B344" t="s">
        <v>363</v>
      </c>
      <c r="C344">
        <v>28</v>
      </c>
      <c r="D344" t="s">
        <v>36</v>
      </c>
      <c r="E344" t="s">
        <v>42</v>
      </c>
      <c r="F344" t="s">
        <v>364</v>
      </c>
      <c r="G344" t="s">
        <v>39</v>
      </c>
    </row>
    <row r="345" spans="1:7" ht="13.2" x14ac:dyDescent="0.25">
      <c r="A345" s="1" t="s">
        <v>21</v>
      </c>
      <c r="B345" t="s">
        <v>365</v>
      </c>
      <c r="C345">
        <v>9</v>
      </c>
      <c r="D345" t="s">
        <v>62</v>
      </c>
      <c r="E345" t="s">
        <v>37</v>
      </c>
      <c r="F345" t="s">
        <v>50</v>
      </c>
      <c r="G345" t="s">
        <v>39</v>
      </c>
    </row>
    <row r="346" spans="1:7" ht="13.2" x14ac:dyDescent="0.25">
      <c r="A346" s="1" t="s">
        <v>21</v>
      </c>
      <c r="B346" t="s">
        <v>366</v>
      </c>
      <c r="C346">
        <v>8</v>
      </c>
      <c r="D346" t="s">
        <v>36</v>
      </c>
      <c r="E346" t="s">
        <v>37</v>
      </c>
      <c r="F346" t="s">
        <v>38</v>
      </c>
      <c r="G346" t="s">
        <v>39</v>
      </c>
    </row>
    <row r="347" spans="1:7" ht="13.2" x14ac:dyDescent="0.25">
      <c r="A347" s="1" t="s">
        <v>21</v>
      </c>
      <c r="B347" t="s">
        <v>367</v>
      </c>
      <c r="C347">
        <v>16</v>
      </c>
      <c r="D347" t="s">
        <v>36</v>
      </c>
      <c r="E347" t="s">
        <v>37</v>
      </c>
      <c r="F347" t="s">
        <v>50</v>
      </c>
      <c r="G347" t="s">
        <v>39</v>
      </c>
    </row>
    <row r="348" spans="1:7" ht="13.2" x14ac:dyDescent="0.25">
      <c r="A348" s="1" t="s">
        <v>21</v>
      </c>
      <c r="B348" t="s">
        <v>39</v>
      </c>
      <c r="C348" t="s">
        <v>39</v>
      </c>
      <c r="D348" t="s">
        <v>39</v>
      </c>
      <c r="E348" t="s">
        <v>39</v>
      </c>
      <c r="F348" t="s">
        <v>39</v>
      </c>
      <c r="G348" t="s">
        <v>39</v>
      </c>
    </row>
    <row r="349" spans="1:7" ht="13.2" x14ac:dyDescent="0.25">
      <c r="A349" s="1" t="s">
        <v>21</v>
      </c>
      <c r="B349" t="s">
        <v>152</v>
      </c>
      <c r="C349" t="s">
        <v>39</v>
      </c>
      <c r="D349" t="s">
        <v>39</v>
      </c>
      <c r="E349" t="s">
        <v>39</v>
      </c>
      <c r="F349" t="s">
        <v>39</v>
      </c>
      <c r="G349" t="s">
        <v>39</v>
      </c>
    </row>
    <row r="350" spans="1:7" ht="13.2" x14ac:dyDescent="0.25">
      <c r="A350" s="1" t="s">
        <v>21</v>
      </c>
      <c r="B350" t="s">
        <v>84</v>
      </c>
      <c r="C350" t="s">
        <v>39</v>
      </c>
      <c r="D350" t="s">
        <v>39</v>
      </c>
      <c r="E350" t="s">
        <v>39</v>
      </c>
      <c r="F350" t="s">
        <v>39</v>
      </c>
      <c r="G350" t="s">
        <v>39</v>
      </c>
    </row>
    <row r="351" spans="1:7" ht="13.2" x14ac:dyDescent="0.25">
      <c r="A351" s="1" t="s">
        <v>21</v>
      </c>
      <c r="B351" t="s">
        <v>368</v>
      </c>
      <c r="C351" t="s">
        <v>39</v>
      </c>
      <c r="D351" t="s">
        <v>39</v>
      </c>
      <c r="E351" t="s">
        <v>88</v>
      </c>
      <c r="F351" t="s">
        <v>89</v>
      </c>
      <c r="G351" t="s">
        <v>39</v>
      </c>
    </row>
    <row r="352" spans="1:7" ht="13.2" x14ac:dyDescent="0.25">
      <c r="A352" s="1" t="s">
        <v>21</v>
      </c>
      <c r="B352" t="s">
        <v>369</v>
      </c>
      <c r="C352" t="s">
        <v>39</v>
      </c>
      <c r="D352" t="s">
        <v>39</v>
      </c>
      <c r="E352" t="s">
        <v>88</v>
      </c>
      <c r="F352" t="s">
        <v>89</v>
      </c>
      <c r="G352" t="s">
        <v>39</v>
      </c>
    </row>
    <row r="353" spans="1:7" ht="13.2" x14ac:dyDescent="0.25">
      <c r="A353" s="1" t="s">
        <v>22</v>
      </c>
      <c r="B353" t="s">
        <v>370</v>
      </c>
      <c r="C353">
        <v>17</v>
      </c>
      <c r="D353" t="s">
        <v>62</v>
      </c>
      <c r="E353" t="s">
        <v>37</v>
      </c>
      <c r="F353" t="s">
        <v>39</v>
      </c>
      <c r="G353" t="s">
        <v>39</v>
      </c>
    </row>
    <row r="354" spans="1:7" ht="13.2" x14ac:dyDescent="0.25">
      <c r="A354" s="1" t="s">
        <v>22</v>
      </c>
      <c r="B354" t="s">
        <v>371</v>
      </c>
      <c r="C354">
        <v>5</v>
      </c>
      <c r="D354" t="s">
        <v>36</v>
      </c>
      <c r="E354" t="s">
        <v>42</v>
      </c>
      <c r="F354" t="s">
        <v>47</v>
      </c>
      <c r="G354" t="s">
        <v>39</v>
      </c>
    </row>
    <row r="355" spans="1:7" ht="13.2" x14ac:dyDescent="0.25">
      <c r="A355" s="1" t="s">
        <v>22</v>
      </c>
      <c r="B355" t="s">
        <v>372</v>
      </c>
      <c r="C355">
        <v>3</v>
      </c>
      <c r="D355" t="s">
        <v>41</v>
      </c>
      <c r="E355" t="s">
        <v>37</v>
      </c>
      <c r="F355" t="s">
        <v>39</v>
      </c>
      <c r="G355" t="s">
        <v>39</v>
      </c>
    </row>
    <row r="356" spans="1:7" ht="13.2" x14ac:dyDescent="0.25">
      <c r="A356" s="1" t="s">
        <v>22</v>
      </c>
      <c r="B356" t="s">
        <v>373</v>
      </c>
      <c r="C356">
        <v>10</v>
      </c>
      <c r="D356" t="s">
        <v>62</v>
      </c>
      <c r="E356" t="s">
        <v>37</v>
      </c>
      <c r="F356" t="s">
        <v>39</v>
      </c>
      <c r="G356" t="s">
        <v>39</v>
      </c>
    </row>
    <row r="357" spans="1:7" ht="13.2" x14ac:dyDescent="0.25">
      <c r="A357" s="1" t="s">
        <v>22</v>
      </c>
      <c r="B357" t="s">
        <v>374</v>
      </c>
      <c r="C357">
        <v>15</v>
      </c>
      <c r="D357" t="s">
        <v>101</v>
      </c>
      <c r="E357" t="s">
        <v>46</v>
      </c>
      <c r="F357" t="s">
        <v>39</v>
      </c>
      <c r="G357" t="s">
        <v>39</v>
      </c>
    </row>
    <row r="358" spans="1:7" ht="13.2" x14ac:dyDescent="0.25">
      <c r="A358" s="1" t="s">
        <v>22</v>
      </c>
      <c r="B358" t="s">
        <v>375</v>
      </c>
      <c r="C358">
        <v>27</v>
      </c>
      <c r="D358" t="s">
        <v>36</v>
      </c>
      <c r="E358" t="s">
        <v>37</v>
      </c>
      <c r="F358" t="s">
        <v>50</v>
      </c>
      <c r="G358" t="s">
        <v>39</v>
      </c>
    </row>
    <row r="359" spans="1:7" ht="13.2" x14ac:dyDescent="0.25">
      <c r="A359" s="1" t="s">
        <v>22</v>
      </c>
      <c r="B359" t="s">
        <v>376</v>
      </c>
      <c r="C359">
        <v>6</v>
      </c>
      <c r="D359" t="s">
        <v>36</v>
      </c>
      <c r="E359" t="s">
        <v>42</v>
      </c>
      <c r="F359" t="s">
        <v>47</v>
      </c>
      <c r="G359" t="s">
        <v>39</v>
      </c>
    </row>
    <row r="360" spans="1:7" ht="13.2" x14ac:dyDescent="0.25">
      <c r="A360" s="1" t="s">
        <v>22</v>
      </c>
      <c r="B360" t="s">
        <v>377</v>
      </c>
      <c r="C360">
        <v>1</v>
      </c>
      <c r="D360" t="s">
        <v>56</v>
      </c>
      <c r="E360" t="s">
        <v>37</v>
      </c>
      <c r="F360" t="s">
        <v>39</v>
      </c>
      <c r="G360" t="s">
        <v>39</v>
      </c>
    </row>
    <row r="361" spans="1:7" ht="13.2" x14ac:dyDescent="0.25">
      <c r="A361" s="1" t="s">
        <v>22</v>
      </c>
      <c r="B361" t="s">
        <v>378</v>
      </c>
      <c r="C361">
        <v>19</v>
      </c>
      <c r="D361" t="s">
        <v>41</v>
      </c>
      <c r="E361" t="s">
        <v>37</v>
      </c>
      <c r="F361" t="s">
        <v>39</v>
      </c>
      <c r="G361" t="s">
        <v>39</v>
      </c>
    </row>
    <row r="362" spans="1:7" ht="13.2" x14ac:dyDescent="0.25">
      <c r="A362" s="1" t="s">
        <v>22</v>
      </c>
      <c r="B362" t="s">
        <v>379</v>
      </c>
      <c r="C362">
        <v>4</v>
      </c>
      <c r="D362" t="s">
        <v>41</v>
      </c>
      <c r="E362" t="s">
        <v>37</v>
      </c>
      <c r="F362" t="s">
        <v>38</v>
      </c>
      <c r="G362" t="s">
        <v>39</v>
      </c>
    </row>
    <row r="363" spans="1:7" ht="13.2" x14ac:dyDescent="0.25">
      <c r="A363" s="1" t="s">
        <v>22</v>
      </c>
      <c r="B363" t="s">
        <v>380</v>
      </c>
      <c r="C363">
        <v>14</v>
      </c>
      <c r="D363" t="s">
        <v>36</v>
      </c>
      <c r="E363" t="s">
        <v>37</v>
      </c>
      <c r="F363" t="s">
        <v>47</v>
      </c>
      <c r="G363" t="s">
        <v>39</v>
      </c>
    </row>
    <row r="364" spans="1:7" ht="13.2" x14ac:dyDescent="0.25">
      <c r="A364" s="1" t="s">
        <v>22</v>
      </c>
      <c r="B364" t="s">
        <v>381</v>
      </c>
      <c r="C364">
        <v>2</v>
      </c>
      <c r="D364" t="s">
        <v>41</v>
      </c>
      <c r="E364" t="s">
        <v>37</v>
      </c>
      <c r="F364" t="s">
        <v>39</v>
      </c>
      <c r="G364" t="s">
        <v>39</v>
      </c>
    </row>
    <row r="365" spans="1:7" ht="13.2" x14ac:dyDescent="0.25">
      <c r="A365" s="1" t="s">
        <v>22</v>
      </c>
      <c r="B365" t="s">
        <v>382</v>
      </c>
      <c r="C365">
        <v>22</v>
      </c>
      <c r="D365" t="s">
        <v>62</v>
      </c>
      <c r="E365" t="s">
        <v>37</v>
      </c>
      <c r="F365" t="s">
        <v>50</v>
      </c>
      <c r="G365" t="s">
        <v>39</v>
      </c>
    </row>
    <row r="366" spans="1:7" ht="13.2" x14ac:dyDescent="0.25">
      <c r="A366" s="1" t="s">
        <v>22</v>
      </c>
      <c r="B366" t="s">
        <v>383</v>
      </c>
      <c r="C366">
        <v>21</v>
      </c>
      <c r="D366" t="s">
        <v>36</v>
      </c>
      <c r="E366" t="s">
        <v>42</v>
      </c>
      <c r="F366" t="s">
        <v>47</v>
      </c>
      <c r="G366" t="s">
        <v>39</v>
      </c>
    </row>
    <row r="367" spans="1:7" ht="13.2" x14ac:dyDescent="0.25">
      <c r="A367" s="1" t="s">
        <v>22</v>
      </c>
      <c r="B367" t="s">
        <v>384</v>
      </c>
      <c r="C367">
        <v>88</v>
      </c>
      <c r="D367" t="s">
        <v>62</v>
      </c>
      <c r="E367" t="s">
        <v>37</v>
      </c>
      <c r="F367" t="s">
        <v>39</v>
      </c>
      <c r="G367" t="s">
        <v>39</v>
      </c>
    </row>
    <row r="368" spans="1:7" ht="13.2" x14ac:dyDescent="0.25">
      <c r="A368" s="1" t="s">
        <v>22</v>
      </c>
      <c r="B368" t="s">
        <v>385</v>
      </c>
      <c r="C368">
        <v>18</v>
      </c>
      <c r="D368" t="s">
        <v>56</v>
      </c>
      <c r="E368" t="s">
        <v>37</v>
      </c>
      <c r="F368" t="s">
        <v>39</v>
      </c>
      <c r="G368" t="s">
        <v>39</v>
      </c>
    </row>
    <row r="369" spans="1:7" ht="13.2" x14ac:dyDescent="0.25">
      <c r="A369" s="1" t="s">
        <v>22</v>
      </c>
      <c r="B369" t="s">
        <v>386</v>
      </c>
      <c r="C369">
        <v>13</v>
      </c>
      <c r="D369" t="s">
        <v>101</v>
      </c>
      <c r="E369" t="s">
        <v>37</v>
      </c>
      <c r="F369" t="s">
        <v>39</v>
      </c>
      <c r="G369" t="s">
        <v>39</v>
      </c>
    </row>
    <row r="370" spans="1:7" ht="13.2" x14ac:dyDescent="0.25">
      <c r="A370" s="1" t="s">
        <v>22</v>
      </c>
      <c r="B370" t="s">
        <v>387</v>
      </c>
      <c r="C370">
        <v>28</v>
      </c>
      <c r="D370" t="s">
        <v>41</v>
      </c>
      <c r="E370" t="s">
        <v>37</v>
      </c>
      <c r="F370" t="s">
        <v>50</v>
      </c>
      <c r="G370" t="s">
        <v>39</v>
      </c>
    </row>
    <row r="371" spans="1:7" ht="13.2" x14ac:dyDescent="0.25">
      <c r="A371" s="1" t="s">
        <v>22</v>
      </c>
      <c r="B371" t="s">
        <v>388</v>
      </c>
      <c r="C371">
        <v>70</v>
      </c>
      <c r="D371" t="s">
        <v>211</v>
      </c>
      <c r="E371" t="s">
        <v>37</v>
      </c>
      <c r="F371" t="s">
        <v>50</v>
      </c>
      <c r="G371" t="s">
        <v>39</v>
      </c>
    </row>
    <row r="372" spans="1:7" ht="13.2" x14ac:dyDescent="0.25">
      <c r="A372" s="1" t="s">
        <v>22</v>
      </c>
      <c r="B372" t="s">
        <v>389</v>
      </c>
      <c r="C372">
        <v>11</v>
      </c>
      <c r="D372" t="s">
        <v>36</v>
      </c>
      <c r="E372" t="s">
        <v>37</v>
      </c>
      <c r="F372" t="s">
        <v>39</v>
      </c>
      <c r="G372" t="s">
        <v>39</v>
      </c>
    </row>
    <row r="373" spans="1:7" ht="13.2" x14ac:dyDescent="0.25">
      <c r="A373" s="1" t="s">
        <v>22</v>
      </c>
      <c r="B373" t="s">
        <v>390</v>
      </c>
      <c r="C373">
        <v>12</v>
      </c>
      <c r="D373" t="s">
        <v>41</v>
      </c>
      <c r="E373" t="s">
        <v>46</v>
      </c>
      <c r="F373" t="s">
        <v>39</v>
      </c>
      <c r="G373" t="s">
        <v>39</v>
      </c>
    </row>
    <row r="374" spans="1:7" ht="13.2" x14ac:dyDescent="0.25">
      <c r="A374" s="1" t="s">
        <v>22</v>
      </c>
      <c r="B374" t="s">
        <v>391</v>
      </c>
      <c r="C374">
        <v>16</v>
      </c>
      <c r="D374" t="s">
        <v>101</v>
      </c>
      <c r="E374" t="s">
        <v>46</v>
      </c>
      <c r="F374" t="s">
        <v>39</v>
      </c>
      <c r="G374" t="s">
        <v>39</v>
      </c>
    </row>
    <row r="375" spans="1:7" ht="13.2" x14ac:dyDescent="0.25">
      <c r="A375" s="1" t="s">
        <v>22</v>
      </c>
      <c r="B375" t="s">
        <v>392</v>
      </c>
      <c r="C375">
        <v>91</v>
      </c>
      <c r="D375" t="s">
        <v>41</v>
      </c>
      <c r="E375" t="s">
        <v>37</v>
      </c>
      <c r="F375" t="s">
        <v>50</v>
      </c>
      <c r="G375" t="s">
        <v>39</v>
      </c>
    </row>
    <row r="376" spans="1:7" ht="13.2" x14ac:dyDescent="0.25">
      <c r="A376" s="1" t="s">
        <v>22</v>
      </c>
      <c r="B376" t="s">
        <v>393</v>
      </c>
      <c r="C376">
        <v>8</v>
      </c>
      <c r="D376" t="s">
        <v>192</v>
      </c>
      <c r="E376" t="s">
        <v>200</v>
      </c>
      <c r="F376" t="s">
        <v>39</v>
      </c>
      <c r="G376" t="s">
        <v>201</v>
      </c>
    </row>
    <row r="377" spans="1:7" ht="13.2" x14ac:dyDescent="0.25">
      <c r="A377" s="1" t="s">
        <v>22</v>
      </c>
      <c r="B377" t="s">
        <v>394</v>
      </c>
      <c r="C377">
        <v>30</v>
      </c>
      <c r="D377" t="s">
        <v>56</v>
      </c>
      <c r="E377" t="s">
        <v>42</v>
      </c>
      <c r="F377" t="s">
        <v>39</v>
      </c>
      <c r="G377" t="s">
        <v>39</v>
      </c>
    </row>
    <row r="378" spans="1:7" ht="13.2" x14ac:dyDescent="0.25">
      <c r="A378" s="1" t="s">
        <v>22</v>
      </c>
      <c r="B378" t="s">
        <v>395</v>
      </c>
      <c r="C378">
        <v>7</v>
      </c>
      <c r="D378" t="s">
        <v>62</v>
      </c>
      <c r="E378" t="s">
        <v>37</v>
      </c>
      <c r="F378" t="s">
        <v>39</v>
      </c>
      <c r="G378" t="s">
        <v>39</v>
      </c>
    </row>
    <row r="379" spans="1:7" ht="13.2" x14ac:dyDescent="0.25">
      <c r="A379" s="1" t="s">
        <v>22</v>
      </c>
      <c r="B379" t="s">
        <v>396</v>
      </c>
      <c r="C379">
        <v>23</v>
      </c>
      <c r="D379" t="s">
        <v>36</v>
      </c>
      <c r="E379" t="s">
        <v>37</v>
      </c>
      <c r="F379" t="s">
        <v>50</v>
      </c>
      <c r="G379" t="s">
        <v>39</v>
      </c>
    </row>
    <row r="380" spans="1:7" ht="13.2" x14ac:dyDescent="0.25">
      <c r="A380" s="1" t="s">
        <v>22</v>
      </c>
      <c r="B380" t="s">
        <v>39</v>
      </c>
      <c r="C380" t="s">
        <v>39</v>
      </c>
      <c r="D380" t="s">
        <v>39</v>
      </c>
      <c r="E380" t="s">
        <v>39</v>
      </c>
      <c r="F380" t="s">
        <v>39</v>
      </c>
      <c r="G380" t="s">
        <v>39</v>
      </c>
    </row>
    <row r="381" spans="1:7" ht="13.2" x14ac:dyDescent="0.25">
      <c r="A381" s="1" t="s">
        <v>22</v>
      </c>
      <c r="B381" t="s">
        <v>39</v>
      </c>
      <c r="C381" t="s">
        <v>39</v>
      </c>
      <c r="D381" t="s">
        <v>39</v>
      </c>
      <c r="E381" t="s">
        <v>39</v>
      </c>
      <c r="F381" t="s">
        <v>39</v>
      </c>
      <c r="G381" t="s">
        <v>39</v>
      </c>
    </row>
    <row r="382" spans="1:7" ht="13.2" x14ac:dyDescent="0.25">
      <c r="A382" s="1" t="s">
        <v>22</v>
      </c>
      <c r="B382" t="s">
        <v>39</v>
      </c>
      <c r="C382" t="s">
        <v>39</v>
      </c>
      <c r="D382" t="s">
        <v>39</v>
      </c>
      <c r="E382" t="s">
        <v>39</v>
      </c>
      <c r="F382" t="s">
        <v>39</v>
      </c>
      <c r="G382" t="s">
        <v>39</v>
      </c>
    </row>
    <row r="383" spans="1:7" ht="13.2" x14ac:dyDescent="0.25">
      <c r="A383" s="1" t="s">
        <v>22</v>
      </c>
      <c r="B383" t="s">
        <v>120</v>
      </c>
      <c r="C383" t="s">
        <v>39</v>
      </c>
      <c r="D383" t="s">
        <v>39</v>
      </c>
      <c r="E383" t="s">
        <v>39</v>
      </c>
      <c r="F383" t="s">
        <v>39</v>
      </c>
      <c r="G383" t="s">
        <v>39</v>
      </c>
    </row>
    <row r="384" spans="1:7" ht="13.2" x14ac:dyDescent="0.25">
      <c r="A384" s="1" t="s">
        <v>22</v>
      </c>
    </row>
    <row r="385" spans="1:1" ht="13.2" x14ac:dyDescent="0.25">
      <c r="A385" s="1" t="s">
        <v>22</v>
      </c>
    </row>
    <row r="386" spans="1:1" ht="13.2" x14ac:dyDescent="0.25">
      <c r="A386" s="1" t="s">
        <v>22</v>
      </c>
    </row>
    <row r="387" spans="1:1" ht="13.2" x14ac:dyDescent="0.25">
      <c r="A387" s="1" t="s">
        <v>23</v>
      </c>
    </row>
    <row r="388" spans="1:1" ht="13.2" x14ac:dyDescent="0.25">
      <c r="A388" s="1" t="s">
        <v>23</v>
      </c>
    </row>
    <row r="389" spans="1:1" ht="13.2" x14ac:dyDescent="0.25">
      <c r="A389" s="1" t="s">
        <v>23</v>
      </c>
    </row>
    <row r="390" spans="1:1" ht="13.2" x14ac:dyDescent="0.25">
      <c r="A390" s="1" t="s">
        <v>23</v>
      </c>
    </row>
    <row r="391" spans="1:1" ht="13.2" x14ac:dyDescent="0.25">
      <c r="A391" s="1" t="s">
        <v>23</v>
      </c>
    </row>
    <row r="392" spans="1:1" ht="13.2" x14ac:dyDescent="0.25">
      <c r="A392" s="1" t="s">
        <v>23</v>
      </c>
    </row>
    <row r="393" spans="1:1" ht="13.2" x14ac:dyDescent="0.25">
      <c r="A393" s="1" t="s">
        <v>23</v>
      </c>
    </row>
    <row r="394" spans="1:1" ht="13.2" x14ac:dyDescent="0.25">
      <c r="A394" s="1" t="s">
        <v>23</v>
      </c>
    </row>
    <row r="395" spans="1:1" ht="13.2" x14ac:dyDescent="0.25">
      <c r="A395" s="1" t="s">
        <v>23</v>
      </c>
    </row>
    <row r="396" spans="1:1" ht="13.2" x14ac:dyDescent="0.25">
      <c r="A396" s="1" t="s">
        <v>23</v>
      </c>
    </row>
    <row r="397" spans="1:1" ht="13.2" x14ac:dyDescent="0.25">
      <c r="A397" s="1" t="s">
        <v>23</v>
      </c>
    </row>
    <row r="398" spans="1:1" ht="13.2" x14ac:dyDescent="0.25">
      <c r="A398" s="1" t="s">
        <v>23</v>
      </c>
    </row>
    <row r="399" spans="1:1" ht="13.2" x14ac:dyDescent="0.25">
      <c r="A399" s="1" t="s">
        <v>23</v>
      </c>
    </row>
    <row r="400" spans="1:1" ht="13.2" x14ac:dyDescent="0.25">
      <c r="A400" s="1" t="s">
        <v>23</v>
      </c>
    </row>
    <row r="401" spans="1:1" ht="13.2" x14ac:dyDescent="0.25">
      <c r="A401" s="1" t="s">
        <v>23</v>
      </c>
    </row>
    <row r="402" spans="1:1" ht="13.2" x14ac:dyDescent="0.25">
      <c r="A402" s="1" t="s">
        <v>23</v>
      </c>
    </row>
    <row r="403" spans="1:1" ht="13.2" x14ac:dyDescent="0.25">
      <c r="A403" s="1" t="s">
        <v>23</v>
      </c>
    </row>
    <row r="404" spans="1:1" ht="13.2" x14ac:dyDescent="0.25">
      <c r="A404" s="1" t="s">
        <v>23</v>
      </c>
    </row>
    <row r="405" spans="1:1" ht="13.2" x14ac:dyDescent="0.25">
      <c r="A405" s="1" t="s">
        <v>23</v>
      </c>
    </row>
    <row r="406" spans="1:1" ht="13.2" x14ac:dyDescent="0.25">
      <c r="A406" s="1" t="s">
        <v>23</v>
      </c>
    </row>
    <row r="407" spans="1:1" ht="13.2" x14ac:dyDescent="0.25">
      <c r="A407" s="1" t="s">
        <v>23</v>
      </c>
    </row>
    <row r="408" spans="1:1" ht="13.2" x14ac:dyDescent="0.25">
      <c r="A408" s="1" t="s">
        <v>23</v>
      </c>
    </row>
    <row r="409" spans="1:1" ht="13.2" x14ac:dyDescent="0.25">
      <c r="A409" s="1" t="s">
        <v>23</v>
      </c>
    </row>
    <row r="410" spans="1:1" ht="13.2" x14ac:dyDescent="0.25">
      <c r="A410" s="1" t="s">
        <v>23</v>
      </c>
    </row>
    <row r="411" spans="1:1" ht="13.2" x14ac:dyDescent="0.25">
      <c r="A411" s="1" t="s">
        <v>23</v>
      </c>
    </row>
    <row r="412" spans="1:1" ht="13.2" x14ac:dyDescent="0.25">
      <c r="A412" s="1" t="s">
        <v>23</v>
      </c>
    </row>
    <row r="413" spans="1:1" ht="13.2" x14ac:dyDescent="0.25">
      <c r="A413" s="1" t="s">
        <v>23</v>
      </c>
    </row>
    <row r="414" spans="1:1" ht="13.2" x14ac:dyDescent="0.25">
      <c r="A414" s="1" t="s">
        <v>23</v>
      </c>
    </row>
    <row r="415" spans="1:1" ht="13.2" x14ac:dyDescent="0.25">
      <c r="A415" s="1" t="s">
        <v>23</v>
      </c>
    </row>
    <row r="416" spans="1:1" ht="13.2" x14ac:dyDescent="0.25">
      <c r="A416" s="1" t="s">
        <v>23</v>
      </c>
    </row>
    <row r="417" spans="1:7" ht="13.2" x14ac:dyDescent="0.25">
      <c r="A417" s="1" t="s">
        <v>23</v>
      </c>
    </row>
    <row r="418" spans="1:7" ht="13.2" x14ac:dyDescent="0.25">
      <c r="A418" s="1" t="s">
        <v>23</v>
      </c>
    </row>
    <row r="419" spans="1:7" ht="13.2" x14ac:dyDescent="0.25">
      <c r="A419" s="1" t="s">
        <v>23</v>
      </c>
    </row>
    <row r="420" spans="1:7" ht="13.2" x14ac:dyDescent="0.25">
      <c r="A420" s="1" t="s">
        <v>23</v>
      </c>
    </row>
    <row r="421" spans="1:7" ht="13.2" x14ac:dyDescent="0.25">
      <c r="A421" s="1" t="s">
        <v>23</v>
      </c>
    </row>
    <row r="422" spans="1:7" ht="13.2" x14ac:dyDescent="0.25">
      <c r="A422" s="1" t="s">
        <v>23</v>
      </c>
    </row>
    <row r="423" spans="1:7" ht="13.2" x14ac:dyDescent="0.25">
      <c r="A423" s="1" t="s">
        <v>24</v>
      </c>
      <c r="B423" t="s">
        <v>397</v>
      </c>
      <c r="C423">
        <v>13</v>
      </c>
      <c r="D423" t="s">
        <v>41</v>
      </c>
      <c r="E423" t="s">
        <v>37</v>
      </c>
      <c r="F423" t="s">
        <v>39</v>
      </c>
      <c r="G423" t="s">
        <v>39</v>
      </c>
    </row>
    <row r="424" spans="1:7" ht="13.2" x14ac:dyDescent="0.25">
      <c r="A424" s="1" t="s">
        <v>24</v>
      </c>
      <c r="B424" t="s">
        <v>398</v>
      </c>
      <c r="C424" t="s">
        <v>39</v>
      </c>
      <c r="D424" t="s">
        <v>36</v>
      </c>
      <c r="E424" t="s">
        <v>37</v>
      </c>
      <c r="F424" t="s">
        <v>50</v>
      </c>
      <c r="G424" t="s">
        <v>39</v>
      </c>
    </row>
    <row r="425" spans="1:7" ht="13.2" x14ac:dyDescent="0.25">
      <c r="A425" s="1" t="s">
        <v>24</v>
      </c>
      <c r="B425" t="s">
        <v>399</v>
      </c>
      <c r="C425">
        <v>14</v>
      </c>
      <c r="D425" t="s">
        <v>36</v>
      </c>
      <c r="E425" t="s">
        <v>46</v>
      </c>
      <c r="F425" t="s">
        <v>39</v>
      </c>
      <c r="G425" t="s">
        <v>39</v>
      </c>
    </row>
    <row r="426" spans="1:7" ht="13.2" x14ac:dyDescent="0.25">
      <c r="A426" s="1" t="s">
        <v>24</v>
      </c>
      <c r="B426" t="s">
        <v>400</v>
      </c>
      <c r="C426" t="s">
        <v>39</v>
      </c>
      <c r="D426" t="s">
        <v>36</v>
      </c>
      <c r="E426" t="s">
        <v>46</v>
      </c>
      <c r="F426" t="s">
        <v>39</v>
      </c>
      <c r="G426" t="s">
        <v>39</v>
      </c>
    </row>
    <row r="427" spans="1:7" ht="13.2" x14ac:dyDescent="0.25">
      <c r="A427" s="1" t="s">
        <v>24</v>
      </c>
      <c r="B427" t="s">
        <v>401</v>
      </c>
      <c r="C427">
        <v>9</v>
      </c>
      <c r="D427" t="s">
        <v>62</v>
      </c>
      <c r="E427" t="s">
        <v>37</v>
      </c>
      <c r="F427" t="s">
        <v>50</v>
      </c>
      <c r="G427" t="s">
        <v>39</v>
      </c>
    </row>
    <row r="428" spans="1:7" ht="13.2" x14ac:dyDescent="0.25">
      <c r="A428" s="1" t="s">
        <v>24</v>
      </c>
      <c r="B428" t="s">
        <v>402</v>
      </c>
      <c r="C428">
        <v>18</v>
      </c>
      <c r="D428" t="s">
        <v>56</v>
      </c>
      <c r="E428" t="s">
        <v>46</v>
      </c>
      <c r="F428" t="s">
        <v>39</v>
      </c>
      <c r="G428" t="s">
        <v>39</v>
      </c>
    </row>
    <row r="429" spans="1:7" ht="13.2" x14ac:dyDescent="0.25">
      <c r="A429" s="1" t="s">
        <v>24</v>
      </c>
      <c r="B429" t="s">
        <v>403</v>
      </c>
      <c r="C429">
        <v>6</v>
      </c>
      <c r="D429" t="s">
        <v>41</v>
      </c>
      <c r="E429" t="s">
        <v>37</v>
      </c>
      <c r="F429" t="s">
        <v>39</v>
      </c>
      <c r="G429" t="s">
        <v>39</v>
      </c>
    </row>
    <row r="430" spans="1:7" ht="13.2" x14ac:dyDescent="0.25">
      <c r="A430" s="1" t="s">
        <v>24</v>
      </c>
      <c r="B430" t="s">
        <v>404</v>
      </c>
      <c r="C430" t="s">
        <v>39</v>
      </c>
      <c r="D430" t="s">
        <v>36</v>
      </c>
      <c r="E430" t="s">
        <v>37</v>
      </c>
      <c r="F430" t="s">
        <v>50</v>
      </c>
      <c r="G430" t="s">
        <v>39</v>
      </c>
    </row>
    <row r="431" spans="1:7" ht="13.2" x14ac:dyDescent="0.25">
      <c r="A431" s="1" t="s">
        <v>24</v>
      </c>
      <c r="B431" t="s">
        <v>405</v>
      </c>
      <c r="C431">
        <v>4</v>
      </c>
      <c r="D431" t="s">
        <v>41</v>
      </c>
      <c r="E431" t="s">
        <v>37</v>
      </c>
      <c r="F431" t="s">
        <v>39</v>
      </c>
      <c r="G431" t="s">
        <v>39</v>
      </c>
    </row>
    <row r="432" spans="1:7" ht="13.2" x14ac:dyDescent="0.25">
      <c r="A432" s="1" t="s">
        <v>24</v>
      </c>
      <c r="B432" t="s">
        <v>406</v>
      </c>
      <c r="C432">
        <v>30</v>
      </c>
      <c r="D432" t="s">
        <v>36</v>
      </c>
      <c r="E432" t="s">
        <v>37</v>
      </c>
      <c r="F432" t="s">
        <v>50</v>
      </c>
      <c r="G432" t="s">
        <v>39</v>
      </c>
    </row>
    <row r="433" spans="1:7" ht="13.2" x14ac:dyDescent="0.25">
      <c r="A433" s="1" t="s">
        <v>24</v>
      </c>
      <c r="B433" t="s">
        <v>407</v>
      </c>
      <c r="C433">
        <v>5</v>
      </c>
      <c r="D433" t="s">
        <v>41</v>
      </c>
      <c r="E433" t="s">
        <v>117</v>
      </c>
      <c r="F433" t="s">
        <v>50</v>
      </c>
      <c r="G433" t="s">
        <v>118</v>
      </c>
    </row>
    <row r="434" spans="1:7" ht="13.2" x14ac:dyDescent="0.25">
      <c r="A434" s="1" t="s">
        <v>24</v>
      </c>
      <c r="B434" t="s">
        <v>408</v>
      </c>
      <c r="C434">
        <v>33</v>
      </c>
      <c r="D434" t="s">
        <v>41</v>
      </c>
      <c r="E434" t="s">
        <v>42</v>
      </c>
      <c r="F434" t="s">
        <v>39</v>
      </c>
      <c r="G434" t="s">
        <v>39</v>
      </c>
    </row>
    <row r="435" spans="1:7" ht="13.2" x14ac:dyDescent="0.25">
      <c r="A435" s="1" t="s">
        <v>24</v>
      </c>
      <c r="B435" t="s">
        <v>409</v>
      </c>
      <c r="C435">
        <v>1</v>
      </c>
      <c r="D435" t="s">
        <v>56</v>
      </c>
      <c r="E435" t="s">
        <v>37</v>
      </c>
      <c r="F435" t="s">
        <v>39</v>
      </c>
      <c r="G435" t="s">
        <v>39</v>
      </c>
    </row>
    <row r="436" spans="1:7" ht="13.2" x14ac:dyDescent="0.25">
      <c r="A436" s="1" t="s">
        <v>24</v>
      </c>
      <c r="B436" t="s">
        <v>410</v>
      </c>
      <c r="C436">
        <v>17</v>
      </c>
      <c r="D436" t="s">
        <v>62</v>
      </c>
      <c r="E436" t="s">
        <v>42</v>
      </c>
      <c r="F436" t="s">
        <v>71</v>
      </c>
      <c r="G436" t="s">
        <v>39</v>
      </c>
    </row>
    <row r="437" spans="1:7" ht="13.2" x14ac:dyDescent="0.25">
      <c r="A437" s="1" t="s">
        <v>24</v>
      </c>
      <c r="B437" t="s">
        <v>411</v>
      </c>
      <c r="C437">
        <v>22</v>
      </c>
      <c r="D437" t="s">
        <v>41</v>
      </c>
      <c r="E437" t="s">
        <v>37</v>
      </c>
      <c r="F437" t="s">
        <v>39</v>
      </c>
      <c r="G437" t="s">
        <v>39</v>
      </c>
    </row>
    <row r="438" spans="1:7" ht="13.2" x14ac:dyDescent="0.25">
      <c r="A438" s="1" t="s">
        <v>24</v>
      </c>
      <c r="B438" t="s">
        <v>412</v>
      </c>
      <c r="C438">
        <v>15</v>
      </c>
      <c r="D438" t="s">
        <v>36</v>
      </c>
      <c r="E438" t="s">
        <v>37</v>
      </c>
      <c r="F438" t="s">
        <v>39</v>
      </c>
      <c r="G438" t="s">
        <v>39</v>
      </c>
    </row>
    <row r="439" spans="1:7" ht="13.2" x14ac:dyDescent="0.25">
      <c r="A439" s="1" t="s">
        <v>24</v>
      </c>
      <c r="B439" t="s">
        <v>413</v>
      </c>
      <c r="C439">
        <v>19</v>
      </c>
      <c r="D439" t="s">
        <v>36</v>
      </c>
      <c r="E439" t="s">
        <v>37</v>
      </c>
      <c r="F439" t="s">
        <v>38</v>
      </c>
      <c r="G439" t="s">
        <v>39</v>
      </c>
    </row>
    <row r="440" spans="1:7" ht="13.2" x14ac:dyDescent="0.25">
      <c r="A440" s="1" t="s">
        <v>24</v>
      </c>
      <c r="B440" t="s">
        <v>414</v>
      </c>
      <c r="C440">
        <v>10</v>
      </c>
      <c r="D440" t="s">
        <v>36</v>
      </c>
      <c r="E440" t="s">
        <v>37</v>
      </c>
      <c r="F440" t="s">
        <v>38</v>
      </c>
      <c r="G440" t="s">
        <v>39</v>
      </c>
    </row>
    <row r="441" spans="1:7" ht="13.2" x14ac:dyDescent="0.25">
      <c r="A441" s="1" t="s">
        <v>24</v>
      </c>
      <c r="B441" t="s">
        <v>415</v>
      </c>
      <c r="C441">
        <v>12</v>
      </c>
      <c r="D441" t="s">
        <v>36</v>
      </c>
      <c r="E441" t="s">
        <v>37</v>
      </c>
      <c r="F441" t="s">
        <v>50</v>
      </c>
      <c r="G441" t="s">
        <v>39</v>
      </c>
    </row>
    <row r="442" spans="1:7" ht="13.2" x14ac:dyDescent="0.25">
      <c r="A442" s="1" t="s">
        <v>24</v>
      </c>
      <c r="B442" t="s">
        <v>416</v>
      </c>
      <c r="C442">
        <v>24</v>
      </c>
      <c r="D442" t="s">
        <v>56</v>
      </c>
      <c r="E442" t="s">
        <v>42</v>
      </c>
      <c r="F442" t="s">
        <v>39</v>
      </c>
      <c r="G442" t="s">
        <v>39</v>
      </c>
    </row>
    <row r="443" spans="1:7" ht="13.2" x14ac:dyDescent="0.25">
      <c r="A443" s="1" t="s">
        <v>24</v>
      </c>
      <c r="B443" t="s">
        <v>417</v>
      </c>
      <c r="C443">
        <v>8</v>
      </c>
      <c r="D443" t="s">
        <v>36</v>
      </c>
      <c r="E443" t="s">
        <v>37</v>
      </c>
      <c r="F443" t="s">
        <v>39</v>
      </c>
      <c r="G443" t="s">
        <v>39</v>
      </c>
    </row>
    <row r="444" spans="1:7" ht="13.2" x14ac:dyDescent="0.25">
      <c r="A444" s="1" t="s">
        <v>24</v>
      </c>
      <c r="B444" t="s">
        <v>418</v>
      </c>
      <c r="C444">
        <v>16</v>
      </c>
      <c r="D444" t="s">
        <v>36</v>
      </c>
      <c r="E444" t="s">
        <v>46</v>
      </c>
      <c r="F444" t="s">
        <v>47</v>
      </c>
      <c r="G444" t="s">
        <v>39</v>
      </c>
    </row>
    <row r="445" spans="1:7" ht="13.2" x14ac:dyDescent="0.25">
      <c r="A445" s="1" t="s">
        <v>24</v>
      </c>
      <c r="B445" t="s">
        <v>419</v>
      </c>
      <c r="C445">
        <v>25</v>
      </c>
      <c r="D445" t="s">
        <v>41</v>
      </c>
      <c r="E445" t="s">
        <v>46</v>
      </c>
      <c r="F445" t="s">
        <v>47</v>
      </c>
      <c r="G445" t="s">
        <v>39</v>
      </c>
    </row>
    <row r="446" spans="1:7" ht="13.2" x14ac:dyDescent="0.25">
      <c r="A446" s="1" t="s">
        <v>24</v>
      </c>
      <c r="B446" t="s">
        <v>420</v>
      </c>
      <c r="C446">
        <v>41</v>
      </c>
      <c r="D446" t="s">
        <v>56</v>
      </c>
      <c r="E446" t="s">
        <v>37</v>
      </c>
      <c r="F446" t="s">
        <v>39</v>
      </c>
      <c r="G446" t="s">
        <v>39</v>
      </c>
    </row>
    <row r="447" spans="1:7" ht="13.2" x14ac:dyDescent="0.25">
      <c r="A447" s="1" t="s">
        <v>24</v>
      </c>
      <c r="B447" t="s">
        <v>421</v>
      </c>
      <c r="C447">
        <v>2</v>
      </c>
      <c r="D447" t="s">
        <v>41</v>
      </c>
      <c r="E447" t="s">
        <v>42</v>
      </c>
      <c r="F447" t="s">
        <v>39</v>
      </c>
      <c r="G447" t="s">
        <v>39</v>
      </c>
    </row>
    <row r="448" spans="1:7" ht="13.2" x14ac:dyDescent="0.25">
      <c r="A448" s="1" t="s">
        <v>24</v>
      </c>
      <c r="B448" t="s">
        <v>422</v>
      </c>
      <c r="C448">
        <v>29</v>
      </c>
      <c r="D448" t="s">
        <v>62</v>
      </c>
      <c r="E448" t="s">
        <v>37</v>
      </c>
      <c r="F448" t="s">
        <v>50</v>
      </c>
      <c r="G448" t="s">
        <v>39</v>
      </c>
    </row>
    <row r="449" spans="1:7" ht="13.2" x14ac:dyDescent="0.25">
      <c r="A449" s="1" t="s">
        <v>24</v>
      </c>
      <c r="B449" t="s">
        <v>423</v>
      </c>
      <c r="C449">
        <v>3</v>
      </c>
      <c r="D449" t="s">
        <v>41</v>
      </c>
      <c r="E449" t="s">
        <v>37</v>
      </c>
      <c r="F449" t="s">
        <v>50</v>
      </c>
      <c r="G449" t="s">
        <v>39</v>
      </c>
    </row>
    <row r="450" spans="1:7" ht="13.2" x14ac:dyDescent="0.25">
      <c r="A450" s="1" t="s">
        <v>24</v>
      </c>
      <c r="B450" t="s">
        <v>424</v>
      </c>
      <c r="C450">
        <v>7</v>
      </c>
      <c r="D450" t="s">
        <v>62</v>
      </c>
      <c r="E450" t="s">
        <v>37</v>
      </c>
      <c r="F450" t="s">
        <v>38</v>
      </c>
      <c r="G450" t="s">
        <v>39</v>
      </c>
    </row>
    <row r="451" spans="1:7" ht="13.2" x14ac:dyDescent="0.25">
      <c r="A451" s="1" t="s">
        <v>24</v>
      </c>
      <c r="B451" t="s">
        <v>425</v>
      </c>
      <c r="C451">
        <v>23</v>
      </c>
      <c r="D451" t="s">
        <v>62</v>
      </c>
      <c r="E451" t="s">
        <v>37</v>
      </c>
      <c r="F451" t="s">
        <v>39</v>
      </c>
      <c r="G451" t="s">
        <v>39</v>
      </c>
    </row>
    <row r="452" spans="1:7" ht="13.2" x14ac:dyDescent="0.25">
      <c r="A452" s="1" t="s">
        <v>24</v>
      </c>
      <c r="B452" t="s">
        <v>39</v>
      </c>
      <c r="C452" t="s">
        <v>39</v>
      </c>
      <c r="D452" t="s">
        <v>39</v>
      </c>
      <c r="E452" t="s">
        <v>39</v>
      </c>
      <c r="F452" t="s">
        <v>39</v>
      </c>
      <c r="G452" t="s">
        <v>39</v>
      </c>
    </row>
    <row r="453" spans="1:7" ht="13.2" x14ac:dyDescent="0.25">
      <c r="A453" s="1" t="s">
        <v>24</v>
      </c>
      <c r="B453" t="s">
        <v>152</v>
      </c>
      <c r="C453" t="s">
        <v>39</v>
      </c>
      <c r="D453" t="s">
        <v>39</v>
      </c>
      <c r="E453" t="s">
        <v>39</v>
      </c>
      <c r="F453" t="s">
        <v>39</v>
      </c>
      <c r="G453" t="s">
        <v>39</v>
      </c>
    </row>
    <row r="454" spans="1:7" ht="13.2" x14ac:dyDescent="0.25">
      <c r="A454" s="1" t="s">
        <v>24</v>
      </c>
    </row>
    <row r="455" spans="1:7" ht="13.2" x14ac:dyDescent="0.25">
      <c r="A455" s="1" t="s">
        <v>24</v>
      </c>
    </row>
    <row r="456" spans="1:7" ht="13.2" x14ac:dyDescent="0.25">
      <c r="A456" s="1" t="s">
        <v>24</v>
      </c>
    </row>
    <row r="457" spans="1:7" ht="13.2" x14ac:dyDescent="0.25">
      <c r="A457" s="1" t="s">
        <v>24</v>
      </c>
    </row>
    <row r="458" spans="1:7" ht="13.2" x14ac:dyDescent="0.25">
      <c r="A458" s="1" t="s">
        <v>24</v>
      </c>
    </row>
    <row r="459" spans="1:7" ht="13.2" x14ac:dyDescent="0.25">
      <c r="A459" s="1" t="s">
        <v>25</v>
      </c>
      <c r="B459" t="s">
        <v>426</v>
      </c>
      <c r="C459">
        <v>27</v>
      </c>
      <c r="D459" t="s">
        <v>41</v>
      </c>
      <c r="E459" t="s">
        <v>37</v>
      </c>
      <c r="F459" t="s">
        <v>39</v>
      </c>
      <c r="G459" t="s">
        <v>39</v>
      </c>
    </row>
    <row r="460" spans="1:7" ht="13.2" x14ac:dyDescent="0.25">
      <c r="A460" s="1" t="s">
        <v>25</v>
      </c>
      <c r="B460" t="s">
        <v>427</v>
      </c>
      <c r="C460">
        <v>26</v>
      </c>
      <c r="D460" t="s">
        <v>41</v>
      </c>
      <c r="E460" t="s">
        <v>37</v>
      </c>
      <c r="F460" t="s">
        <v>50</v>
      </c>
      <c r="G460" t="s">
        <v>39</v>
      </c>
    </row>
    <row r="461" spans="1:7" ht="13.2" x14ac:dyDescent="0.25">
      <c r="A461" s="1" t="s">
        <v>25</v>
      </c>
      <c r="B461" t="s">
        <v>428</v>
      </c>
      <c r="C461">
        <v>1</v>
      </c>
      <c r="D461" t="s">
        <v>56</v>
      </c>
      <c r="E461" t="s">
        <v>37</v>
      </c>
      <c r="F461" t="s">
        <v>39</v>
      </c>
      <c r="G461" t="s">
        <v>39</v>
      </c>
    </row>
    <row r="462" spans="1:7" ht="13.2" x14ac:dyDescent="0.25">
      <c r="A462" s="1" t="s">
        <v>25</v>
      </c>
      <c r="B462" t="s">
        <v>429</v>
      </c>
      <c r="C462">
        <v>10</v>
      </c>
      <c r="D462" t="s">
        <v>36</v>
      </c>
      <c r="E462" t="s">
        <v>37</v>
      </c>
      <c r="F462" t="s">
        <v>44</v>
      </c>
      <c r="G462" t="s">
        <v>39</v>
      </c>
    </row>
    <row r="463" spans="1:7" ht="13.2" x14ac:dyDescent="0.25">
      <c r="A463" s="1" t="s">
        <v>25</v>
      </c>
      <c r="B463" t="s">
        <v>430</v>
      </c>
      <c r="C463">
        <v>11</v>
      </c>
      <c r="D463" t="s">
        <v>36</v>
      </c>
      <c r="E463" t="s">
        <v>46</v>
      </c>
      <c r="F463" t="s">
        <v>39</v>
      </c>
      <c r="G463" t="s">
        <v>39</v>
      </c>
    </row>
    <row r="464" spans="1:7" ht="13.2" x14ac:dyDescent="0.25">
      <c r="A464" s="1" t="s">
        <v>25</v>
      </c>
      <c r="B464" t="s">
        <v>431</v>
      </c>
      <c r="C464">
        <v>14</v>
      </c>
      <c r="D464" t="s">
        <v>62</v>
      </c>
      <c r="E464" t="s">
        <v>37</v>
      </c>
      <c r="F464" t="s">
        <v>65</v>
      </c>
      <c r="G464" t="s">
        <v>39</v>
      </c>
    </row>
    <row r="465" spans="1:7" ht="13.2" x14ac:dyDescent="0.25">
      <c r="A465" s="1" t="s">
        <v>25</v>
      </c>
      <c r="B465" t="s">
        <v>432</v>
      </c>
      <c r="C465">
        <v>36</v>
      </c>
      <c r="D465" t="s">
        <v>56</v>
      </c>
      <c r="E465" t="s">
        <v>42</v>
      </c>
      <c r="F465" t="s">
        <v>39</v>
      </c>
      <c r="G465" t="s">
        <v>39</v>
      </c>
    </row>
    <row r="466" spans="1:7" ht="13.2" x14ac:dyDescent="0.25">
      <c r="A466" s="1" t="s">
        <v>25</v>
      </c>
      <c r="B466" t="s">
        <v>433</v>
      </c>
      <c r="C466">
        <v>13</v>
      </c>
      <c r="D466" t="s">
        <v>41</v>
      </c>
      <c r="E466" t="s">
        <v>37</v>
      </c>
      <c r="F466" t="s">
        <v>50</v>
      </c>
      <c r="G466" t="s">
        <v>39</v>
      </c>
    </row>
    <row r="467" spans="1:7" ht="13.2" x14ac:dyDescent="0.25">
      <c r="A467" s="1" t="s">
        <v>25</v>
      </c>
      <c r="B467" t="s">
        <v>434</v>
      </c>
      <c r="C467">
        <v>99</v>
      </c>
      <c r="D467" t="s">
        <v>56</v>
      </c>
      <c r="E467" t="s">
        <v>42</v>
      </c>
      <c r="F467" t="s">
        <v>39</v>
      </c>
      <c r="G467" t="s">
        <v>39</v>
      </c>
    </row>
    <row r="468" spans="1:7" ht="13.2" x14ac:dyDescent="0.25">
      <c r="A468" s="1" t="s">
        <v>25</v>
      </c>
      <c r="B468" t="s">
        <v>435</v>
      </c>
      <c r="C468">
        <v>7</v>
      </c>
      <c r="D468" t="s">
        <v>36</v>
      </c>
      <c r="E468" t="s">
        <v>37</v>
      </c>
      <c r="F468" t="s">
        <v>39</v>
      </c>
      <c r="G468" t="s">
        <v>39</v>
      </c>
    </row>
    <row r="469" spans="1:7" ht="13.2" x14ac:dyDescent="0.25">
      <c r="A469" s="1" t="s">
        <v>25</v>
      </c>
      <c r="B469" t="s">
        <v>436</v>
      </c>
      <c r="C469">
        <v>4</v>
      </c>
      <c r="D469" t="s">
        <v>36</v>
      </c>
      <c r="E469" t="s">
        <v>37</v>
      </c>
      <c r="F469" t="s">
        <v>39</v>
      </c>
      <c r="G469" t="s">
        <v>39</v>
      </c>
    </row>
    <row r="470" spans="1:7" ht="13.2" x14ac:dyDescent="0.25">
      <c r="A470" s="1" t="s">
        <v>25</v>
      </c>
      <c r="B470" t="s">
        <v>437</v>
      </c>
      <c r="C470">
        <v>16</v>
      </c>
      <c r="D470" t="s">
        <v>36</v>
      </c>
      <c r="E470" t="s">
        <v>37</v>
      </c>
      <c r="F470" t="s">
        <v>65</v>
      </c>
      <c r="G470" t="s">
        <v>39</v>
      </c>
    </row>
    <row r="471" spans="1:7" ht="13.2" x14ac:dyDescent="0.25">
      <c r="A471" s="1" t="s">
        <v>25</v>
      </c>
      <c r="B471" t="s">
        <v>438</v>
      </c>
      <c r="C471">
        <v>6</v>
      </c>
      <c r="D471" t="s">
        <v>36</v>
      </c>
      <c r="E471" t="s">
        <v>42</v>
      </c>
      <c r="F471" t="s">
        <v>71</v>
      </c>
      <c r="G471" t="s">
        <v>39</v>
      </c>
    </row>
    <row r="472" spans="1:7" ht="13.2" x14ac:dyDescent="0.25">
      <c r="A472" s="1" t="s">
        <v>25</v>
      </c>
      <c r="B472" t="s">
        <v>439</v>
      </c>
      <c r="C472">
        <v>15</v>
      </c>
      <c r="D472" t="s">
        <v>36</v>
      </c>
      <c r="E472" t="s">
        <v>46</v>
      </c>
      <c r="F472" t="s">
        <v>47</v>
      </c>
      <c r="G472" t="s">
        <v>39</v>
      </c>
    </row>
    <row r="473" spans="1:7" ht="13.2" x14ac:dyDescent="0.25">
      <c r="A473" s="1" t="s">
        <v>25</v>
      </c>
      <c r="B473" t="s">
        <v>440</v>
      </c>
      <c r="C473">
        <v>17</v>
      </c>
      <c r="D473" t="s">
        <v>62</v>
      </c>
      <c r="E473" t="s">
        <v>46</v>
      </c>
      <c r="F473" t="s">
        <v>39</v>
      </c>
      <c r="G473" t="s">
        <v>39</v>
      </c>
    </row>
    <row r="474" spans="1:7" ht="13.2" x14ac:dyDescent="0.25">
      <c r="A474" s="1" t="s">
        <v>25</v>
      </c>
      <c r="B474" t="s">
        <v>441</v>
      </c>
      <c r="C474">
        <v>12</v>
      </c>
      <c r="D474" t="s">
        <v>41</v>
      </c>
      <c r="E474" t="s">
        <v>46</v>
      </c>
      <c r="F474" t="s">
        <v>39</v>
      </c>
      <c r="G474" t="s">
        <v>39</v>
      </c>
    </row>
    <row r="475" spans="1:7" ht="13.2" x14ac:dyDescent="0.25">
      <c r="A475" s="1" t="s">
        <v>25</v>
      </c>
      <c r="B475" t="s">
        <v>442</v>
      </c>
      <c r="C475">
        <v>94</v>
      </c>
      <c r="D475" t="s">
        <v>41</v>
      </c>
      <c r="E475" t="s">
        <v>37</v>
      </c>
      <c r="F475" t="s">
        <v>39</v>
      </c>
      <c r="G475" t="s">
        <v>39</v>
      </c>
    </row>
    <row r="476" spans="1:7" ht="13.2" x14ac:dyDescent="0.25">
      <c r="A476" s="1" t="s">
        <v>25</v>
      </c>
      <c r="B476" t="s">
        <v>443</v>
      </c>
      <c r="C476">
        <v>29</v>
      </c>
      <c r="D476" t="s">
        <v>62</v>
      </c>
      <c r="E476" t="s">
        <v>37</v>
      </c>
      <c r="F476" t="s">
        <v>39</v>
      </c>
      <c r="G476" t="s">
        <v>39</v>
      </c>
    </row>
    <row r="477" spans="1:7" ht="13.2" x14ac:dyDescent="0.25">
      <c r="A477" s="1" t="s">
        <v>25</v>
      </c>
      <c r="B477" t="s">
        <v>444</v>
      </c>
      <c r="C477">
        <v>5</v>
      </c>
      <c r="D477" t="s">
        <v>36</v>
      </c>
      <c r="E477" t="s">
        <v>37</v>
      </c>
      <c r="F477" t="s">
        <v>39</v>
      </c>
      <c r="G477" t="s">
        <v>39</v>
      </c>
    </row>
    <row r="478" spans="1:7" ht="13.2" x14ac:dyDescent="0.25">
      <c r="A478" s="1" t="s">
        <v>25</v>
      </c>
      <c r="B478" t="s">
        <v>445</v>
      </c>
      <c r="C478">
        <v>8</v>
      </c>
      <c r="D478" t="s">
        <v>36</v>
      </c>
      <c r="E478" t="s">
        <v>42</v>
      </c>
      <c r="F478" t="s">
        <v>39</v>
      </c>
      <c r="G478" t="s">
        <v>39</v>
      </c>
    </row>
    <row r="479" spans="1:7" ht="13.2" x14ac:dyDescent="0.25">
      <c r="A479" s="1" t="s">
        <v>25</v>
      </c>
      <c r="B479" t="s">
        <v>446</v>
      </c>
      <c r="C479">
        <v>20</v>
      </c>
      <c r="D479" t="s">
        <v>101</v>
      </c>
      <c r="E479" t="s">
        <v>37</v>
      </c>
      <c r="F479" t="s">
        <v>50</v>
      </c>
      <c r="G479" t="s">
        <v>39</v>
      </c>
    </row>
    <row r="480" spans="1:7" ht="13.2" x14ac:dyDescent="0.25">
      <c r="A480" s="1" t="s">
        <v>25</v>
      </c>
      <c r="B480" t="s">
        <v>447</v>
      </c>
      <c r="C480">
        <v>22</v>
      </c>
      <c r="D480" t="s">
        <v>41</v>
      </c>
      <c r="E480" t="s">
        <v>37</v>
      </c>
      <c r="F480" t="s">
        <v>50</v>
      </c>
      <c r="G480" t="s">
        <v>39</v>
      </c>
    </row>
    <row r="481" spans="1:7" ht="13.2" x14ac:dyDescent="0.25">
      <c r="A481" s="1" t="s">
        <v>25</v>
      </c>
      <c r="B481" t="s">
        <v>448</v>
      </c>
      <c r="C481">
        <v>28</v>
      </c>
      <c r="D481" t="s">
        <v>41</v>
      </c>
      <c r="E481" t="s">
        <v>37</v>
      </c>
      <c r="F481" t="s">
        <v>39</v>
      </c>
      <c r="G481" t="s">
        <v>39</v>
      </c>
    </row>
    <row r="482" spans="1:7" ht="13.2" x14ac:dyDescent="0.25">
      <c r="A482" s="1" t="s">
        <v>25</v>
      </c>
      <c r="B482" t="s">
        <v>449</v>
      </c>
      <c r="C482">
        <v>2</v>
      </c>
      <c r="D482" t="s">
        <v>41</v>
      </c>
      <c r="E482" t="s">
        <v>37</v>
      </c>
      <c r="F482" t="s">
        <v>39</v>
      </c>
      <c r="G482" t="s">
        <v>39</v>
      </c>
    </row>
    <row r="483" spans="1:7" ht="13.2" x14ac:dyDescent="0.25">
      <c r="A483" s="1" t="s">
        <v>25</v>
      </c>
      <c r="B483" t="s">
        <v>450</v>
      </c>
      <c r="C483">
        <v>31</v>
      </c>
      <c r="D483" t="s">
        <v>56</v>
      </c>
      <c r="E483" t="s">
        <v>46</v>
      </c>
      <c r="F483" t="s">
        <v>47</v>
      </c>
      <c r="G483" t="s">
        <v>39</v>
      </c>
    </row>
    <row r="484" spans="1:7" ht="13.2" x14ac:dyDescent="0.25">
      <c r="A484" s="1" t="s">
        <v>25</v>
      </c>
      <c r="B484" t="s">
        <v>451</v>
      </c>
      <c r="C484">
        <v>21</v>
      </c>
      <c r="D484" t="s">
        <v>41</v>
      </c>
      <c r="E484" t="s">
        <v>37</v>
      </c>
      <c r="F484" t="s">
        <v>39</v>
      </c>
      <c r="G484" t="s">
        <v>39</v>
      </c>
    </row>
    <row r="485" spans="1:7" ht="13.2" x14ac:dyDescent="0.25">
      <c r="A485" s="1" t="s">
        <v>25</v>
      </c>
      <c r="B485" t="s">
        <v>452</v>
      </c>
      <c r="C485">
        <v>3</v>
      </c>
      <c r="D485" t="s">
        <v>41</v>
      </c>
      <c r="E485" t="s">
        <v>37</v>
      </c>
      <c r="F485" t="s">
        <v>39</v>
      </c>
      <c r="G485" t="s">
        <v>39</v>
      </c>
    </row>
    <row r="486" spans="1:7" ht="13.2" x14ac:dyDescent="0.25">
      <c r="A486" s="1" t="s">
        <v>25</v>
      </c>
      <c r="B486" t="s">
        <v>453</v>
      </c>
      <c r="C486">
        <v>25</v>
      </c>
      <c r="D486" t="s">
        <v>41</v>
      </c>
      <c r="E486" t="s">
        <v>37</v>
      </c>
      <c r="F486" t="s">
        <v>39</v>
      </c>
      <c r="G486" t="s">
        <v>39</v>
      </c>
    </row>
    <row r="487" spans="1:7" ht="13.2" x14ac:dyDescent="0.25">
      <c r="A487" s="1" t="s">
        <v>25</v>
      </c>
      <c r="B487" t="s">
        <v>454</v>
      </c>
      <c r="C487">
        <v>33</v>
      </c>
      <c r="D487" t="s">
        <v>36</v>
      </c>
      <c r="E487" t="s">
        <v>46</v>
      </c>
      <c r="F487" t="s">
        <v>47</v>
      </c>
      <c r="G487" t="s">
        <v>39</v>
      </c>
    </row>
    <row r="488" spans="1:7" ht="13.2" x14ac:dyDescent="0.25">
      <c r="A488" s="1" t="s">
        <v>25</v>
      </c>
      <c r="B488" t="s">
        <v>455</v>
      </c>
      <c r="C488">
        <v>19</v>
      </c>
      <c r="D488" t="s">
        <v>36</v>
      </c>
      <c r="E488" t="s">
        <v>37</v>
      </c>
      <c r="F488" t="s">
        <v>50</v>
      </c>
      <c r="G488" t="s">
        <v>39</v>
      </c>
    </row>
    <row r="489" spans="1:7" ht="13.2" x14ac:dyDescent="0.25">
      <c r="A489" s="1" t="s">
        <v>25</v>
      </c>
      <c r="B489" t="s">
        <v>83</v>
      </c>
      <c r="C489" t="s">
        <v>39</v>
      </c>
      <c r="D489" t="s">
        <v>39</v>
      </c>
      <c r="E489" t="s">
        <v>39</v>
      </c>
      <c r="F489" t="s">
        <v>39</v>
      </c>
      <c r="G489" t="s">
        <v>39</v>
      </c>
    </row>
    <row r="490" spans="1:7" ht="13.2" x14ac:dyDescent="0.25">
      <c r="A490" s="1" t="s">
        <v>25</v>
      </c>
    </row>
    <row r="491" spans="1:7" ht="13.2" x14ac:dyDescent="0.25">
      <c r="A491" s="1" t="s">
        <v>25</v>
      </c>
    </row>
    <row r="492" spans="1:7" ht="13.2" x14ac:dyDescent="0.25">
      <c r="A492" s="1" t="s">
        <v>25</v>
      </c>
    </row>
    <row r="493" spans="1:7" ht="13.2" x14ac:dyDescent="0.25">
      <c r="A493" s="1" t="s">
        <v>25</v>
      </c>
    </row>
    <row r="494" spans="1:7" ht="13.2" x14ac:dyDescent="0.25">
      <c r="A494" s="1" t="s">
        <v>25</v>
      </c>
    </row>
    <row r="495" spans="1:7" ht="13.2" x14ac:dyDescent="0.25">
      <c r="A495" s="1" t="s">
        <v>26</v>
      </c>
    </row>
    <row r="496" spans="1:7" ht="13.2" x14ac:dyDescent="0.25">
      <c r="A496" s="1" t="s">
        <v>26</v>
      </c>
    </row>
    <row r="497" spans="1:1" ht="13.2" x14ac:dyDescent="0.25">
      <c r="A497" s="1" t="s">
        <v>26</v>
      </c>
    </row>
    <row r="498" spans="1:1" ht="13.2" x14ac:dyDescent="0.25">
      <c r="A498" s="1" t="s">
        <v>26</v>
      </c>
    </row>
    <row r="499" spans="1:1" ht="13.2" x14ac:dyDescent="0.25">
      <c r="A499" s="1" t="s">
        <v>26</v>
      </c>
    </row>
    <row r="500" spans="1:1" ht="13.2" x14ac:dyDescent="0.25">
      <c r="A500" s="1" t="s">
        <v>26</v>
      </c>
    </row>
    <row r="501" spans="1:1" ht="13.2" x14ac:dyDescent="0.25">
      <c r="A501" s="1" t="s">
        <v>26</v>
      </c>
    </row>
    <row r="502" spans="1:1" ht="13.2" x14ac:dyDescent="0.25">
      <c r="A502" s="1" t="s">
        <v>26</v>
      </c>
    </row>
    <row r="503" spans="1:1" ht="13.2" x14ac:dyDescent="0.25">
      <c r="A503" s="1" t="s">
        <v>26</v>
      </c>
    </row>
    <row r="504" spans="1:1" ht="13.2" x14ac:dyDescent="0.25">
      <c r="A504" s="1" t="s">
        <v>26</v>
      </c>
    </row>
    <row r="505" spans="1:1" ht="13.2" x14ac:dyDescent="0.25">
      <c r="A505" s="1" t="s">
        <v>26</v>
      </c>
    </row>
    <row r="506" spans="1:1" ht="13.2" x14ac:dyDescent="0.25">
      <c r="A506" s="1" t="s">
        <v>26</v>
      </c>
    </row>
    <row r="507" spans="1:1" ht="13.2" x14ac:dyDescent="0.25">
      <c r="A507" s="1" t="s">
        <v>26</v>
      </c>
    </row>
    <row r="508" spans="1:1" ht="13.2" x14ac:dyDescent="0.25">
      <c r="A508" s="1" t="s">
        <v>26</v>
      </c>
    </row>
    <row r="509" spans="1:1" ht="13.2" x14ac:dyDescent="0.25">
      <c r="A509" s="1" t="s">
        <v>26</v>
      </c>
    </row>
    <row r="510" spans="1:1" ht="13.2" x14ac:dyDescent="0.25">
      <c r="A510" s="1" t="s">
        <v>26</v>
      </c>
    </row>
    <row r="511" spans="1:1" ht="13.2" x14ac:dyDescent="0.25">
      <c r="A511" s="1" t="s">
        <v>26</v>
      </c>
    </row>
    <row r="512" spans="1:1" ht="13.2" x14ac:dyDescent="0.25">
      <c r="A512" s="1" t="s">
        <v>26</v>
      </c>
    </row>
    <row r="513" spans="1:1" ht="13.2" x14ac:dyDescent="0.25">
      <c r="A513" s="1" t="s">
        <v>26</v>
      </c>
    </row>
    <row r="514" spans="1:1" ht="13.2" x14ac:dyDescent="0.25">
      <c r="A514" s="1" t="s">
        <v>26</v>
      </c>
    </row>
    <row r="515" spans="1:1" ht="13.2" x14ac:dyDescent="0.25">
      <c r="A515" s="1" t="s">
        <v>26</v>
      </c>
    </row>
    <row r="516" spans="1:1" ht="13.2" x14ac:dyDescent="0.25">
      <c r="A516" s="1" t="s">
        <v>26</v>
      </c>
    </row>
    <row r="517" spans="1:1" ht="13.2" x14ac:dyDescent="0.25">
      <c r="A517" s="1" t="s">
        <v>26</v>
      </c>
    </row>
    <row r="518" spans="1:1" ht="13.2" x14ac:dyDescent="0.25">
      <c r="A518" s="1" t="s">
        <v>26</v>
      </c>
    </row>
    <row r="519" spans="1:1" ht="13.2" x14ac:dyDescent="0.25">
      <c r="A519" s="1" t="s">
        <v>26</v>
      </c>
    </row>
    <row r="520" spans="1:1" ht="13.2" x14ac:dyDescent="0.25">
      <c r="A520" s="1" t="s">
        <v>26</v>
      </c>
    </row>
    <row r="521" spans="1:1" ht="13.2" x14ac:dyDescent="0.25">
      <c r="A521" s="1" t="s">
        <v>26</v>
      </c>
    </row>
    <row r="522" spans="1:1" ht="13.2" x14ac:dyDescent="0.25">
      <c r="A522" s="1" t="s">
        <v>26</v>
      </c>
    </row>
    <row r="523" spans="1:1" ht="13.2" x14ac:dyDescent="0.25">
      <c r="A523" s="1" t="s">
        <v>26</v>
      </c>
    </row>
    <row r="524" spans="1:1" ht="13.2" x14ac:dyDescent="0.25">
      <c r="A524" s="1" t="s">
        <v>26</v>
      </c>
    </row>
    <row r="525" spans="1:1" ht="13.2" x14ac:dyDescent="0.25">
      <c r="A525" s="1" t="s">
        <v>26</v>
      </c>
    </row>
    <row r="526" spans="1:1" ht="13.2" x14ac:dyDescent="0.25">
      <c r="A526" s="1" t="s">
        <v>26</v>
      </c>
    </row>
    <row r="527" spans="1:1" ht="13.2" x14ac:dyDescent="0.25">
      <c r="A527" s="1" t="s">
        <v>26</v>
      </c>
    </row>
    <row r="528" spans="1:1" ht="13.2" x14ac:dyDescent="0.25">
      <c r="A528" s="1" t="s">
        <v>26</v>
      </c>
    </row>
    <row r="529" spans="1:7" ht="13.2" x14ac:dyDescent="0.25">
      <c r="A529" s="1" t="s">
        <v>26</v>
      </c>
    </row>
    <row r="530" spans="1:7" ht="13.2" x14ac:dyDescent="0.25">
      <c r="A530" s="1" t="s">
        <v>26</v>
      </c>
    </row>
    <row r="531" spans="1:7" ht="13.2" x14ac:dyDescent="0.25">
      <c r="A531" s="1" t="s">
        <v>26</v>
      </c>
    </row>
    <row r="532" spans="1:7" ht="13.2" x14ac:dyDescent="0.25">
      <c r="A532" s="1" t="s">
        <v>27</v>
      </c>
      <c r="B532" t="s">
        <v>456</v>
      </c>
      <c r="C532">
        <v>19</v>
      </c>
      <c r="D532" t="s">
        <v>211</v>
      </c>
      <c r="E532" t="s">
        <v>79</v>
      </c>
      <c r="F532" t="s">
        <v>50</v>
      </c>
      <c r="G532" t="s">
        <v>74</v>
      </c>
    </row>
    <row r="533" spans="1:7" ht="13.2" x14ac:dyDescent="0.25">
      <c r="A533" s="1" t="s">
        <v>27</v>
      </c>
      <c r="B533" t="s">
        <v>457</v>
      </c>
      <c r="C533">
        <v>99</v>
      </c>
      <c r="D533" t="s">
        <v>62</v>
      </c>
      <c r="E533" t="s">
        <v>37</v>
      </c>
      <c r="F533" t="s">
        <v>50</v>
      </c>
      <c r="G533" t="s">
        <v>39</v>
      </c>
    </row>
    <row r="534" spans="1:7" ht="13.2" x14ac:dyDescent="0.25">
      <c r="A534" s="1" t="s">
        <v>27</v>
      </c>
      <c r="B534" t="s">
        <v>458</v>
      </c>
      <c r="C534">
        <v>27</v>
      </c>
      <c r="D534" t="s">
        <v>135</v>
      </c>
      <c r="E534" t="s">
        <v>37</v>
      </c>
      <c r="F534" t="s">
        <v>39</v>
      </c>
      <c r="G534" t="s">
        <v>39</v>
      </c>
    </row>
    <row r="535" spans="1:7" ht="13.2" x14ac:dyDescent="0.25">
      <c r="A535" s="1" t="s">
        <v>27</v>
      </c>
      <c r="B535" t="s">
        <v>459</v>
      </c>
      <c r="C535">
        <v>1</v>
      </c>
      <c r="D535" t="s">
        <v>56</v>
      </c>
      <c r="E535" t="s">
        <v>37</v>
      </c>
      <c r="F535" t="s">
        <v>39</v>
      </c>
      <c r="G535" t="s">
        <v>39</v>
      </c>
    </row>
    <row r="536" spans="1:7" ht="13.2" x14ac:dyDescent="0.25">
      <c r="A536" s="1" t="s">
        <v>27</v>
      </c>
      <c r="B536" t="s">
        <v>460</v>
      </c>
      <c r="C536">
        <v>23</v>
      </c>
      <c r="D536" t="s">
        <v>101</v>
      </c>
      <c r="E536" t="s">
        <v>42</v>
      </c>
      <c r="F536" t="s">
        <v>39</v>
      </c>
      <c r="G536" t="s">
        <v>39</v>
      </c>
    </row>
    <row r="537" spans="1:7" ht="13.2" x14ac:dyDescent="0.25">
      <c r="A537" s="1" t="s">
        <v>27</v>
      </c>
      <c r="B537" t="s">
        <v>461</v>
      </c>
      <c r="C537">
        <v>10</v>
      </c>
      <c r="D537" t="s">
        <v>135</v>
      </c>
      <c r="E537" t="s">
        <v>37</v>
      </c>
      <c r="F537" t="s">
        <v>65</v>
      </c>
      <c r="G537" t="s">
        <v>39</v>
      </c>
    </row>
    <row r="538" spans="1:7" ht="13.2" x14ac:dyDescent="0.25">
      <c r="A538" s="1" t="s">
        <v>27</v>
      </c>
      <c r="B538" t="s">
        <v>462</v>
      </c>
      <c r="C538">
        <v>18</v>
      </c>
      <c r="D538" t="s">
        <v>41</v>
      </c>
      <c r="E538" t="s">
        <v>37</v>
      </c>
      <c r="F538" t="s">
        <v>50</v>
      </c>
      <c r="G538" t="s">
        <v>39</v>
      </c>
    </row>
    <row r="539" spans="1:7" ht="13.2" x14ac:dyDescent="0.25">
      <c r="A539" s="1" t="s">
        <v>27</v>
      </c>
      <c r="B539" t="s">
        <v>463</v>
      </c>
      <c r="C539">
        <v>21</v>
      </c>
      <c r="D539" t="s">
        <v>36</v>
      </c>
      <c r="E539" t="s">
        <v>37</v>
      </c>
      <c r="F539" t="s">
        <v>39</v>
      </c>
      <c r="G539" t="s">
        <v>39</v>
      </c>
    </row>
    <row r="540" spans="1:7" ht="13.2" x14ac:dyDescent="0.25">
      <c r="A540" s="1" t="s">
        <v>27</v>
      </c>
      <c r="B540" t="s">
        <v>464</v>
      </c>
      <c r="C540">
        <v>12</v>
      </c>
      <c r="D540" t="s">
        <v>56</v>
      </c>
      <c r="E540" t="s">
        <v>37</v>
      </c>
      <c r="F540" t="s">
        <v>39</v>
      </c>
      <c r="G540" t="s">
        <v>39</v>
      </c>
    </row>
    <row r="541" spans="1:7" ht="13.2" x14ac:dyDescent="0.25">
      <c r="A541" s="1" t="s">
        <v>27</v>
      </c>
      <c r="B541" t="s">
        <v>465</v>
      </c>
      <c r="C541">
        <v>19</v>
      </c>
      <c r="D541" t="s">
        <v>36</v>
      </c>
      <c r="E541" t="s">
        <v>37</v>
      </c>
      <c r="F541" t="s">
        <v>50</v>
      </c>
      <c r="G541" t="s">
        <v>39</v>
      </c>
    </row>
    <row r="542" spans="1:7" ht="13.2" x14ac:dyDescent="0.25">
      <c r="A542" s="1" t="s">
        <v>27</v>
      </c>
      <c r="B542" t="s">
        <v>466</v>
      </c>
      <c r="C542">
        <v>17</v>
      </c>
      <c r="D542" t="s">
        <v>62</v>
      </c>
      <c r="E542" t="s">
        <v>42</v>
      </c>
      <c r="F542" t="s">
        <v>71</v>
      </c>
      <c r="G542" t="s">
        <v>39</v>
      </c>
    </row>
    <row r="543" spans="1:7" ht="13.2" x14ac:dyDescent="0.25">
      <c r="A543" s="1" t="s">
        <v>27</v>
      </c>
      <c r="B543" t="s">
        <v>467</v>
      </c>
      <c r="C543">
        <v>32</v>
      </c>
      <c r="D543" t="s">
        <v>41</v>
      </c>
      <c r="E543" t="s">
        <v>46</v>
      </c>
      <c r="F543" t="s">
        <v>47</v>
      </c>
      <c r="G543" t="s">
        <v>39</v>
      </c>
    </row>
    <row r="544" spans="1:7" ht="13.2" x14ac:dyDescent="0.25">
      <c r="A544" s="1" t="s">
        <v>27</v>
      </c>
      <c r="B544" t="s">
        <v>468</v>
      </c>
      <c r="C544">
        <v>14</v>
      </c>
      <c r="D544" t="s">
        <v>36</v>
      </c>
      <c r="E544" t="s">
        <v>42</v>
      </c>
      <c r="F544" t="s">
        <v>39</v>
      </c>
      <c r="G544" t="s">
        <v>39</v>
      </c>
    </row>
    <row r="545" spans="1:7" ht="13.2" x14ac:dyDescent="0.25">
      <c r="A545" s="1" t="s">
        <v>27</v>
      </c>
      <c r="B545" t="s">
        <v>469</v>
      </c>
      <c r="C545">
        <v>90</v>
      </c>
      <c r="D545" t="s">
        <v>56</v>
      </c>
      <c r="E545" t="s">
        <v>46</v>
      </c>
      <c r="F545" t="s">
        <v>39</v>
      </c>
      <c r="G545" t="s">
        <v>39</v>
      </c>
    </row>
    <row r="546" spans="1:7" ht="13.2" x14ac:dyDescent="0.25">
      <c r="A546" s="1" t="s">
        <v>27</v>
      </c>
      <c r="B546" t="s">
        <v>470</v>
      </c>
      <c r="C546">
        <v>20</v>
      </c>
      <c r="D546" t="s">
        <v>36</v>
      </c>
      <c r="E546" t="s">
        <v>37</v>
      </c>
      <c r="F546" t="s">
        <v>39</v>
      </c>
      <c r="G546" t="s">
        <v>39</v>
      </c>
    </row>
    <row r="547" spans="1:7" ht="13.2" x14ac:dyDescent="0.25">
      <c r="A547" s="1" t="s">
        <v>27</v>
      </c>
      <c r="B547" t="s">
        <v>471</v>
      </c>
      <c r="C547">
        <v>26</v>
      </c>
      <c r="D547" t="s">
        <v>41</v>
      </c>
      <c r="E547" t="s">
        <v>46</v>
      </c>
      <c r="F547" t="s">
        <v>39</v>
      </c>
      <c r="G547" t="s">
        <v>39</v>
      </c>
    </row>
    <row r="548" spans="1:7" ht="13.2" x14ac:dyDescent="0.25">
      <c r="A548" s="1" t="s">
        <v>27</v>
      </c>
      <c r="B548" t="s">
        <v>472</v>
      </c>
      <c r="C548">
        <v>28</v>
      </c>
      <c r="D548" t="s">
        <v>62</v>
      </c>
      <c r="E548" t="s">
        <v>46</v>
      </c>
      <c r="F548" t="s">
        <v>47</v>
      </c>
      <c r="G548" t="s">
        <v>39</v>
      </c>
    </row>
    <row r="549" spans="1:7" ht="13.2" x14ac:dyDescent="0.25">
      <c r="A549" s="1" t="s">
        <v>27</v>
      </c>
      <c r="B549" t="s">
        <v>473</v>
      </c>
      <c r="C549">
        <v>33</v>
      </c>
      <c r="D549" t="s">
        <v>41</v>
      </c>
      <c r="E549" t="s">
        <v>37</v>
      </c>
      <c r="F549" t="s">
        <v>50</v>
      </c>
      <c r="G549" t="s">
        <v>39</v>
      </c>
    </row>
    <row r="550" spans="1:7" ht="13.2" x14ac:dyDescent="0.25">
      <c r="A550" s="1" t="s">
        <v>27</v>
      </c>
      <c r="B550" t="s">
        <v>474</v>
      </c>
      <c r="C550">
        <v>26</v>
      </c>
      <c r="D550" t="s">
        <v>62</v>
      </c>
      <c r="E550" t="s">
        <v>37</v>
      </c>
      <c r="F550" t="s">
        <v>39</v>
      </c>
      <c r="G550" t="s">
        <v>39</v>
      </c>
    </row>
    <row r="551" spans="1:7" ht="13.2" x14ac:dyDescent="0.25">
      <c r="A551" s="1" t="s">
        <v>27</v>
      </c>
      <c r="B551" t="s">
        <v>475</v>
      </c>
      <c r="C551">
        <v>7</v>
      </c>
      <c r="D551" t="s">
        <v>41</v>
      </c>
      <c r="E551" t="s">
        <v>37</v>
      </c>
      <c r="F551" t="s">
        <v>39</v>
      </c>
      <c r="G551" t="s">
        <v>39</v>
      </c>
    </row>
    <row r="552" spans="1:7" ht="13.2" x14ac:dyDescent="0.25">
      <c r="A552" s="1" t="s">
        <v>27</v>
      </c>
      <c r="B552" t="s">
        <v>476</v>
      </c>
      <c r="C552">
        <v>13</v>
      </c>
      <c r="D552" t="s">
        <v>101</v>
      </c>
      <c r="E552" t="s">
        <v>37</v>
      </c>
      <c r="F552" t="s">
        <v>39</v>
      </c>
      <c r="G552" t="s">
        <v>39</v>
      </c>
    </row>
    <row r="553" spans="1:7" ht="13.2" x14ac:dyDescent="0.25">
      <c r="A553" s="1" t="s">
        <v>27</v>
      </c>
      <c r="B553" t="s">
        <v>477</v>
      </c>
      <c r="C553">
        <v>22</v>
      </c>
      <c r="D553" t="s">
        <v>36</v>
      </c>
      <c r="E553" t="s">
        <v>37</v>
      </c>
      <c r="F553" t="s">
        <v>50</v>
      </c>
      <c r="G553" t="s">
        <v>39</v>
      </c>
    </row>
    <row r="554" spans="1:7" ht="13.2" x14ac:dyDescent="0.25">
      <c r="A554" s="1" t="s">
        <v>27</v>
      </c>
      <c r="B554" t="s">
        <v>478</v>
      </c>
      <c r="C554">
        <v>11</v>
      </c>
      <c r="D554" t="s">
        <v>62</v>
      </c>
      <c r="E554" t="s">
        <v>37</v>
      </c>
      <c r="F554" t="s">
        <v>50</v>
      </c>
      <c r="G554" t="s">
        <v>39</v>
      </c>
    </row>
    <row r="555" spans="1:7" ht="13.2" x14ac:dyDescent="0.25">
      <c r="A555" s="1" t="s">
        <v>27</v>
      </c>
      <c r="B555" t="s">
        <v>479</v>
      </c>
      <c r="C555">
        <v>2</v>
      </c>
      <c r="D555" t="s">
        <v>41</v>
      </c>
      <c r="E555" t="s">
        <v>37</v>
      </c>
      <c r="F555" t="s">
        <v>39</v>
      </c>
      <c r="G555" t="s">
        <v>39</v>
      </c>
    </row>
    <row r="556" spans="1:7" ht="13.2" x14ac:dyDescent="0.25">
      <c r="A556" s="1" t="s">
        <v>27</v>
      </c>
      <c r="B556" t="s">
        <v>480</v>
      </c>
      <c r="C556">
        <v>24</v>
      </c>
      <c r="D556" t="s">
        <v>41</v>
      </c>
      <c r="E556" t="s">
        <v>37</v>
      </c>
      <c r="F556" t="s">
        <v>39</v>
      </c>
      <c r="G556" t="s">
        <v>39</v>
      </c>
    </row>
    <row r="557" spans="1:7" ht="13.2" x14ac:dyDescent="0.25">
      <c r="A557" s="1" t="s">
        <v>27</v>
      </c>
      <c r="B557" t="s">
        <v>481</v>
      </c>
      <c r="C557">
        <v>25</v>
      </c>
      <c r="D557" t="s">
        <v>192</v>
      </c>
      <c r="E557" t="s">
        <v>42</v>
      </c>
      <c r="F557" t="s">
        <v>50</v>
      </c>
      <c r="G557" t="s">
        <v>39</v>
      </c>
    </row>
    <row r="558" spans="1:7" ht="13.2" x14ac:dyDescent="0.25">
      <c r="A558" s="1" t="s">
        <v>27</v>
      </c>
      <c r="B558" t="s">
        <v>482</v>
      </c>
      <c r="C558">
        <v>16</v>
      </c>
      <c r="D558" t="s">
        <v>41</v>
      </c>
      <c r="E558" t="s">
        <v>37</v>
      </c>
      <c r="F558" t="s">
        <v>39</v>
      </c>
      <c r="G558" t="s">
        <v>39</v>
      </c>
    </row>
    <row r="559" spans="1:7" ht="13.2" x14ac:dyDescent="0.25">
      <c r="A559" s="1" t="s">
        <v>27</v>
      </c>
      <c r="B559" t="s">
        <v>483</v>
      </c>
      <c r="C559">
        <v>8</v>
      </c>
      <c r="D559" t="s">
        <v>36</v>
      </c>
      <c r="E559" t="s">
        <v>37</v>
      </c>
      <c r="F559" t="s">
        <v>65</v>
      </c>
      <c r="G559" t="s">
        <v>39</v>
      </c>
    </row>
    <row r="560" spans="1:7" ht="13.2" x14ac:dyDescent="0.25">
      <c r="A560" s="1" t="s">
        <v>27</v>
      </c>
      <c r="B560" t="s">
        <v>484</v>
      </c>
      <c r="C560" t="s">
        <v>39</v>
      </c>
      <c r="D560" t="s">
        <v>41</v>
      </c>
      <c r="E560" t="s">
        <v>37</v>
      </c>
      <c r="F560" t="s">
        <v>39</v>
      </c>
      <c r="G560" t="s">
        <v>39</v>
      </c>
    </row>
    <row r="561" spans="1:7" ht="13.2" x14ac:dyDescent="0.25">
      <c r="A561" s="1" t="s">
        <v>27</v>
      </c>
      <c r="B561" t="s">
        <v>485</v>
      </c>
      <c r="C561">
        <v>30</v>
      </c>
      <c r="D561" t="s">
        <v>36</v>
      </c>
      <c r="E561" t="s">
        <v>73</v>
      </c>
      <c r="F561" t="s">
        <v>47</v>
      </c>
      <c r="G561" t="s">
        <v>486</v>
      </c>
    </row>
    <row r="562" spans="1:7" ht="13.2" x14ac:dyDescent="0.25">
      <c r="A562" s="1" t="s">
        <v>27</v>
      </c>
      <c r="B562" t="s">
        <v>83</v>
      </c>
      <c r="C562" t="s">
        <v>39</v>
      </c>
      <c r="D562" t="s">
        <v>39</v>
      </c>
      <c r="E562" t="s">
        <v>39</v>
      </c>
      <c r="F562" t="s">
        <v>39</v>
      </c>
      <c r="G562" t="s">
        <v>39</v>
      </c>
    </row>
    <row r="563" spans="1:7" ht="13.2" x14ac:dyDescent="0.25">
      <c r="A563" s="1" t="s">
        <v>27</v>
      </c>
      <c r="B563" t="s">
        <v>84</v>
      </c>
      <c r="C563" t="s">
        <v>39</v>
      </c>
      <c r="D563" t="s">
        <v>39</v>
      </c>
      <c r="E563" t="s">
        <v>39</v>
      </c>
      <c r="F563" t="s">
        <v>39</v>
      </c>
      <c r="G563" t="s">
        <v>39</v>
      </c>
    </row>
    <row r="564" spans="1:7" ht="13.2" x14ac:dyDescent="0.25">
      <c r="A564" s="1" t="s">
        <v>27</v>
      </c>
      <c r="B564" t="s">
        <v>487</v>
      </c>
      <c r="C564">
        <v>43</v>
      </c>
      <c r="D564" t="s">
        <v>56</v>
      </c>
      <c r="E564" t="s">
        <v>73</v>
      </c>
      <c r="F564" t="s">
        <v>89</v>
      </c>
      <c r="G564" t="s">
        <v>39</v>
      </c>
    </row>
    <row r="565" spans="1:7" ht="13.2" x14ac:dyDescent="0.25">
      <c r="A565" s="1" t="s">
        <v>27</v>
      </c>
    </row>
    <row r="566" spans="1:7" ht="13.2" x14ac:dyDescent="0.25">
      <c r="A566" s="1" t="s">
        <v>27</v>
      </c>
    </row>
    <row r="567" spans="1:7" ht="13.2" x14ac:dyDescent="0.25">
      <c r="A567" s="1" t="s">
        <v>27</v>
      </c>
    </row>
    <row r="568" spans="1:7" ht="13.2" x14ac:dyDescent="0.25">
      <c r="A568" s="1" t="s">
        <v>27</v>
      </c>
    </row>
    <row r="569" spans="1:7" ht="13.2" x14ac:dyDescent="0.25">
      <c r="A569" s="1" t="s">
        <v>27</v>
      </c>
    </row>
    <row r="570" spans="1:7" ht="13.2" x14ac:dyDescent="0.25">
      <c r="A570" s="1" t="s">
        <v>28</v>
      </c>
      <c r="B570" t="s">
        <v>488</v>
      </c>
      <c r="C570">
        <v>25</v>
      </c>
      <c r="D570" t="s">
        <v>41</v>
      </c>
      <c r="E570" t="s">
        <v>46</v>
      </c>
      <c r="F570" t="s">
        <v>47</v>
      </c>
      <c r="G570" t="s">
        <v>39</v>
      </c>
    </row>
    <row r="571" spans="1:7" ht="13.2" x14ac:dyDescent="0.25">
      <c r="A571" s="1" t="s">
        <v>28</v>
      </c>
      <c r="B571" t="s">
        <v>489</v>
      </c>
      <c r="C571">
        <v>70</v>
      </c>
      <c r="D571" t="s">
        <v>135</v>
      </c>
      <c r="E571" t="s">
        <v>37</v>
      </c>
      <c r="F571" t="s">
        <v>39</v>
      </c>
      <c r="G571" t="s">
        <v>39</v>
      </c>
    </row>
    <row r="572" spans="1:7" ht="13.2" x14ac:dyDescent="0.25">
      <c r="A572" s="1" t="s">
        <v>28</v>
      </c>
      <c r="B572" t="s">
        <v>490</v>
      </c>
      <c r="C572">
        <v>27</v>
      </c>
      <c r="D572" t="s">
        <v>62</v>
      </c>
      <c r="E572" t="s">
        <v>46</v>
      </c>
      <c r="F572" t="s">
        <v>47</v>
      </c>
      <c r="G572" t="s">
        <v>39</v>
      </c>
    </row>
    <row r="573" spans="1:7" ht="13.2" x14ac:dyDescent="0.25">
      <c r="A573" s="1" t="s">
        <v>28</v>
      </c>
      <c r="B573" t="s">
        <v>491</v>
      </c>
      <c r="C573">
        <v>26</v>
      </c>
      <c r="D573" t="s">
        <v>41</v>
      </c>
      <c r="E573" t="s">
        <v>79</v>
      </c>
      <c r="F573" t="s">
        <v>39</v>
      </c>
      <c r="G573" t="s">
        <v>74</v>
      </c>
    </row>
    <row r="574" spans="1:7" ht="13.2" x14ac:dyDescent="0.25">
      <c r="A574" s="1" t="s">
        <v>28</v>
      </c>
      <c r="B574" t="s">
        <v>492</v>
      </c>
      <c r="C574">
        <v>5</v>
      </c>
      <c r="D574" t="s">
        <v>135</v>
      </c>
      <c r="E574" t="s">
        <v>37</v>
      </c>
      <c r="F574" t="s">
        <v>39</v>
      </c>
      <c r="G574" t="s">
        <v>39</v>
      </c>
    </row>
    <row r="575" spans="1:7" ht="13.2" x14ac:dyDescent="0.25">
      <c r="A575" s="1" t="s">
        <v>28</v>
      </c>
      <c r="B575" t="s">
        <v>493</v>
      </c>
      <c r="C575">
        <v>2</v>
      </c>
      <c r="D575" t="s">
        <v>41</v>
      </c>
      <c r="E575" t="s">
        <v>37</v>
      </c>
      <c r="F575" t="s">
        <v>39</v>
      </c>
      <c r="G575" t="s">
        <v>39</v>
      </c>
    </row>
    <row r="576" spans="1:7" ht="13.2" x14ac:dyDescent="0.25">
      <c r="A576" s="1" t="s">
        <v>28</v>
      </c>
      <c r="B576" t="s">
        <v>494</v>
      </c>
      <c r="C576">
        <v>13</v>
      </c>
      <c r="D576" t="s">
        <v>135</v>
      </c>
      <c r="E576" t="s">
        <v>42</v>
      </c>
      <c r="F576" t="s">
        <v>39</v>
      </c>
      <c r="G576" t="s">
        <v>39</v>
      </c>
    </row>
    <row r="577" spans="1:7" ht="13.2" x14ac:dyDescent="0.25">
      <c r="A577" s="1" t="s">
        <v>28</v>
      </c>
      <c r="B577" t="s">
        <v>495</v>
      </c>
      <c r="C577">
        <v>15</v>
      </c>
      <c r="D577" t="s">
        <v>41</v>
      </c>
      <c r="E577" t="s">
        <v>37</v>
      </c>
      <c r="F577" t="s">
        <v>39</v>
      </c>
      <c r="G577" t="s">
        <v>39</v>
      </c>
    </row>
    <row r="578" spans="1:7" ht="13.2" x14ac:dyDescent="0.25">
      <c r="A578" s="1" t="s">
        <v>28</v>
      </c>
      <c r="B578" t="s">
        <v>496</v>
      </c>
      <c r="C578">
        <v>3</v>
      </c>
      <c r="D578" t="s">
        <v>41</v>
      </c>
      <c r="E578" t="s">
        <v>37</v>
      </c>
      <c r="F578" t="s">
        <v>39</v>
      </c>
      <c r="G578" t="s">
        <v>39</v>
      </c>
    </row>
    <row r="579" spans="1:7" ht="13.2" x14ac:dyDescent="0.25">
      <c r="A579" s="1" t="s">
        <v>28</v>
      </c>
      <c r="B579" t="s">
        <v>497</v>
      </c>
      <c r="C579">
        <v>22</v>
      </c>
      <c r="D579" t="s">
        <v>41</v>
      </c>
      <c r="E579" t="s">
        <v>46</v>
      </c>
      <c r="F579" t="s">
        <v>47</v>
      </c>
      <c r="G579" t="s">
        <v>39</v>
      </c>
    </row>
    <row r="580" spans="1:7" ht="13.2" x14ac:dyDescent="0.25">
      <c r="A580" s="1" t="s">
        <v>28</v>
      </c>
      <c r="B580" t="s">
        <v>498</v>
      </c>
      <c r="C580">
        <v>6</v>
      </c>
      <c r="D580" t="s">
        <v>36</v>
      </c>
      <c r="E580" t="s">
        <v>37</v>
      </c>
      <c r="F580" t="s">
        <v>50</v>
      </c>
      <c r="G580" t="s">
        <v>39</v>
      </c>
    </row>
    <row r="581" spans="1:7" ht="13.2" x14ac:dyDescent="0.25">
      <c r="A581" s="1" t="s">
        <v>28</v>
      </c>
      <c r="B581" t="s">
        <v>499</v>
      </c>
      <c r="C581" t="s">
        <v>39</v>
      </c>
      <c r="D581" t="s">
        <v>56</v>
      </c>
      <c r="E581" t="s">
        <v>37</v>
      </c>
      <c r="F581" t="s">
        <v>39</v>
      </c>
      <c r="G581" t="s">
        <v>39</v>
      </c>
    </row>
    <row r="582" spans="1:7" ht="13.2" x14ac:dyDescent="0.25">
      <c r="A582" s="1" t="s">
        <v>28</v>
      </c>
      <c r="B582" t="s">
        <v>500</v>
      </c>
      <c r="C582">
        <v>12</v>
      </c>
      <c r="D582" t="s">
        <v>62</v>
      </c>
      <c r="E582" t="s">
        <v>46</v>
      </c>
      <c r="F582" t="s">
        <v>47</v>
      </c>
      <c r="G582" t="s">
        <v>39</v>
      </c>
    </row>
    <row r="583" spans="1:7" ht="13.2" x14ac:dyDescent="0.25">
      <c r="A583" s="1" t="s">
        <v>28</v>
      </c>
      <c r="B583" t="s">
        <v>501</v>
      </c>
      <c r="C583">
        <v>28</v>
      </c>
      <c r="D583" t="s">
        <v>62</v>
      </c>
      <c r="E583" t="s">
        <v>42</v>
      </c>
      <c r="F583" t="s">
        <v>39</v>
      </c>
      <c r="G583" t="s">
        <v>39</v>
      </c>
    </row>
    <row r="584" spans="1:7" ht="13.2" x14ac:dyDescent="0.25">
      <c r="A584" s="1" t="s">
        <v>28</v>
      </c>
      <c r="B584" t="s">
        <v>502</v>
      </c>
      <c r="C584">
        <v>19</v>
      </c>
      <c r="D584" t="s">
        <v>36</v>
      </c>
      <c r="E584" t="s">
        <v>37</v>
      </c>
      <c r="F584" t="s">
        <v>39</v>
      </c>
      <c r="G584" t="s">
        <v>39</v>
      </c>
    </row>
    <row r="585" spans="1:7" ht="13.2" x14ac:dyDescent="0.25">
      <c r="A585" s="1" t="s">
        <v>28</v>
      </c>
      <c r="B585" t="s">
        <v>503</v>
      </c>
      <c r="C585">
        <v>14</v>
      </c>
      <c r="D585" t="s">
        <v>41</v>
      </c>
      <c r="E585" t="s">
        <v>37</v>
      </c>
      <c r="F585" t="s">
        <v>50</v>
      </c>
      <c r="G585" t="s">
        <v>39</v>
      </c>
    </row>
    <row r="586" spans="1:7" ht="13.2" x14ac:dyDescent="0.25">
      <c r="A586" s="1" t="s">
        <v>28</v>
      </c>
      <c r="B586" t="s">
        <v>504</v>
      </c>
      <c r="C586">
        <v>21</v>
      </c>
      <c r="D586" t="s">
        <v>41</v>
      </c>
      <c r="E586" t="s">
        <v>42</v>
      </c>
      <c r="F586" t="s">
        <v>39</v>
      </c>
      <c r="G586" t="s">
        <v>39</v>
      </c>
    </row>
    <row r="587" spans="1:7" ht="13.2" x14ac:dyDescent="0.25">
      <c r="A587" s="1" t="s">
        <v>28</v>
      </c>
      <c r="B587" t="s">
        <v>505</v>
      </c>
      <c r="C587">
        <v>17</v>
      </c>
      <c r="D587" t="s">
        <v>41</v>
      </c>
      <c r="E587" t="s">
        <v>37</v>
      </c>
      <c r="F587" t="s">
        <v>39</v>
      </c>
      <c r="G587" t="s">
        <v>39</v>
      </c>
    </row>
    <row r="588" spans="1:7" ht="13.2" x14ac:dyDescent="0.25">
      <c r="A588" s="1" t="s">
        <v>28</v>
      </c>
      <c r="B588" t="s">
        <v>506</v>
      </c>
      <c r="C588">
        <v>10</v>
      </c>
      <c r="D588" t="s">
        <v>62</v>
      </c>
      <c r="E588" t="s">
        <v>37</v>
      </c>
      <c r="F588" t="s">
        <v>39</v>
      </c>
      <c r="G588" t="s">
        <v>39</v>
      </c>
    </row>
    <row r="589" spans="1:7" ht="13.2" x14ac:dyDescent="0.25">
      <c r="A589" s="1" t="s">
        <v>28</v>
      </c>
      <c r="B589" t="s">
        <v>507</v>
      </c>
      <c r="C589">
        <v>51</v>
      </c>
      <c r="D589" t="s">
        <v>56</v>
      </c>
      <c r="E589" t="s">
        <v>46</v>
      </c>
      <c r="F589" t="s">
        <v>39</v>
      </c>
      <c r="G589" t="s">
        <v>39</v>
      </c>
    </row>
    <row r="590" spans="1:7" ht="13.2" x14ac:dyDescent="0.25">
      <c r="A590" s="1" t="s">
        <v>28</v>
      </c>
      <c r="B590" t="s">
        <v>508</v>
      </c>
      <c r="C590">
        <v>18</v>
      </c>
      <c r="D590" t="s">
        <v>56</v>
      </c>
      <c r="E590" t="s">
        <v>37</v>
      </c>
      <c r="F590" t="s">
        <v>39</v>
      </c>
      <c r="G590" t="s">
        <v>39</v>
      </c>
    </row>
    <row r="591" spans="1:7" ht="13.2" x14ac:dyDescent="0.25">
      <c r="A591" s="1" t="s">
        <v>28</v>
      </c>
      <c r="B591" t="s">
        <v>509</v>
      </c>
      <c r="C591">
        <v>31</v>
      </c>
      <c r="D591" t="s">
        <v>36</v>
      </c>
      <c r="E591" t="s">
        <v>37</v>
      </c>
      <c r="F591" t="s">
        <v>50</v>
      </c>
      <c r="G591" t="s">
        <v>39</v>
      </c>
    </row>
    <row r="592" spans="1:7" ht="13.2" x14ac:dyDescent="0.25">
      <c r="A592" s="1" t="s">
        <v>28</v>
      </c>
      <c r="B592" t="s">
        <v>510</v>
      </c>
      <c r="C592">
        <v>11</v>
      </c>
      <c r="D592" t="s">
        <v>36</v>
      </c>
      <c r="E592" t="s">
        <v>37</v>
      </c>
      <c r="F592" t="s">
        <v>38</v>
      </c>
      <c r="G592" t="s">
        <v>39</v>
      </c>
    </row>
    <row r="593" spans="1:7" ht="13.2" x14ac:dyDescent="0.25">
      <c r="A593" s="1" t="s">
        <v>28</v>
      </c>
      <c r="B593" t="s">
        <v>511</v>
      </c>
      <c r="C593">
        <v>23</v>
      </c>
      <c r="D593" t="s">
        <v>36</v>
      </c>
      <c r="E593" t="s">
        <v>37</v>
      </c>
      <c r="F593" t="s">
        <v>39</v>
      </c>
      <c r="G593" t="s">
        <v>39</v>
      </c>
    </row>
    <row r="594" spans="1:7" ht="13.2" x14ac:dyDescent="0.25">
      <c r="A594" s="1" t="s">
        <v>28</v>
      </c>
      <c r="B594" t="s">
        <v>512</v>
      </c>
      <c r="C594">
        <v>7</v>
      </c>
      <c r="D594" t="s">
        <v>62</v>
      </c>
      <c r="E594" t="s">
        <v>37</v>
      </c>
      <c r="F594" t="s">
        <v>44</v>
      </c>
      <c r="G594" t="s">
        <v>39</v>
      </c>
    </row>
    <row r="595" spans="1:7" ht="13.2" x14ac:dyDescent="0.25">
      <c r="A595" s="1" t="s">
        <v>28</v>
      </c>
      <c r="B595" t="s">
        <v>513</v>
      </c>
      <c r="C595">
        <v>20</v>
      </c>
      <c r="D595" t="s">
        <v>62</v>
      </c>
      <c r="E595" t="s">
        <v>37</v>
      </c>
      <c r="F595" t="s">
        <v>39</v>
      </c>
      <c r="G595" t="s">
        <v>39</v>
      </c>
    </row>
    <row r="596" spans="1:7" ht="13.2" x14ac:dyDescent="0.25">
      <c r="A596" s="1" t="s">
        <v>28</v>
      </c>
      <c r="B596" t="s">
        <v>514</v>
      </c>
      <c r="C596">
        <v>30</v>
      </c>
      <c r="D596" t="s">
        <v>41</v>
      </c>
      <c r="E596" t="s">
        <v>37</v>
      </c>
      <c r="F596" t="s">
        <v>50</v>
      </c>
      <c r="G596" t="s">
        <v>39</v>
      </c>
    </row>
    <row r="597" spans="1:7" ht="13.2" x14ac:dyDescent="0.25">
      <c r="A597" s="1" t="s">
        <v>28</v>
      </c>
      <c r="B597" t="s">
        <v>515</v>
      </c>
      <c r="C597">
        <v>24</v>
      </c>
      <c r="D597" t="s">
        <v>56</v>
      </c>
      <c r="E597" t="s">
        <v>46</v>
      </c>
      <c r="F597" t="s">
        <v>39</v>
      </c>
      <c r="G597" t="s">
        <v>39</v>
      </c>
    </row>
    <row r="598" spans="1:7" ht="13.2" x14ac:dyDescent="0.25">
      <c r="A598" s="1" t="s">
        <v>28</v>
      </c>
      <c r="B598" t="s">
        <v>516</v>
      </c>
      <c r="C598">
        <v>8</v>
      </c>
      <c r="D598" t="s">
        <v>36</v>
      </c>
      <c r="E598" t="s">
        <v>37</v>
      </c>
      <c r="F598" t="s">
        <v>39</v>
      </c>
      <c r="G598" t="s">
        <v>39</v>
      </c>
    </row>
    <row r="599" spans="1:7" ht="13.2" x14ac:dyDescent="0.25">
      <c r="A599" s="1" t="s">
        <v>28</v>
      </c>
      <c r="B599" t="s">
        <v>39</v>
      </c>
      <c r="C599" t="s">
        <v>39</v>
      </c>
      <c r="D599" t="s">
        <v>39</v>
      </c>
      <c r="E599" t="s">
        <v>39</v>
      </c>
      <c r="F599" t="s">
        <v>39</v>
      </c>
      <c r="G599" t="s">
        <v>39</v>
      </c>
    </row>
    <row r="600" spans="1:7" ht="13.2" x14ac:dyDescent="0.25">
      <c r="A600" s="1" t="s">
        <v>28</v>
      </c>
      <c r="B600" t="s">
        <v>152</v>
      </c>
      <c r="C600" t="s">
        <v>39</v>
      </c>
      <c r="D600" t="s">
        <v>39</v>
      </c>
      <c r="E600" t="s">
        <v>39</v>
      </c>
      <c r="F600" t="s">
        <v>39</v>
      </c>
      <c r="G600" t="s">
        <v>39</v>
      </c>
    </row>
    <row r="601" spans="1:7" ht="13.2" x14ac:dyDescent="0.25">
      <c r="A601" s="1" t="s">
        <v>28</v>
      </c>
      <c r="B601" t="s">
        <v>84</v>
      </c>
      <c r="C601" t="s">
        <v>39</v>
      </c>
      <c r="D601" t="s">
        <v>39</v>
      </c>
      <c r="E601" t="s">
        <v>39</v>
      </c>
      <c r="F601" t="s">
        <v>39</v>
      </c>
      <c r="G601" t="s">
        <v>39</v>
      </c>
    </row>
    <row r="602" spans="1:7" ht="13.2" x14ac:dyDescent="0.25">
      <c r="A602" s="1" t="s">
        <v>28</v>
      </c>
      <c r="B602" t="s">
        <v>517</v>
      </c>
      <c r="C602">
        <v>4</v>
      </c>
      <c r="D602" t="s">
        <v>41</v>
      </c>
      <c r="E602" t="s">
        <v>200</v>
      </c>
      <c r="F602" t="s">
        <v>201</v>
      </c>
      <c r="G602" t="s">
        <v>39</v>
      </c>
    </row>
    <row r="603" spans="1:7" ht="13.2" x14ac:dyDescent="0.25">
      <c r="A603" s="1" t="s">
        <v>28</v>
      </c>
      <c r="B603" t="s">
        <v>518</v>
      </c>
      <c r="C603">
        <v>1</v>
      </c>
      <c r="D603" t="s">
        <v>56</v>
      </c>
      <c r="E603" t="s">
        <v>519</v>
      </c>
      <c r="F603" t="s">
        <v>201</v>
      </c>
      <c r="G603" t="s">
        <v>39</v>
      </c>
    </row>
    <row r="604" spans="1:7" ht="13.2" x14ac:dyDescent="0.25">
      <c r="A604" s="1" t="s">
        <v>28</v>
      </c>
      <c r="B604" t="s">
        <v>57</v>
      </c>
      <c r="C604">
        <v>19</v>
      </c>
      <c r="D604" t="s">
        <v>36</v>
      </c>
      <c r="E604" t="s">
        <v>73</v>
      </c>
      <c r="F604" t="s">
        <v>89</v>
      </c>
      <c r="G604" t="s">
        <v>39</v>
      </c>
    </row>
    <row r="605" spans="1:7" ht="13.2" x14ac:dyDescent="0.25">
      <c r="A605" s="1" t="s">
        <v>29</v>
      </c>
      <c r="B605" t="s">
        <v>520</v>
      </c>
      <c r="C605">
        <v>3</v>
      </c>
      <c r="D605" t="s">
        <v>41</v>
      </c>
      <c r="E605" t="s">
        <v>37</v>
      </c>
      <c r="F605" t="s">
        <v>39</v>
      </c>
      <c r="G605" t="s">
        <v>39</v>
      </c>
    </row>
    <row r="606" spans="1:7" ht="13.2" x14ac:dyDescent="0.25">
      <c r="A606" s="1" t="s">
        <v>29</v>
      </c>
      <c r="B606" t="s">
        <v>521</v>
      </c>
      <c r="C606">
        <v>29</v>
      </c>
      <c r="D606" t="s">
        <v>41</v>
      </c>
      <c r="E606" t="s">
        <v>46</v>
      </c>
      <c r="F606" t="s">
        <v>47</v>
      </c>
      <c r="G606" t="s">
        <v>39</v>
      </c>
    </row>
    <row r="607" spans="1:7" ht="13.2" x14ac:dyDescent="0.25">
      <c r="A607" s="1" t="s">
        <v>29</v>
      </c>
      <c r="B607" t="s">
        <v>522</v>
      </c>
      <c r="C607">
        <v>12</v>
      </c>
      <c r="D607" t="s">
        <v>56</v>
      </c>
      <c r="E607" t="s">
        <v>37</v>
      </c>
      <c r="F607" t="s">
        <v>39</v>
      </c>
      <c r="G607" t="s">
        <v>39</v>
      </c>
    </row>
    <row r="608" spans="1:7" ht="13.2" x14ac:dyDescent="0.25">
      <c r="A608" s="1" t="s">
        <v>29</v>
      </c>
      <c r="B608" t="s">
        <v>523</v>
      </c>
      <c r="C608">
        <v>26</v>
      </c>
      <c r="D608" t="s">
        <v>36</v>
      </c>
      <c r="E608" t="s">
        <v>37</v>
      </c>
      <c r="F608" t="s">
        <v>39</v>
      </c>
      <c r="G608" t="s">
        <v>39</v>
      </c>
    </row>
    <row r="609" spans="1:7" ht="13.2" x14ac:dyDescent="0.25">
      <c r="A609" s="1" t="s">
        <v>29</v>
      </c>
      <c r="B609" t="s">
        <v>524</v>
      </c>
      <c r="C609">
        <v>31</v>
      </c>
      <c r="D609" t="s">
        <v>41</v>
      </c>
      <c r="E609" t="s">
        <v>37</v>
      </c>
      <c r="F609" t="s">
        <v>50</v>
      </c>
      <c r="G609" t="s">
        <v>39</v>
      </c>
    </row>
    <row r="610" spans="1:7" ht="13.2" x14ac:dyDescent="0.25">
      <c r="A610" s="1" t="s">
        <v>29</v>
      </c>
      <c r="B610" t="s">
        <v>525</v>
      </c>
      <c r="C610">
        <v>7</v>
      </c>
      <c r="D610" t="s">
        <v>36</v>
      </c>
      <c r="E610" t="s">
        <v>37</v>
      </c>
      <c r="F610" t="s">
        <v>50</v>
      </c>
      <c r="G610" t="s">
        <v>39</v>
      </c>
    </row>
    <row r="611" spans="1:7" ht="13.2" x14ac:dyDescent="0.25">
      <c r="A611" s="1" t="s">
        <v>29</v>
      </c>
      <c r="B611" t="s">
        <v>526</v>
      </c>
      <c r="C611">
        <v>96</v>
      </c>
      <c r="D611" t="s">
        <v>36</v>
      </c>
      <c r="E611" t="s">
        <v>42</v>
      </c>
      <c r="F611" t="s">
        <v>39</v>
      </c>
      <c r="G611" t="s">
        <v>39</v>
      </c>
    </row>
    <row r="612" spans="1:7" ht="13.2" x14ac:dyDescent="0.25">
      <c r="A612" s="1" t="s">
        <v>29</v>
      </c>
      <c r="B612" t="s">
        <v>527</v>
      </c>
      <c r="C612">
        <v>35</v>
      </c>
      <c r="D612" t="s">
        <v>36</v>
      </c>
      <c r="E612" t="s">
        <v>46</v>
      </c>
      <c r="F612" t="s">
        <v>47</v>
      </c>
      <c r="G612" t="s">
        <v>39</v>
      </c>
    </row>
    <row r="613" spans="1:7" ht="13.2" x14ac:dyDescent="0.25">
      <c r="A613" s="1" t="s">
        <v>29</v>
      </c>
      <c r="B613" t="s">
        <v>528</v>
      </c>
      <c r="C613">
        <v>20</v>
      </c>
      <c r="D613" t="s">
        <v>36</v>
      </c>
      <c r="E613" t="s">
        <v>37</v>
      </c>
      <c r="F613" t="s">
        <v>39</v>
      </c>
      <c r="G613" t="s">
        <v>39</v>
      </c>
    </row>
    <row r="614" spans="1:7" ht="13.2" x14ac:dyDescent="0.25">
      <c r="A614" s="1" t="s">
        <v>29</v>
      </c>
      <c r="B614" t="s">
        <v>529</v>
      </c>
      <c r="C614">
        <v>9</v>
      </c>
      <c r="D614" t="s">
        <v>62</v>
      </c>
      <c r="E614" t="s">
        <v>37</v>
      </c>
      <c r="F614" t="s">
        <v>50</v>
      </c>
      <c r="G614" t="s">
        <v>39</v>
      </c>
    </row>
    <row r="615" spans="1:7" ht="13.2" x14ac:dyDescent="0.25">
      <c r="A615" s="1" t="s">
        <v>29</v>
      </c>
      <c r="B615" t="s">
        <v>530</v>
      </c>
      <c r="C615">
        <v>10</v>
      </c>
      <c r="D615" t="s">
        <v>36</v>
      </c>
      <c r="E615" t="s">
        <v>37</v>
      </c>
      <c r="F615" t="s">
        <v>39</v>
      </c>
      <c r="G615" t="s">
        <v>39</v>
      </c>
    </row>
    <row r="616" spans="1:7" ht="13.2" x14ac:dyDescent="0.25">
      <c r="A616" s="1" t="s">
        <v>29</v>
      </c>
      <c r="B616" t="s">
        <v>531</v>
      </c>
      <c r="C616">
        <v>23</v>
      </c>
      <c r="D616" t="s">
        <v>36</v>
      </c>
      <c r="E616" t="s">
        <v>37</v>
      </c>
      <c r="F616" t="s">
        <v>39</v>
      </c>
      <c r="G616" t="s">
        <v>39</v>
      </c>
    </row>
    <row r="617" spans="1:7" ht="13.2" x14ac:dyDescent="0.25">
      <c r="A617" s="1" t="s">
        <v>29</v>
      </c>
      <c r="B617" t="s">
        <v>532</v>
      </c>
      <c r="C617" t="s">
        <v>39</v>
      </c>
      <c r="D617" t="s">
        <v>41</v>
      </c>
      <c r="E617" t="s">
        <v>37</v>
      </c>
      <c r="F617" t="s">
        <v>50</v>
      </c>
      <c r="G617" t="s">
        <v>39</v>
      </c>
    </row>
    <row r="618" spans="1:7" ht="13.2" x14ac:dyDescent="0.25">
      <c r="A618" s="1" t="s">
        <v>29</v>
      </c>
      <c r="B618" t="s">
        <v>533</v>
      </c>
      <c r="C618">
        <v>24</v>
      </c>
      <c r="D618" t="s">
        <v>41</v>
      </c>
      <c r="E618" t="s">
        <v>37</v>
      </c>
      <c r="F618" t="s">
        <v>47</v>
      </c>
      <c r="G618" t="s">
        <v>39</v>
      </c>
    </row>
    <row r="619" spans="1:7" ht="13.2" x14ac:dyDescent="0.25">
      <c r="A619" s="1" t="s">
        <v>29</v>
      </c>
      <c r="B619" t="s">
        <v>534</v>
      </c>
      <c r="C619">
        <v>18</v>
      </c>
      <c r="D619" t="s">
        <v>56</v>
      </c>
      <c r="E619" t="s">
        <v>42</v>
      </c>
      <c r="F619" t="s">
        <v>47</v>
      </c>
      <c r="G619" t="s">
        <v>39</v>
      </c>
    </row>
    <row r="620" spans="1:7" ht="13.2" x14ac:dyDescent="0.25">
      <c r="A620" s="1" t="s">
        <v>29</v>
      </c>
      <c r="B620" t="s">
        <v>535</v>
      </c>
      <c r="C620">
        <v>33</v>
      </c>
      <c r="D620" t="s">
        <v>36</v>
      </c>
      <c r="E620" t="s">
        <v>73</v>
      </c>
      <c r="F620" t="s">
        <v>39</v>
      </c>
      <c r="G620" t="s">
        <v>74</v>
      </c>
    </row>
    <row r="621" spans="1:7" ht="13.2" x14ac:dyDescent="0.25">
      <c r="A621" s="1" t="s">
        <v>29</v>
      </c>
      <c r="B621" t="s">
        <v>536</v>
      </c>
      <c r="C621">
        <v>18</v>
      </c>
      <c r="D621" t="s">
        <v>56</v>
      </c>
      <c r="E621" t="s">
        <v>73</v>
      </c>
      <c r="F621" t="s">
        <v>39</v>
      </c>
      <c r="G621" t="s">
        <v>74</v>
      </c>
    </row>
    <row r="622" spans="1:7" ht="13.2" x14ac:dyDescent="0.25">
      <c r="A622" s="1" t="s">
        <v>29</v>
      </c>
      <c r="B622" t="s">
        <v>537</v>
      </c>
      <c r="C622">
        <v>15</v>
      </c>
      <c r="D622" t="s">
        <v>41</v>
      </c>
      <c r="E622" t="s">
        <v>37</v>
      </c>
      <c r="F622" t="s">
        <v>39</v>
      </c>
      <c r="G622" t="s">
        <v>39</v>
      </c>
    </row>
    <row r="623" spans="1:7" ht="13.2" x14ac:dyDescent="0.25">
      <c r="A623" s="1" t="s">
        <v>29</v>
      </c>
      <c r="B623" t="s">
        <v>538</v>
      </c>
      <c r="C623">
        <v>7</v>
      </c>
      <c r="D623" t="s">
        <v>62</v>
      </c>
      <c r="E623" t="s">
        <v>37</v>
      </c>
      <c r="F623" t="s">
        <v>39</v>
      </c>
      <c r="G623" t="s">
        <v>39</v>
      </c>
    </row>
    <row r="624" spans="1:7" ht="13.2" x14ac:dyDescent="0.25">
      <c r="A624" s="1" t="s">
        <v>29</v>
      </c>
      <c r="B624" t="s">
        <v>539</v>
      </c>
      <c r="C624">
        <v>30</v>
      </c>
      <c r="D624" t="s">
        <v>41</v>
      </c>
      <c r="E624" t="s">
        <v>37</v>
      </c>
      <c r="F624" t="s">
        <v>50</v>
      </c>
      <c r="G624" t="s">
        <v>39</v>
      </c>
    </row>
    <row r="625" spans="1:7" ht="13.2" x14ac:dyDescent="0.25">
      <c r="A625" s="1" t="s">
        <v>29</v>
      </c>
      <c r="B625" t="s">
        <v>540</v>
      </c>
      <c r="C625">
        <v>2</v>
      </c>
      <c r="D625" t="s">
        <v>41</v>
      </c>
      <c r="E625" t="s">
        <v>37</v>
      </c>
      <c r="F625" t="s">
        <v>50</v>
      </c>
      <c r="G625" t="s">
        <v>39</v>
      </c>
    </row>
    <row r="626" spans="1:7" ht="13.2" x14ac:dyDescent="0.25">
      <c r="A626" s="1" t="s">
        <v>29</v>
      </c>
      <c r="B626" t="s">
        <v>541</v>
      </c>
      <c r="C626">
        <v>6</v>
      </c>
      <c r="D626" t="s">
        <v>36</v>
      </c>
      <c r="E626" t="s">
        <v>37</v>
      </c>
      <c r="F626" t="s">
        <v>39</v>
      </c>
      <c r="G626" t="s">
        <v>39</v>
      </c>
    </row>
    <row r="627" spans="1:7" ht="13.2" x14ac:dyDescent="0.25">
      <c r="A627" s="1" t="s">
        <v>29</v>
      </c>
      <c r="B627" t="s">
        <v>542</v>
      </c>
      <c r="C627">
        <v>28</v>
      </c>
      <c r="D627" t="s">
        <v>56</v>
      </c>
      <c r="E627" t="s">
        <v>37</v>
      </c>
      <c r="F627" t="s">
        <v>39</v>
      </c>
      <c r="G627" t="s">
        <v>39</v>
      </c>
    </row>
    <row r="628" spans="1:7" ht="13.2" x14ac:dyDescent="0.25">
      <c r="A628" s="1" t="s">
        <v>29</v>
      </c>
      <c r="B628" t="s">
        <v>543</v>
      </c>
      <c r="C628">
        <v>17</v>
      </c>
      <c r="D628" t="s">
        <v>62</v>
      </c>
      <c r="E628" t="s">
        <v>46</v>
      </c>
      <c r="F628" t="s">
        <v>39</v>
      </c>
      <c r="G628" t="s">
        <v>39</v>
      </c>
    </row>
    <row r="629" spans="1:7" ht="13.2" x14ac:dyDescent="0.25">
      <c r="A629" s="1" t="s">
        <v>29</v>
      </c>
      <c r="B629" t="s">
        <v>544</v>
      </c>
      <c r="C629">
        <v>22</v>
      </c>
      <c r="D629" t="s">
        <v>36</v>
      </c>
      <c r="E629" t="s">
        <v>42</v>
      </c>
      <c r="F629" t="s">
        <v>47</v>
      </c>
      <c r="G629" t="s">
        <v>39</v>
      </c>
    </row>
    <row r="630" spans="1:7" ht="13.2" x14ac:dyDescent="0.25">
      <c r="A630" s="1" t="s">
        <v>29</v>
      </c>
      <c r="B630" t="s">
        <v>545</v>
      </c>
      <c r="C630">
        <v>11</v>
      </c>
      <c r="D630" t="s">
        <v>36</v>
      </c>
      <c r="E630" t="s">
        <v>37</v>
      </c>
      <c r="F630" t="s">
        <v>38</v>
      </c>
      <c r="G630" t="s">
        <v>39</v>
      </c>
    </row>
    <row r="631" spans="1:7" ht="13.2" x14ac:dyDescent="0.25">
      <c r="A631" s="1" t="s">
        <v>29</v>
      </c>
      <c r="B631" t="s">
        <v>546</v>
      </c>
      <c r="C631">
        <v>16</v>
      </c>
      <c r="D631" t="s">
        <v>36</v>
      </c>
      <c r="E631" t="s">
        <v>46</v>
      </c>
      <c r="F631" t="s">
        <v>39</v>
      </c>
      <c r="G631" t="s">
        <v>39</v>
      </c>
    </row>
    <row r="632" spans="1:7" ht="13.2" x14ac:dyDescent="0.25">
      <c r="A632" s="1" t="s">
        <v>29</v>
      </c>
      <c r="B632" t="s">
        <v>547</v>
      </c>
      <c r="C632">
        <v>8</v>
      </c>
      <c r="D632" t="s">
        <v>62</v>
      </c>
      <c r="E632" t="s">
        <v>37</v>
      </c>
      <c r="F632" t="s">
        <v>65</v>
      </c>
      <c r="G632" t="s">
        <v>39</v>
      </c>
    </row>
    <row r="633" spans="1:7" ht="13.2" x14ac:dyDescent="0.25">
      <c r="A633" s="1" t="s">
        <v>29</v>
      </c>
      <c r="B633" t="s">
        <v>548</v>
      </c>
      <c r="C633">
        <v>14</v>
      </c>
      <c r="D633" t="s">
        <v>36</v>
      </c>
      <c r="E633" t="s">
        <v>42</v>
      </c>
      <c r="F633" t="s">
        <v>71</v>
      </c>
      <c r="G633" t="s">
        <v>39</v>
      </c>
    </row>
    <row r="634" spans="1:7" ht="13.2" x14ac:dyDescent="0.25">
      <c r="A634" s="1" t="s">
        <v>29</v>
      </c>
      <c r="B634" t="s">
        <v>39</v>
      </c>
      <c r="C634" t="s">
        <v>39</v>
      </c>
      <c r="D634" t="s">
        <v>39</v>
      </c>
      <c r="E634" t="s">
        <v>39</v>
      </c>
      <c r="F634" t="s">
        <v>39</v>
      </c>
      <c r="G634" t="s">
        <v>39</v>
      </c>
    </row>
    <row r="635" spans="1:7" ht="13.2" x14ac:dyDescent="0.25">
      <c r="A635" s="1" t="s">
        <v>29</v>
      </c>
      <c r="B635" t="s">
        <v>152</v>
      </c>
      <c r="C635" t="s">
        <v>39</v>
      </c>
      <c r="D635" t="s">
        <v>39</v>
      </c>
      <c r="E635" t="s">
        <v>39</v>
      </c>
      <c r="F635" t="s">
        <v>39</v>
      </c>
      <c r="G635" t="s">
        <v>39</v>
      </c>
    </row>
    <row r="636" spans="1:7" ht="13.2" x14ac:dyDescent="0.25">
      <c r="A636" s="1" t="s">
        <v>29</v>
      </c>
    </row>
    <row r="637" spans="1:7" ht="13.2" x14ac:dyDescent="0.25">
      <c r="A637" s="1" t="s">
        <v>29</v>
      </c>
    </row>
    <row r="638" spans="1:7" ht="13.2" x14ac:dyDescent="0.25">
      <c r="A638" s="1" t="s">
        <v>29</v>
      </c>
    </row>
    <row r="639" spans="1:7" ht="13.2" x14ac:dyDescent="0.25">
      <c r="A639" s="1" t="s">
        <v>29</v>
      </c>
    </row>
    <row r="640" spans="1:7" ht="13.2" x14ac:dyDescent="0.25">
      <c r="A640" s="1" t="s">
        <v>29</v>
      </c>
    </row>
    <row r="641" spans="1:7" ht="13.2" x14ac:dyDescent="0.25">
      <c r="A641" s="1" t="s">
        <v>30</v>
      </c>
      <c r="B641" t="s">
        <v>549</v>
      </c>
      <c r="C641">
        <v>15</v>
      </c>
      <c r="D641" t="s">
        <v>41</v>
      </c>
      <c r="E641" t="s">
        <v>42</v>
      </c>
      <c r="F641" t="s">
        <v>39</v>
      </c>
      <c r="G641" t="s">
        <v>39</v>
      </c>
    </row>
    <row r="642" spans="1:7" ht="13.2" x14ac:dyDescent="0.25">
      <c r="A642" s="1" t="s">
        <v>30</v>
      </c>
      <c r="B642" t="s">
        <v>550</v>
      </c>
      <c r="C642">
        <v>6</v>
      </c>
      <c r="D642" t="s">
        <v>36</v>
      </c>
      <c r="E642" t="s">
        <v>37</v>
      </c>
      <c r="F642" t="s">
        <v>39</v>
      </c>
      <c r="G642" t="s">
        <v>39</v>
      </c>
    </row>
    <row r="643" spans="1:7" ht="13.2" x14ac:dyDescent="0.25">
      <c r="A643" s="1" t="s">
        <v>30</v>
      </c>
      <c r="B643" t="s">
        <v>551</v>
      </c>
      <c r="C643">
        <v>25</v>
      </c>
      <c r="D643" t="s">
        <v>56</v>
      </c>
      <c r="E643" t="s">
        <v>42</v>
      </c>
      <c r="F643" t="s">
        <v>39</v>
      </c>
      <c r="G643" t="s">
        <v>39</v>
      </c>
    </row>
    <row r="644" spans="1:7" ht="13.2" x14ac:dyDescent="0.25">
      <c r="A644" s="1" t="s">
        <v>30</v>
      </c>
      <c r="B644" t="s">
        <v>552</v>
      </c>
      <c r="C644">
        <v>17</v>
      </c>
      <c r="D644" t="s">
        <v>62</v>
      </c>
      <c r="E644" t="s">
        <v>37</v>
      </c>
      <c r="F644" t="s">
        <v>39</v>
      </c>
      <c r="G644" t="s">
        <v>39</v>
      </c>
    </row>
    <row r="645" spans="1:7" ht="13.2" x14ac:dyDescent="0.25">
      <c r="A645" s="1" t="s">
        <v>30</v>
      </c>
      <c r="B645" t="s">
        <v>553</v>
      </c>
      <c r="C645">
        <v>70</v>
      </c>
      <c r="D645" t="s">
        <v>36</v>
      </c>
      <c r="E645" t="s">
        <v>46</v>
      </c>
      <c r="F645" t="s">
        <v>47</v>
      </c>
      <c r="G645" t="s">
        <v>39</v>
      </c>
    </row>
    <row r="646" spans="1:7" ht="13.2" x14ac:dyDescent="0.25">
      <c r="A646" s="1" t="s">
        <v>30</v>
      </c>
      <c r="B646" t="s">
        <v>554</v>
      </c>
      <c r="C646">
        <v>99</v>
      </c>
      <c r="D646" t="s">
        <v>62</v>
      </c>
      <c r="E646" t="s">
        <v>73</v>
      </c>
      <c r="F646" t="s">
        <v>50</v>
      </c>
      <c r="G646" t="s">
        <v>74</v>
      </c>
    </row>
    <row r="647" spans="1:7" ht="13.2" x14ac:dyDescent="0.25">
      <c r="A647" s="1" t="s">
        <v>30</v>
      </c>
      <c r="B647" t="s">
        <v>555</v>
      </c>
      <c r="C647">
        <v>21</v>
      </c>
      <c r="D647" t="s">
        <v>36</v>
      </c>
      <c r="E647" t="s">
        <v>37</v>
      </c>
      <c r="F647" t="s">
        <v>50</v>
      </c>
      <c r="G647" t="s">
        <v>39</v>
      </c>
    </row>
    <row r="648" spans="1:7" ht="13.2" x14ac:dyDescent="0.25">
      <c r="A648" s="1" t="s">
        <v>30</v>
      </c>
      <c r="B648" t="s">
        <v>556</v>
      </c>
      <c r="C648">
        <v>90</v>
      </c>
      <c r="D648" t="s">
        <v>41</v>
      </c>
      <c r="E648" t="s">
        <v>37</v>
      </c>
      <c r="F648" t="s">
        <v>39</v>
      </c>
      <c r="G648" t="s">
        <v>39</v>
      </c>
    </row>
    <row r="649" spans="1:7" ht="13.2" x14ac:dyDescent="0.25">
      <c r="A649" s="1" t="s">
        <v>30</v>
      </c>
      <c r="B649" t="s">
        <v>557</v>
      </c>
      <c r="C649">
        <v>24</v>
      </c>
      <c r="D649" t="s">
        <v>56</v>
      </c>
      <c r="E649" t="s">
        <v>37</v>
      </c>
      <c r="F649" t="s">
        <v>39</v>
      </c>
      <c r="G649" t="s">
        <v>39</v>
      </c>
    </row>
    <row r="650" spans="1:7" ht="13.2" x14ac:dyDescent="0.25">
      <c r="A650" s="1" t="s">
        <v>30</v>
      </c>
      <c r="B650" t="s">
        <v>558</v>
      </c>
      <c r="C650">
        <v>20</v>
      </c>
      <c r="D650" t="s">
        <v>41</v>
      </c>
      <c r="E650" t="s">
        <v>37</v>
      </c>
      <c r="F650" t="s">
        <v>50</v>
      </c>
      <c r="G650" t="s">
        <v>39</v>
      </c>
    </row>
    <row r="651" spans="1:7" ht="13.2" x14ac:dyDescent="0.25">
      <c r="A651" s="1" t="s">
        <v>30</v>
      </c>
      <c r="B651" t="s">
        <v>559</v>
      </c>
      <c r="C651">
        <v>18</v>
      </c>
      <c r="D651" t="s">
        <v>41</v>
      </c>
      <c r="E651" t="s">
        <v>37</v>
      </c>
      <c r="F651" t="s">
        <v>50</v>
      </c>
      <c r="G651" t="s">
        <v>39</v>
      </c>
    </row>
    <row r="652" spans="1:7" ht="13.2" x14ac:dyDescent="0.25">
      <c r="A652" s="1" t="s">
        <v>30</v>
      </c>
      <c r="B652" t="s">
        <v>560</v>
      </c>
      <c r="C652">
        <v>10</v>
      </c>
      <c r="D652" t="s">
        <v>36</v>
      </c>
      <c r="E652" t="s">
        <v>37</v>
      </c>
      <c r="F652" t="s">
        <v>65</v>
      </c>
      <c r="G652" t="s">
        <v>39</v>
      </c>
    </row>
    <row r="653" spans="1:7" ht="13.2" x14ac:dyDescent="0.25">
      <c r="A653" s="1" t="s">
        <v>30</v>
      </c>
      <c r="B653" t="s">
        <v>561</v>
      </c>
      <c r="C653" t="s">
        <v>39</v>
      </c>
      <c r="D653" t="s">
        <v>39</v>
      </c>
      <c r="E653" t="s">
        <v>37</v>
      </c>
      <c r="F653" t="s">
        <v>39</v>
      </c>
      <c r="G653" t="s">
        <v>39</v>
      </c>
    </row>
    <row r="654" spans="1:7" ht="13.2" x14ac:dyDescent="0.25">
      <c r="A654" s="1" t="s">
        <v>30</v>
      </c>
      <c r="B654" t="s">
        <v>562</v>
      </c>
      <c r="C654">
        <v>14</v>
      </c>
      <c r="D654" t="s">
        <v>41</v>
      </c>
      <c r="E654" t="s">
        <v>37</v>
      </c>
      <c r="F654" t="s">
        <v>39</v>
      </c>
      <c r="G654" t="s">
        <v>39</v>
      </c>
    </row>
    <row r="655" spans="1:7" ht="13.2" x14ac:dyDescent="0.25">
      <c r="A655" s="1" t="s">
        <v>30</v>
      </c>
      <c r="B655" t="s">
        <v>563</v>
      </c>
      <c r="C655">
        <v>30</v>
      </c>
      <c r="D655" t="s">
        <v>41</v>
      </c>
      <c r="E655" t="s">
        <v>37</v>
      </c>
      <c r="F655" t="s">
        <v>39</v>
      </c>
      <c r="G655" t="s">
        <v>39</v>
      </c>
    </row>
    <row r="656" spans="1:7" ht="13.2" x14ac:dyDescent="0.25">
      <c r="A656" s="1" t="s">
        <v>30</v>
      </c>
      <c r="B656" t="s">
        <v>564</v>
      </c>
      <c r="C656">
        <v>35</v>
      </c>
      <c r="D656" t="s">
        <v>56</v>
      </c>
      <c r="E656" t="s">
        <v>42</v>
      </c>
      <c r="F656" t="s">
        <v>39</v>
      </c>
      <c r="G656" t="s">
        <v>39</v>
      </c>
    </row>
    <row r="657" spans="1:7" ht="13.2" x14ac:dyDescent="0.25">
      <c r="A657" s="1" t="s">
        <v>30</v>
      </c>
      <c r="B657" t="s">
        <v>565</v>
      </c>
      <c r="C657">
        <v>13</v>
      </c>
      <c r="D657" t="s">
        <v>62</v>
      </c>
      <c r="E657" t="s">
        <v>42</v>
      </c>
      <c r="F657" t="s">
        <v>47</v>
      </c>
      <c r="G657" t="s">
        <v>39</v>
      </c>
    </row>
    <row r="658" spans="1:7" ht="13.2" x14ac:dyDescent="0.25">
      <c r="A658" s="1" t="s">
        <v>30</v>
      </c>
      <c r="B658" t="s">
        <v>566</v>
      </c>
      <c r="C658">
        <v>27</v>
      </c>
      <c r="D658" t="s">
        <v>135</v>
      </c>
      <c r="E658" t="s">
        <v>37</v>
      </c>
      <c r="F658" t="s">
        <v>39</v>
      </c>
      <c r="G658" t="s">
        <v>39</v>
      </c>
    </row>
    <row r="659" spans="1:7" ht="13.2" x14ac:dyDescent="0.25">
      <c r="A659" s="1" t="s">
        <v>30</v>
      </c>
      <c r="B659" t="s">
        <v>567</v>
      </c>
      <c r="C659">
        <v>8</v>
      </c>
      <c r="D659" t="s">
        <v>36</v>
      </c>
      <c r="E659" t="s">
        <v>37</v>
      </c>
      <c r="F659" t="s">
        <v>50</v>
      </c>
      <c r="G659" t="s">
        <v>39</v>
      </c>
    </row>
    <row r="660" spans="1:7" ht="13.2" x14ac:dyDescent="0.25">
      <c r="A660" s="1" t="s">
        <v>30</v>
      </c>
      <c r="B660" t="s">
        <v>568</v>
      </c>
      <c r="C660">
        <v>7</v>
      </c>
      <c r="D660" t="s">
        <v>36</v>
      </c>
      <c r="E660" t="s">
        <v>37</v>
      </c>
      <c r="F660" t="s">
        <v>39</v>
      </c>
      <c r="G660" t="s">
        <v>39</v>
      </c>
    </row>
    <row r="661" spans="1:7" ht="13.2" x14ac:dyDescent="0.25">
      <c r="A661" s="1" t="s">
        <v>30</v>
      </c>
      <c r="B661" t="s">
        <v>569</v>
      </c>
      <c r="C661">
        <v>16</v>
      </c>
      <c r="D661" t="s">
        <v>36</v>
      </c>
      <c r="E661" t="s">
        <v>46</v>
      </c>
      <c r="F661" t="s">
        <v>39</v>
      </c>
      <c r="G661" t="s">
        <v>39</v>
      </c>
    </row>
    <row r="662" spans="1:7" ht="13.2" x14ac:dyDescent="0.25">
      <c r="A662" s="1" t="s">
        <v>30</v>
      </c>
      <c r="B662" t="s">
        <v>570</v>
      </c>
      <c r="C662">
        <v>9</v>
      </c>
      <c r="D662" t="s">
        <v>62</v>
      </c>
      <c r="E662" t="s">
        <v>37</v>
      </c>
      <c r="F662" t="s">
        <v>38</v>
      </c>
      <c r="G662" t="s">
        <v>39</v>
      </c>
    </row>
    <row r="663" spans="1:7" ht="13.2" x14ac:dyDescent="0.25">
      <c r="A663" s="1" t="s">
        <v>30</v>
      </c>
      <c r="B663" t="s">
        <v>571</v>
      </c>
      <c r="C663">
        <v>19</v>
      </c>
      <c r="D663" t="s">
        <v>36</v>
      </c>
      <c r="E663" t="s">
        <v>37</v>
      </c>
      <c r="F663" t="s">
        <v>47</v>
      </c>
      <c r="G663" t="s">
        <v>39</v>
      </c>
    </row>
    <row r="664" spans="1:7" ht="13.2" x14ac:dyDescent="0.25">
      <c r="A664" s="1" t="s">
        <v>30</v>
      </c>
      <c r="B664" t="s">
        <v>572</v>
      </c>
      <c r="C664">
        <v>11</v>
      </c>
      <c r="D664" t="s">
        <v>36</v>
      </c>
      <c r="E664" t="s">
        <v>37</v>
      </c>
      <c r="F664" t="s">
        <v>50</v>
      </c>
      <c r="G664" t="s">
        <v>39</v>
      </c>
    </row>
    <row r="665" spans="1:7" ht="13.2" x14ac:dyDescent="0.25">
      <c r="A665" s="1" t="s">
        <v>30</v>
      </c>
      <c r="B665" t="s">
        <v>573</v>
      </c>
      <c r="C665">
        <v>4</v>
      </c>
      <c r="D665" t="s">
        <v>36</v>
      </c>
      <c r="E665" t="s">
        <v>37</v>
      </c>
      <c r="F665" t="s">
        <v>50</v>
      </c>
      <c r="G665" t="s">
        <v>39</v>
      </c>
    </row>
    <row r="666" spans="1:7" ht="13.2" x14ac:dyDescent="0.25">
      <c r="A666" s="1" t="s">
        <v>30</v>
      </c>
      <c r="B666" t="s">
        <v>574</v>
      </c>
      <c r="C666">
        <v>5</v>
      </c>
      <c r="D666" t="s">
        <v>41</v>
      </c>
      <c r="E666" t="s">
        <v>46</v>
      </c>
      <c r="F666" t="s">
        <v>50</v>
      </c>
      <c r="G666" t="s">
        <v>39</v>
      </c>
    </row>
    <row r="667" spans="1:7" ht="13.2" x14ac:dyDescent="0.25">
      <c r="A667" s="1" t="s">
        <v>30</v>
      </c>
      <c r="B667" t="s">
        <v>575</v>
      </c>
      <c r="C667">
        <v>29</v>
      </c>
      <c r="D667" t="s">
        <v>41</v>
      </c>
      <c r="E667" t="s">
        <v>37</v>
      </c>
      <c r="F667" t="s">
        <v>39</v>
      </c>
      <c r="G667" t="s">
        <v>39</v>
      </c>
    </row>
    <row r="668" spans="1:7" ht="13.2" x14ac:dyDescent="0.25">
      <c r="A668" s="1" t="s">
        <v>30</v>
      </c>
      <c r="B668" t="s">
        <v>576</v>
      </c>
      <c r="C668">
        <v>23</v>
      </c>
      <c r="D668" t="s">
        <v>36</v>
      </c>
      <c r="E668" t="s">
        <v>46</v>
      </c>
      <c r="F668" t="s">
        <v>47</v>
      </c>
      <c r="G668" t="s">
        <v>39</v>
      </c>
    </row>
    <row r="669" spans="1:7" ht="13.2" x14ac:dyDescent="0.25">
      <c r="A669" s="1" t="s">
        <v>30</v>
      </c>
      <c r="B669" t="s">
        <v>39</v>
      </c>
      <c r="C669" t="s">
        <v>39</v>
      </c>
      <c r="D669" t="s">
        <v>39</v>
      </c>
      <c r="E669" t="s">
        <v>39</v>
      </c>
      <c r="F669" t="s">
        <v>39</v>
      </c>
      <c r="G669" t="s">
        <v>39</v>
      </c>
    </row>
    <row r="670" spans="1:7" ht="13.2" x14ac:dyDescent="0.25">
      <c r="A670" s="1" t="s">
        <v>30</v>
      </c>
      <c r="B670" t="s">
        <v>39</v>
      </c>
      <c r="C670" t="s">
        <v>39</v>
      </c>
      <c r="D670" t="s">
        <v>39</v>
      </c>
      <c r="E670" t="s">
        <v>39</v>
      </c>
      <c r="F670" t="s">
        <v>39</v>
      </c>
      <c r="G670" t="s">
        <v>39</v>
      </c>
    </row>
    <row r="671" spans="1:7" ht="13.2" x14ac:dyDescent="0.25">
      <c r="A671" s="1" t="s">
        <v>30</v>
      </c>
      <c r="B671" t="s">
        <v>181</v>
      </c>
      <c r="C671" t="s">
        <v>39</v>
      </c>
      <c r="D671" t="s">
        <v>39</v>
      </c>
      <c r="E671" t="s">
        <v>39</v>
      </c>
      <c r="F671" t="s">
        <v>39</v>
      </c>
      <c r="G671" t="s">
        <v>39</v>
      </c>
    </row>
    <row r="672" spans="1:7" ht="13.2" x14ac:dyDescent="0.25">
      <c r="A672" s="1" t="s">
        <v>30</v>
      </c>
      <c r="B672" t="s">
        <v>84</v>
      </c>
      <c r="C672" t="s">
        <v>39</v>
      </c>
      <c r="D672" t="s">
        <v>39</v>
      </c>
      <c r="E672" t="s">
        <v>39</v>
      </c>
      <c r="F672" t="s">
        <v>39</v>
      </c>
      <c r="G672" t="s">
        <v>39</v>
      </c>
    </row>
    <row r="673" spans="1:7" ht="13.2" x14ac:dyDescent="0.25">
      <c r="A673" s="1" t="s">
        <v>30</v>
      </c>
      <c r="B673" t="s">
        <v>577</v>
      </c>
      <c r="C673" t="s">
        <v>39</v>
      </c>
      <c r="D673" t="s">
        <v>39</v>
      </c>
      <c r="E673" t="s">
        <v>88</v>
      </c>
      <c r="F673" t="s">
        <v>578</v>
      </c>
      <c r="G673" t="s">
        <v>39</v>
      </c>
    </row>
    <row r="674" spans="1:7" ht="13.2" x14ac:dyDescent="0.25">
      <c r="A674" s="1" t="s">
        <v>30</v>
      </c>
    </row>
    <row r="675" spans="1:7" ht="13.2" x14ac:dyDescent="0.25">
      <c r="A675" s="1" t="s">
        <v>30</v>
      </c>
    </row>
    <row r="676" spans="1:7" ht="13.2" x14ac:dyDescent="0.25">
      <c r="A676" s="1" t="s">
        <v>31</v>
      </c>
      <c r="B676" t="s">
        <v>579</v>
      </c>
      <c r="C676">
        <v>90</v>
      </c>
      <c r="D676" t="s">
        <v>62</v>
      </c>
      <c r="E676" t="s">
        <v>37</v>
      </c>
      <c r="F676" t="s">
        <v>39</v>
      </c>
      <c r="G676" t="s">
        <v>39</v>
      </c>
    </row>
    <row r="677" spans="1:7" ht="13.2" x14ac:dyDescent="0.25">
      <c r="A677" s="1" t="s">
        <v>31</v>
      </c>
      <c r="B677" t="s">
        <v>580</v>
      </c>
      <c r="C677">
        <v>5</v>
      </c>
      <c r="D677" t="s">
        <v>41</v>
      </c>
      <c r="E677" t="s">
        <v>37</v>
      </c>
      <c r="F677" t="s">
        <v>39</v>
      </c>
      <c r="G677" t="s">
        <v>39</v>
      </c>
    </row>
    <row r="678" spans="1:7" ht="13.2" x14ac:dyDescent="0.25">
      <c r="A678" s="1" t="s">
        <v>31</v>
      </c>
      <c r="B678" t="s">
        <v>581</v>
      </c>
      <c r="C678">
        <v>13</v>
      </c>
      <c r="D678" t="s">
        <v>135</v>
      </c>
      <c r="E678" t="s">
        <v>42</v>
      </c>
      <c r="F678" t="s">
        <v>47</v>
      </c>
      <c r="G678" t="s">
        <v>39</v>
      </c>
    </row>
    <row r="679" spans="1:7" ht="13.2" x14ac:dyDescent="0.25">
      <c r="A679" s="1" t="s">
        <v>31</v>
      </c>
      <c r="B679" t="s">
        <v>582</v>
      </c>
      <c r="C679">
        <v>10</v>
      </c>
      <c r="D679" t="s">
        <v>135</v>
      </c>
      <c r="E679" t="s">
        <v>37</v>
      </c>
      <c r="F679" t="s">
        <v>38</v>
      </c>
      <c r="G679" t="s">
        <v>39</v>
      </c>
    </row>
    <row r="680" spans="1:7" ht="13.2" x14ac:dyDescent="0.25">
      <c r="A680" s="1" t="s">
        <v>31</v>
      </c>
      <c r="B680" t="s">
        <v>583</v>
      </c>
      <c r="C680" t="s">
        <v>39</v>
      </c>
      <c r="D680" t="s">
        <v>56</v>
      </c>
      <c r="E680" t="s">
        <v>46</v>
      </c>
      <c r="F680" t="s">
        <v>39</v>
      </c>
      <c r="G680" t="s">
        <v>39</v>
      </c>
    </row>
    <row r="681" spans="1:7" ht="13.2" x14ac:dyDescent="0.25">
      <c r="A681" s="1" t="s">
        <v>31</v>
      </c>
      <c r="B681" t="s">
        <v>584</v>
      </c>
      <c r="C681">
        <v>2</v>
      </c>
      <c r="D681" t="s">
        <v>41</v>
      </c>
      <c r="E681" t="s">
        <v>46</v>
      </c>
      <c r="F681" t="s">
        <v>39</v>
      </c>
      <c r="G681" t="s">
        <v>39</v>
      </c>
    </row>
    <row r="682" spans="1:7" ht="13.2" x14ac:dyDescent="0.25">
      <c r="A682" s="1" t="s">
        <v>31</v>
      </c>
      <c r="B682" t="s">
        <v>585</v>
      </c>
      <c r="C682">
        <v>17</v>
      </c>
      <c r="D682" t="s">
        <v>36</v>
      </c>
      <c r="E682" t="s">
        <v>37</v>
      </c>
      <c r="F682" t="s">
        <v>65</v>
      </c>
      <c r="G682" t="s">
        <v>39</v>
      </c>
    </row>
    <row r="683" spans="1:7" ht="13.2" x14ac:dyDescent="0.25">
      <c r="A683" s="1" t="s">
        <v>31</v>
      </c>
      <c r="B683" t="s">
        <v>586</v>
      </c>
      <c r="C683">
        <v>4</v>
      </c>
      <c r="D683" t="s">
        <v>192</v>
      </c>
      <c r="E683" t="s">
        <v>37</v>
      </c>
      <c r="F683" t="s">
        <v>39</v>
      </c>
      <c r="G683" t="s">
        <v>39</v>
      </c>
    </row>
    <row r="684" spans="1:7" ht="13.2" x14ac:dyDescent="0.25">
      <c r="A684" s="1" t="s">
        <v>31</v>
      </c>
      <c r="B684" t="s">
        <v>587</v>
      </c>
      <c r="C684">
        <v>12</v>
      </c>
      <c r="D684" t="s">
        <v>62</v>
      </c>
      <c r="E684" t="s">
        <v>37</v>
      </c>
      <c r="F684" t="s">
        <v>39</v>
      </c>
      <c r="G684" t="s">
        <v>39</v>
      </c>
    </row>
    <row r="685" spans="1:7" ht="13.2" x14ac:dyDescent="0.25">
      <c r="A685" s="1" t="s">
        <v>31</v>
      </c>
      <c r="B685" t="s">
        <v>588</v>
      </c>
      <c r="C685">
        <v>30</v>
      </c>
      <c r="D685" t="s">
        <v>41</v>
      </c>
      <c r="E685" t="s">
        <v>37</v>
      </c>
      <c r="F685" t="s">
        <v>50</v>
      </c>
      <c r="G685" t="s">
        <v>39</v>
      </c>
    </row>
    <row r="686" spans="1:7" ht="13.2" x14ac:dyDescent="0.25">
      <c r="A686" s="1" t="s">
        <v>31</v>
      </c>
      <c r="B686" t="s">
        <v>589</v>
      </c>
      <c r="C686">
        <v>21</v>
      </c>
      <c r="D686" t="s">
        <v>36</v>
      </c>
      <c r="E686" t="s">
        <v>37</v>
      </c>
      <c r="F686" t="s">
        <v>38</v>
      </c>
      <c r="G686" t="s">
        <v>39</v>
      </c>
    </row>
    <row r="687" spans="1:7" ht="13.2" x14ac:dyDescent="0.25">
      <c r="A687" s="1" t="s">
        <v>31</v>
      </c>
      <c r="B687" t="s">
        <v>590</v>
      </c>
      <c r="C687">
        <v>75</v>
      </c>
      <c r="D687" t="s">
        <v>36</v>
      </c>
      <c r="E687" t="s">
        <v>42</v>
      </c>
      <c r="F687" t="s">
        <v>47</v>
      </c>
      <c r="G687" t="s">
        <v>39</v>
      </c>
    </row>
    <row r="688" spans="1:7" ht="13.2" x14ac:dyDescent="0.25">
      <c r="A688" s="1" t="s">
        <v>31</v>
      </c>
      <c r="B688" t="s">
        <v>591</v>
      </c>
      <c r="C688">
        <v>26</v>
      </c>
      <c r="D688" t="s">
        <v>41</v>
      </c>
      <c r="E688" t="s">
        <v>46</v>
      </c>
      <c r="F688" t="s">
        <v>47</v>
      </c>
      <c r="G688" t="s">
        <v>39</v>
      </c>
    </row>
    <row r="689" spans="1:7" ht="13.2" x14ac:dyDescent="0.25">
      <c r="A689" s="1" t="s">
        <v>31</v>
      </c>
      <c r="B689" t="s">
        <v>592</v>
      </c>
      <c r="C689">
        <v>19</v>
      </c>
      <c r="D689" t="s">
        <v>36</v>
      </c>
      <c r="E689" t="s">
        <v>37</v>
      </c>
      <c r="F689" t="s">
        <v>50</v>
      </c>
      <c r="G689" t="s">
        <v>39</v>
      </c>
    </row>
    <row r="690" spans="1:7" ht="13.2" x14ac:dyDescent="0.25">
      <c r="A690" s="1" t="s">
        <v>31</v>
      </c>
      <c r="B690" t="s">
        <v>593</v>
      </c>
      <c r="C690">
        <v>94</v>
      </c>
      <c r="D690" t="s">
        <v>192</v>
      </c>
      <c r="E690" t="s">
        <v>37</v>
      </c>
      <c r="F690" t="s">
        <v>39</v>
      </c>
      <c r="G690" t="s">
        <v>39</v>
      </c>
    </row>
    <row r="691" spans="1:7" ht="13.2" x14ac:dyDescent="0.25">
      <c r="A691" s="1" t="s">
        <v>31</v>
      </c>
      <c r="B691" t="s">
        <v>594</v>
      </c>
      <c r="C691">
        <v>29</v>
      </c>
      <c r="D691" t="s">
        <v>56</v>
      </c>
      <c r="E691" t="s">
        <v>37</v>
      </c>
      <c r="F691" t="s">
        <v>39</v>
      </c>
      <c r="G691" t="s">
        <v>39</v>
      </c>
    </row>
    <row r="692" spans="1:7" ht="13.2" x14ac:dyDescent="0.25">
      <c r="A692" s="1" t="s">
        <v>31</v>
      </c>
      <c r="B692" t="s">
        <v>595</v>
      </c>
      <c r="C692">
        <v>9</v>
      </c>
      <c r="D692" t="s">
        <v>62</v>
      </c>
      <c r="E692" t="s">
        <v>37</v>
      </c>
      <c r="F692" t="s">
        <v>50</v>
      </c>
      <c r="G692" t="s">
        <v>39</v>
      </c>
    </row>
    <row r="693" spans="1:7" ht="13.2" x14ac:dyDescent="0.25">
      <c r="A693" s="1" t="s">
        <v>31</v>
      </c>
      <c r="B693" t="s">
        <v>596</v>
      </c>
      <c r="C693">
        <v>3</v>
      </c>
      <c r="D693" t="s">
        <v>41</v>
      </c>
      <c r="E693" t="s">
        <v>37</v>
      </c>
      <c r="F693" t="s">
        <v>39</v>
      </c>
      <c r="G693" t="s">
        <v>39</v>
      </c>
    </row>
    <row r="694" spans="1:7" ht="13.2" x14ac:dyDescent="0.25">
      <c r="A694" s="1" t="s">
        <v>31</v>
      </c>
      <c r="B694" t="s">
        <v>597</v>
      </c>
      <c r="C694">
        <v>11</v>
      </c>
      <c r="D694" t="s">
        <v>62</v>
      </c>
      <c r="E694" t="s">
        <v>37</v>
      </c>
      <c r="F694" t="s">
        <v>39</v>
      </c>
      <c r="G694" t="s">
        <v>39</v>
      </c>
    </row>
    <row r="695" spans="1:7" ht="13.2" x14ac:dyDescent="0.25">
      <c r="A695" s="1" t="s">
        <v>31</v>
      </c>
      <c r="B695" t="s">
        <v>598</v>
      </c>
      <c r="C695">
        <v>7</v>
      </c>
      <c r="D695" t="s">
        <v>62</v>
      </c>
      <c r="E695" t="s">
        <v>37</v>
      </c>
      <c r="F695" t="s">
        <v>50</v>
      </c>
      <c r="G695" t="s">
        <v>39</v>
      </c>
    </row>
    <row r="696" spans="1:7" ht="13.2" x14ac:dyDescent="0.25">
      <c r="A696" s="1" t="s">
        <v>31</v>
      </c>
      <c r="B696" t="s">
        <v>599</v>
      </c>
      <c r="C696">
        <v>20</v>
      </c>
      <c r="D696" t="s">
        <v>62</v>
      </c>
      <c r="E696" t="s">
        <v>42</v>
      </c>
      <c r="F696" t="s">
        <v>600</v>
      </c>
      <c r="G696" t="s">
        <v>39</v>
      </c>
    </row>
    <row r="697" spans="1:7" ht="13.2" x14ac:dyDescent="0.25">
      <c r="A697" s="1" t="s">
        <v>31</v>
      </c>
      <c r="B697" t="s">
        <v>601</v>
      </c>
      <c r="C697">
        <v>6</v>
      </c>
      <c r="D697" t="s">
        <v>36</v>
      </c>
      <c r="E697" t="s">
        <v>37</v>
      </c>
      <c r="F697" t="s">
        <v>39</v>
      </c>
      <c r="G697" t="s">
        <v>39</v>
      </c>
    </row>
    <row r="698" spans="1:7" ht="13.2" x14ac:dyDescent="0.25">
      <c r="A698" s="1" t="s">
        <v>31</v>
      </c>
      <c r="B698" t="s">
        <v>602</v>
      </c>
      <c r="C698">
        <v>14</v>
      </c>
      <c r="D698" t="s">
        <v>62</v>
      </c>
      <c r="E698" t="s">
        <v>37</v>
      </c>
      <c r="F698" t="s">
        <v>39</v>
      </c>
      <c r="G698" t="s">
        <v>39</v>
      </c>
    </row>
    <row r="699" spans="1:7" ht="13.2" x14ac:dyDescent="0.25">
      <c r="A699" s="1" t="s">
        <v>31</v>
      </c>
      <c r="B699" t="s">
        <v>603</v>
      </c>
      <c r="C699">
        <v>15</v>
      </c>
      <c r="D699" t="s">
        <v>41</v>
      </c>
      <c r="E699" t="s">
        <v>37</v>
      </c>
      <c r="F699" t="s">
        <v>39</v>
      </c>
      <c r="G699" t="s">
        <v>39</v>
      </c>
    </row>
    <row r="700" spans="1:7" ht="13.2" x14ac:dyDescent="0.25">
      <c r="A700" s="1" t="s">
        <v>31</v>
      </c>
      <c r="B700" t="s">
        <v>604</v>
      </c>
      <c r="C700">
        <v>16</v>
      </c>
      <c r="D700" t="s">
        <v>41</v>
      </c>
      <c r="E700" t="s">
        <v>46</v>
      </c>
      <c r="F700" t="s">
        <v>39</v>
      </c>
      <c r="G700" t="s">
        <v>39</v>
      </c>
    </row>
    <row r="701" spans="1:7" ht="13.2" x14ac:dyDescent="0.25">
      <c r="A701" s="1" t="s">
        <v>31</v>
      </c>
      <c r="B701" t="s">
        <v>605</v>
      </c>
      <c r="C701">
        <v>23</v>
      </c>
      <c r="D701" t="s">
        <v>41</v>
      </c>
      <c r="E701" t="s">
        <v>46</v>
      </c>
      <c r="F701" t="s">
        <v>39</v>
      </c>
      <c r="G701" t="s">
        <v>39</v>
      </c>
    </row>
    <row r="702" spans="1:7" ht="13.2" x14ac:dyDescent="0.25">
      <c r="A702" s="1" t="s">
        <v>31</v>
      </c>
      <c r="B702" t="s">
        <v>606</v>
      </c>
      <c r="C702">
        <v>1</v>
      </c>
      <c r="D702" t="s">
        <v>56</v>
      </c>
      <c r="E702" t="s">
        <v>46</v>
      </c>
      <c r="F702" t="s">
        <v>39</v>
      </c>
      <c r="G702" t="s">
        <v>39</v>
      </c>
    </row>
    <row r="703" spans="1:7" ht="13.2" x14ac:dyDescent="0.25">
      <c r="A703" s="1" t="s">
        <v>31</v>
      </c>
      <c r="B703" t="s">
        <v>607</v>
      </c>
      <c r="C703">
        <v>8</v>
      </c>
      <c r="D703" t="s">
        <v>192</v>
      </c>
      <c r="E703" t="s">
        <v>37</v>
      </c>
      <c r="F703" t="s">
        <v>39</v>
      </c>
      <c r="G703" t="s">
        <v>39</v>
      </c>
    </row>
    <row r="704" spans="1:7" ht="13.2" x14ac:dyDescent="0.25">
      <c r="A704" s="1" t="s">
        <v>31</v>
      </c>
      <c r="B704" t="s">
        <v>39</v>
      </c>
      <c r="C704" t="s">
        <v>39</v>
      </c>
      <c r="D704" t="s">
        <v>39</v>
      </c>
      <c r="E704" t="s">
        <v>39</v>
      </c>
      <c r="F704" t="s">
        <v>39</v>
      </c>
      <c r="G704" t="s">
        <v>39</v>
      </c>
    </row>
    <row r="705" spans="1:7" ht="13.2" x14ac:dyDescent="0.25">
      <c r="A705" s="1" t="s">
        <v>31</v>
      </c>
      <c r="B705" t="s">
        <v>39</v>
      </c>
      <c r="C705" t="s">
        <v>39</v>
      </c>
      <c r="D705" t="s">
        <v>39</v>
      </c>
      <c r="E705" t="s">
        <v>39</v>
      </c>
      <c r="F705" t="s">
        <v>39</v>
      </c>
      <c r="G705" t="s">
        <v>39</v>
      </c>
    </row>
    <row r="706" spans="1:7" ht="13.2" x14ac:dyDescent="0.25">
      <c r="A706" s="1" t="s">
        <v>31</v>
      </c>
      <c r="B706" t="s">
        <v>181</v>
      </c>
      <c r="C706" t="s">
        <v>39</v>
      </c>
      <c r="D706" t="s">
        <v>39</v>
      </c>
      <c r="E706" t="s">
        <v>39</v>
      </c>
      <c r="F706" t="s">
        <v>39</v>
      </c>
      <c r="G706" t="s">
        <v>39</v>
      </c>
    </row>
    <row r="707" spans="1:7" ht="13.2" x14ac:dyDescent="0.25">
      <c r="A707" s="1" t="s">
        <v>31</v>
      </c>
    </row>
    <row r="708" spans="1:7" ht="13.2" x14ac:dyDescent="0.25">
      <c r="A708" s="1" t="s">
        <v>31</v>
      </c>
    </row>
    <row r="709" spans="1:7" ht="13.2" x14ac:dyDescent="0.25">
      <c r="A709" s="1" t="s">
        <v>31</v>
      </c>
    </row>
    <row r="710" spans="1:7" ht="13.2" x14ac:dyDescent="0.25">
      <c r="A710" s="1" t="s">
        <v>31</v>
      </c>
    </row>
    <row r="711" spans="1:7" ht="13.2" x14ac:dyDescent="0.25">
      <c r="A711" s="1" t="s">
        <v>32</v>
      </c>
      <c r="B711" t="s">
        <v>608</v>
      </c>
      <c r="C711">
        <v>8</v>
      </c>
      <c r="D711" t="s">
        <v>36</v>
      </c>
      <c r="E711" t="s">
        <v>79</v>
      </c>
      <c r="F711" t="s">
        <v>50</v>
      </c>
      <c r="G711" t="s">
        <v>74</v>
      </c>
    </row>
    <row r="712" spans="1:7" ht="13.2" x14ac:dyDescent="0.25">
      <c r="A712" s="1" t="s">
        <v>32</v>
      </c>
      <c r="B712" t="s">
        <v>609</v>
      </c>
      <c r="C712" t="s">
        <v>39</v>
      </c>
      <c r="D712" t="s">
        <v>62</v>
      </c>
      <c r="E712" t="s">
        <v>46</v>
      </c>
      <c r="F712" t="s">
        <v>47</v>
      </c>
      <c r="G712" t="s">
        <v>39</v>
      </c>
    </row>
    <row r="713" spans="1:7" ht="13.2" x14ac:dyDescent="0.25">
      <c r="A713" s="1" t="s">
        <v>32</v>
      </c>
      <c r="B713" t="s">
        <v>610</v>
      </c>
      <c r="C713">
        <v>17</v>
      </c>
      <c r="D713" t="s">
        <v>62</v>
      </c>
      <c r="E713" t="s">
        <v>37</v>
      </c>
      <c r="F713" t="s">
        <v>65</v>
      </c>
      <c r="G713" t="s">
        <v>39</v>
      </c>
    </row>
    <row r="714" spans="1:7" ht="13.2" x14ac:dyDescent="0.25">
      <c r="A714" s="1" t="s">
        <v>32</v>
      </c>
      <c r="B714" t="s">
        <v>611</v>
      </c>
      <c r="C714">
        <v>96</v>
      </c>
      <c r="D714" t="s">
        <v>62</v>
      </c>
      <c r="E714" t="s">
        <v>37</v>
      </c>
      <c r="F714" t="s">
        <v>50</v>
      </c>
      <c r="G714" t="s">
        <v>39</v>
      </c>
    </row>
    <row r="715" spans="1:7" ht="13.2" x14ac:dyDescent="0.25">
      <c r="A715" s="1" t="s">
        <v>32</v>
      </c>
      <c r="B715" t="s">
        <v>612</v>
      </c>
      <c r="C715">
        <v>11</v>
      </c>
      <c r="D715" t="s">
        <v>62</v>
      </c>
      <c r="E715" t="s">
        <v>42</v>
      </c>
      <c r="F715" t="s">
        <v>50</v>
      </c>
      <c r="G715" t="s">
        <v>39</v>
      </c>
    </row>
    <row r="716" spans="1:7" ht="13.2" x14ac:dyDescent="0.25">
      <c r="A716" s="1" t="s">
        <v>32</v>
      </c>
      <c r="B716" t="s">
        <v>613</v>
      </c>
      <c r="C716">
        <v>25</v>
      </c>
      <c r="D716" t="s">
        <v>56</v>
      </c>
      <c r="E716" t="s">
        <v>37</v>
      </c>
      <c r="F716" t="s">
        <v>39</v>
      </c>
      <c r="G716" t="s">
        <v>39</v>
      </c>
    </row>
    <row r="717" spans="1:7" ht="13.2" x14ac:dyDescent="0.25">
      <c r="A717" s="1" t="s">
        <v>32</v>
      </c>
      <c r="B717" t="s">
        <v>614</v>
      </c>
      <c r="C717">
        <v>4</v>
      </c>
      <c r="D717" t="s">
        <v>36</v>
      </c>
      <c r="E717" t="s">
        <v>37</v>
      </c>
      <c r="F717" t="s">
        <v>65</v>
      </c>
      <c r="G717" t="s">
        <v>39</v>
      </c>
    </row>
    <row r="718" spans="1:7" ht="13.2" x14ac:dyDescent="0.25">
      <c r="A718" s="1" t="s">
        <v>32</v>
      </c>
      <c r="B718" t="s">
        <v>615</v>
      </c>
      <c r="C718">
        <v>14</v>
      </c>
      <c r="D718" t="s">
        <v>36</v>
      </c>
      <c r="E718" t="s">
        <v>42</v>
      </c>
      <c r="F718" t="s">
        <v>47</v>
      </c>
      <c r="G718" t="s">
        <v>39</v>
      </c>
    </row>
    <row r="719" spans="1:7" ht="13.2" x14ac:dyDescent="0.25">
      <c r="A719" s="1" t="s">
        <v>32</v>
      </c>
      <c r="B719" t="s">
        <v>616</v>
      </c>
      <c r="C719">
        <v>18</v>
      </c>
      <c r="D719" t="s">
        <v>36</v>
      </c>
      <c r="E719" t="s">
        <v>37</v>
      </c>
      <c r="F719" t="s">
        <v>47</v>
      </c>
      <c r="G719" t="s">
        <v>39</v>
      </c>
    </row>
    <row r="720" spans="1:7" ht="13.2" x14ac:dyDescent="0.25">
      <c r="A720" s="1" t="s">
        <v>32</v>
      </c>
      <c r="B720" t="s">
        <v>617</v>
      </c>
      <c r="C720">
        <v>52</v>
      </c>
      <c r="D720" t="s">
        <v>41</v>
      </c>
      <c r="E720" t="s">
        <v>46</v>
      </c>
      <c r="F720" t="s">
        <v>39</v>
      </c>
      <c r="G720" t="s">
        <v>39</v>
      </c>
    </row>
    <row r="721" spans="1:7" ht="13.2" x14ac:dyDescent="0.25">
      <c r="A721" s="1" t="s">
        <v>32</v>
      </c>
      <c r="B721" t="s">
        <v>618</v>
      </c>
      <c r="C721">
        <v>63</v>
      </c>
      <c r="D721" t="s">
        <v>36</v>
      </c>
      <c r="E721" t="s">
        <v>46</v>
      </c>
      <c r="F721" t="s">
        <v>47</v>
      </c>
      <c r="G721" t="s">
        <v>39</v>
      </c>
    </row>
    <row r="722" spans="1:7" ht="13.2" x14ac:dyDescent="0.25">
      <c r="A722" s="1" t="s">
        <v>32</v>
      </c>
      <c r="B722" t="s">
        <v>619</v>
      </c>
      <c r="C722">
        <v>10</v>
      </c>
      <c r="D722" t="s">
        <v>62</v>
      </c>
      <c r="E722" t="s">
        <v>37</v>
      </c>
      <c r="F722" t="s">
        <v>38</v>
      </c>
      <c r="G722" t="s">
        <v>39</v>
      </c>
    </row>
    <row r="723" spans="1:7" ht="13.2" x14ac:dyDescent="0.25">
      <c r="A723" s="1" t="s">
        <v>32</v>
      </c>
      <c r="B723" t="s">
        <v>620</v>
      </c>
      <c r="C723">
        <v>6</v>
      </c>
      <c r="D723" t="s">
        <v>41</v>
      </c>
      <c r="E723" t="s">
        <v>37</v>
      </c>
      <c r="F723" t="s">
        <v>39</v>
      </c>
      <c r="G723" t="s">
        <v>39</v>
      </c>
    </row>
    <row r="724" spans="1:7" ht="13.2" x14ac:dyDescent="0.25">
      <c r="A724" s="1" t="s">
        <v>32</v>
      </c>
      <c r="B724" t="s">
        <v>621</v>
      </c>
      <c r="C724">
        <v>22</v>
      </c>
      <c r="D724" t="s">
        <v>62</v>
      </c>
      <c r="E724" t="s">
        <v>46</v>
      </c>
      <c r="F724" t="s">
        <v>47</v>
      </c>
      <c r="G724" t="s">
        <v>39</v>
      </c>
    </row>
    <row r="725" spans="1:7" ht="13.2" x14ac:dyDescent="0.25">
      <c r="A725" s="1" t="s">
        <v>32</v>
      </c>
      <c r="B725" t="s">
        <v>622</v>
      </c>
      <c r="C725">
        <v>12</v>
      </c>
      <c r="D725" t="s">
        <v>41</v>
      </c>
      <c r="E725" t="s">
        <v>42</v>
      </c>
      <c r="F725" t="s">
        <v>39</v>
      </c>
      <c r="G725" t="s">
        <v>39</v>
      </c>
    </row>
    <row r="726" spans="1:7" ht="13.2" x14ac:dyDescent="0.25">
      <c r="A726" s="1" t="s">
        <v>32</v>
      </c>
      <c r="B726" t="s">
        <v>623</v>
      </c>
      <c r="C726">
        <v>1</v>
      </c>
      <c r="D726" t="s">
        <v>56</v>
      </c>
      <c r="E726" t="s">
        <v>37</v>
      </c>
      <c r="F726" t="s">
        <v>39</v>
      </c>
      <c r="G726" t="s">
        <v>39</v>
      </c>
    </row>
    <row r="727" spans="1:7" ht="13.2" x14ac:dyDescent="0.25">
      <c r="A727" s="1" t="s">
        <v>32</v>
      </c>
      <c r="B727" t="s">
        <v>624</v>
      </c>
      <c r="C727" t="s">
        <v>39</v>
      </c>
      <c r="D727" t="s">
        <v>62</v>
      </c>
      <c r="E727" t="s">
        <v>37</v>
      </c>
      <c r="F727" t="s">
        <v>50</v>
      </c>
      <c r="G727" t="s">
        <v>39</v>
      </c>
    </row>
    <row r="728" spans="1:7" ht="13.2" x14ac:dyDescent="0.25">
      <c r="A728" s="1" t="s">
        <v>32</v>
      </c>
      <c r="B728" t="s">
        <v>625</v>
      </c>
      <c r="C728">
        <v>23</v>
      </c>
      <c r="D728" t="s">
        <v>41</v>
      </c>
      <c r="E728" t="s">
        <v>37</v>
      </c>
      <c r="F728" t="s">
        <v>50</v>
      </c>
      <c r="G728" t="s">
        <v>39</v>
      </c>
    </row>
    <row r="729" spans="1:7" ht="13.2" x14ac:dyDescent="0.25">
      <c r="A729" s="1" t="s">
        <v>32</v>
      </c>
      <c r="B729" t="s">
        <v>626</v>
      </c>
      <c r="C729">
        <v>3</v>
      </c>
      <c r="D729" t="s">
        <v>41</v>
      </c>
      <c r="E729" t="s">
        <v>37</v>
      </c>
      <c r="F729" t="s">
        <v>39</v>
      </c>
      <c r="G729" t="s">
        <v>39</v>
      </c>
    </row>
    <row r="730" spans="1:7" ht="13.2" x14ac:dyDescent="0.25">
      <c r="A730" s="1" t="s">
        <v>32</v>
      </c>
      <c r="B730" t="s">
        <v>627</v>
      </c>
      <c r="C730">
        <v>5</v>
      </c>
      <c r="D730" t="s">
        <v>41</v>
      </c>
      <c r="E730" t="s">
        <v>42</v>
      </c>
      <c r="F730" t="s">
        <v>47</v>
      </c>
      <c r="G730" t="s">
        <v>39</v>
      </c>
    </row>
    <row r="731" spans="1:7" ht="13.2" x14ac:dyDescent="0.25">
      <c r="A731" s="1" t="s">
        <v>32</v>
      </c>
      <c r="B731" t="s">
        <v>628</v>
      </c>
      <c r="C731">
        <v>2</v>
      </c>
      <c r="D731" t="s">
        <v>41</v>
      </c>
      <c r="E731" t="s">
        <v>37</v>
      </c>
      <c r="F731" t="s">
        <v>39</v>
      </c>
      <c r="G731" t="s">
        <v>39</v>
      </c>
    </row>
    <row r="732" spans="1:7" ht="13.2" x14ac:dyDescent="0.25">
      <c r="A732" s="1" t="s">
        <v>32</v>
      </c>
      <c r="B732" t="s">
        <v>629</v>
      </c>
      <c r="C732">
        <v>21</v>
      </c>
      <c r="D732" t="s">
        <v>36</v>
      </c>
      <c r="E732" t="s">
        <v>37</v>
      </c>
      <c r="F732" t="s">
        <v>39</v>
      </c>
      <c r="G732" t="s">
        <v>39</v>
      </c>
    </row>
    <row r="733" spans="1:7" ht="13.2" x14ac:dyDescent="0.25">
      <c r="A733" s="1" t="s">
        <v>32</v>
      </c>
      <c r="B733" t="s">
        <v>630</v>
      </c>
      <c r="C733" t="s">
        <v>39</v>
      </c>
      <c r="D733" t="s">
        <v>56</v>
      </c>
      <c r="E733" t="s">
        <v>42</v>
      </c>
      <c r="F733" t="s">
        <v>39</v>
      </c>
      <c r="G733" t="s">
        <v>39</v>
      </c>
    </row>
    <row r="734" spans="1:7" ht="13.2" x14ac:dyDescent="0.25">
      <c r="A734" s="1" t="s">
        <v>32</v>
      </c>
      <c r="B734" t="s">
        <v>631</v>
      </c>
      <c r="C734">
        <v>87</v>
      </c>
      <c r="D734" t="s">
        <v>62</v>
      </c>
      <c r="E734" t="s">
        <v>37</v>
      </c>
      <c r="F734" t="s">
        <v>39</v>
      </c>
      <c r="G734" t="s">
        <v>39</v>
      </c>
    </row>
    <row r="735" spans="1:7" ht="13.2" x14ac:dyDescent="0.25">
      <c r="A735" s="1" t="s">
        <v>32</v>
      </c>
      <c r="B735" t="s">
        <v>632</v>
      </c>
      <c r="C735">
        <v>54</v>
      </c>
      <c r="D735" t="s">
        <v>62</v>
      </c>
      <c r="E735" t="s">
        <v>46</v>
      </c>
      <c r="F735" t="s">
        <v>39</v>
      </c>
      <c r="G735" t="s">
        <v>39</v>
      </c>
    </row>
    <row r="736" spans="1:7" ht="13.2" x14ac:dyDescent="0.25">
      <c r="A736" s="1" t="s">
        <v>32</v>
      </c>
      <c r="B736" t="s">
        <v>633</v>
      </c>
      <c r="C736">
        <v>9</v>
      </c>
      <c r="D736" t="s">
        <v>41</v>
      </c>
      <c r="E736" t="s">
        <v>37</v>
      </c>
      <c r="F736" t="s">
        <v>50</v>
      </c>
      <c r="G736" t="s">
        <v>39</v>
      </c>
    </row>
    <row r="737" spans="1:7" ht="13.2" x14ac:dyDescent="0.25">
      <c r="A737" s="1" t="s">
        <v>32</v>
      </c>
      <c r="B737" t="s">
        <v>634</v>
      </c>
      <c r="C737">
        <v>7</v>
      </c>
      <c r="D737" t="s">
        <v>36</v>
      </c>
      <c r="E737" t="s">
        <v>37</v>
      </c>
      <c r="F737" t="s">
        <v>50</v>
      </c>
      <c r="G737" t="s">
        <v>39</v>
      </c>
    </row>
    <row r="738" spans="1:7" ht="13.2" x14ac:dyDescent="0.25">
      <c r="A738" s="1" t="s">
        <v>32</v>
      </c>
      <c r="B738" t="s">
        <v>635</v>
      </c>
      <c r="C738">
        <v>15</v>
      </c>
      <c r="D738" t="s">
        <v>41</v>
      </c>
      <c r="E738" t="s">
        <v>37</v>
      </c>
      <c r="F738" t="s">
        <v>39</v>
      </c>
      <c r="G738" t="s">
        <v>39</v>
      </c>
    </row>
    <row r="739" spans="1:7" ht="13.2" x14ac:dyDescent="0.25">
      <c r="A739" s="1" t="s">
        <v>32</v>
      </c>
      <c r="B739" t="s">
        <v>39</v>
      </c>
      <c r="C739" t="s">
        <v>39</v>
      </c>
      <c r="D739" t="s">
        <v>39</v>
      </c>
      <c r="E739" t="s">
        <v>39</v>
      </c>
      <c r="F739" t="s">
        <v>39</v>
      </c>
      <c r="G739" t="s">
        <v>39</v>
      </c>
    </row>
    <row r="740" spans="1:7" ht="13.2" x14ac:dyDescent="0.25">
      <c r="A740" s="1" t="s">
        <v>32</v>
      </c>
      <c r="B740" t="s">
        <v>39</v>
      </c>
      <c r="C740" t="s">
        <v>39</v>
      </c>
      <c r="D740" t="s">
        <v>39</v>
      </c>
      <c r="E740" t="s">
        <v>39</v>
      </c>
      <c r="F740" t="s">
        <v>39</v>
      </c>
      <c r="G740" t="s">
        <v>39</v>
      </c>
    </row>
    <row r="741" spans="1:7" ht="13.2" x14ac:dyDescent="0.25">
      <c r="A741" s="1" t="s">
        <v>32</v>
      </c>
      <c r="B741" t="s">
        <v>181</v>
      </c>
      <c r="C741" t="s">
        <v>39</v>
      </c>
      <c r="D741" t="s">
        <v>39</v>
      </c>
      <c r="E741" t="s">
        <v>39</v>
      </c>
      <c r="F741" t="s">
        <v>39</v>
      </c>
      <c r="G741" t="s">
        <v>39</v>
      </c>
    </row>
    <row r="742" spans="1:7" ht="13.2" x14ac:dyDescent="0.25">
      <c r="A742" s="1" t="s">
        <v>32</v>
      </c>
      <c r="B742" t="s">
        <v>84</v>
      </c>
      <c r="C742" t="s">
        <v>39</v>
      </c>
      <c r="D742" t="s">
        <v>39</v>
      </c>
      <c r="E742" t="s">
        <v>39</v>
      </c>
      <c r="F742" t="s">
        <v>39</v>
      </c>
      <c r="G742" t="s">
        <v>39</v>
      </c>
    </row>
    <row r="743" spans="1:7" ht="13.2" x14ac:dyDescent="0.25">
      <c r="A743" s="1" t="s">
        <v>32</v>
      </c>
      <c r="B743" t="s">
        <v>636</v>
      </c>
      <c r="C743">
        <v>55</v>
      </c>
      <c r="D743" t="s">
        <v>36</v>
      </c>
      <c r="E743" t="s">
        <v>73</v>
      </c>
      <c r="F743" t="s">
        <v>74</v>
      </c>
      <c r="G743" t="s">
        <v>39</v>
      </c>
    </row>
    <row r="744" spans="1:7" ht="13.2" x14ac:dyDescent="0.25">
      <c r="A744" s="1" t="s">
        <v>32</v>
      </c>
    </row>
    <row r="745" spans="1:7" ht="13.2" x14ac:dyDescent="0.25">
      <c r="A745" s="1" t="s">
        <v>32</v>
      </c>
    </row>
    <row r="746" spans="1:7" ht="13.2" x14ac:dyDescent="0.25">
      <c r="A746" s="1" t="s">
        <v>32</v>
      </c>
    </row>
    <row r="747" spans="1:7" ht="13.2" x14ac:dyDescent="0.25">
      <c r="A747" s="1" t="s">
        <v>32</v>
      </c>
    </row>
    <row r="748" spans="1:7" ht="13.2" x14ac:dyDescent="0.25">
      <c r="A748" s="1" t="s">
        <v>33</v>
      </c>
      <c r="B748" t="s">
        <v>637</v>
      </c>
      <c r="C748">
        <v>18</v>
      </c>
      <c r="D748" t="s">
        <v>41</v>
      </c>
      <c r="E748" t="s">
        <v>37</v>
      </c>
      <c r="F748" t="s">
        <v>39</v>
      </c>
      <c r="G748" t="s">
        <v>39</v>
      </c>
    </row>
    <row r="749" spans="1:7" ht="13.2" x14ac:dyDescent="0.25">
      <c r="A749" s="1" t="s">
        <v>33</v>
      </c>
      <c r="B749" t="s">
        <v>638</v>
      </c>
      <c r="C749">
        <v>45</v>
      </c>
      <c r="D749" t="s">
        <v>62</v>
      </c>
      <c r="E749" t="s">
        <v>73</v>
      </c>
      <c r="F749" t="s">
        <v>39</v>
      </c>
      <c r="G749" t="s">
        <v>74</v>
      </c>
    </row>
    <row r="750" spans="1:7" ht="13.2" x14ac:dyDescent="0.25">
      <c r="A750" s="1" t="s">
        <v>33</v>
      </c>
      <c r="B750" t="s">
        <v>639</v>
      </c>
      <c r="C750">
        <v>9</v>
      </c>
      <c r="D750" t="s">
        <v>62</v>
      </c>
      <c r="E750" t="s">
        <v>37</v>
      </c>
      <c r="F750" t="s">
        <v>50</v>
      </c>
      <c r="G750" t="s">
        <v>39</v>
      </c>
    </row>
    <row r="751" spans="1:7" ht="13.2" x14ac:dyDescent="0.25">
      <c r="A751" s="1" t="s">
        <v>33</v>
      </c>
      <c r="B751" t="s">
        <v>640</v>
      </c>
      <c r="C751">
        <v>54</v>
      </c>
      <c r="D751" t="s">
        <v>36</v>
      </c>
      <c r="E751" t="s">
        <v>46</v>
      </c>
      <c r="F751" t="s">
        <v>47</v>
      </c>
      <c r="G751" t="s">
        <v>39</v>
      </c>
    </row>
    <row r="752" spans="1:7" ht="13.2" x14ac:dyDescent="0.25">
      <c r="A752" s="1" t="s">
        <v>33</v>
      </c>
      <c r="B752" t="s">
        <v>641</v>
      </c>
      <c r="C752">
        <v>67</v>
      </c>
      <c r="D752" t="s">
        <v>36</v>
      </c>
      <c r="E752" t="s">
        <v>46</v>
      </c>
      <c r="F752" t="s">
        <v>47</v>
      </c>
      <c r="G752" t="s">
        <v>39</v>
      </c>
    </row>
    <row r="753" spans="1:7" ht="13.2" x14ac:dyDescent="0.25">
      <c r="A753" s="1" t="s">
        <v>33</v>
      </c>
      <c r="B753" t="s">
        <v>642</v>
      </c>
      <c r="C753">
        <v>17</v>
      </c>
      <c r="D753" t="s">
        <v>192</v>
      </c>
      <c r="E753" t="s">
        <v>37</v>
      </c>
      <c r="F753" t="s">
        <v>39</v>
      </c>
      <c r="G753" t="s">
        <v>39</v>
      </c>
    </row>
    <row r="754" spans="1:7" ht="13.2" x14ac:dyDescent="0.25">
      <c r="A754" s="1" t="s">
        <v>33</v>
      </c>
      <c r="B754" t="s">
        <v>643</v>
      </c>
      <c r="C754">
        <v>15</v>
      </c>
      <c r="D754" t="s">
        <v>41</v>
      </c>
      <c r="E754" t="s">
        <v>46</v>
      </c>
      <c r="F754" t="s">
        <v>50</v>
      </c>
      <c r="G754" t="s">
        <v>39</v>
      </c>
    </row>
    <row r="755" spans="1:7" ht="13.2" x14ac:dyDescent="0.25">
      <c r="A755" s="1" t="s">
        <v>33</v>
      </c>
      <c r="B755" t="s">
        <v>644</v>
      </c>
      <c r="C755">
        <v>14</v>
      </c>
      <c r="D755" t="s">
        <v>36</v>
      </c>
      <c r="E755" t="s">
        <v>37</v>
      </c>
      <c r="F755" t="s">
        <v>50</v>
      </c>
      <c r="G755" t="s">
        <v>39</v>
      </c>
    </row>
    <row r="756" spans="1:7" ht="13.2" x14ac:dyDescent="0.25">
      <c r="A756" s="1" t="s">
        <v>33</v>
      </c>
      <c r="B756" t="s">
        <v>645</v>
      </c>
      <c r="C756">
        <v>3</v>
      </c>
      <c r="D756" t="s">
        <v>41</v>
      </c>
      <c r="E756" t="s">
        <v>42</v>
      </c>
      <c r="F756" t="s">
        <v>39</v>
      </c>
      <c r="G756" t="s">
        <v>39</v>
      </c>
    </row>
    <row r="757" spans="1:7" ht="13.2" x14ac:dyDescent="0.25">
      <c r="A757" s="1" t="s">
        <v>33</v>
      </c>
      <c r="B757" t="s">
        <v>646</v>
      </c>
      <c r="C757">
        <v>66</v>
      </c>
      <c r="D757" t="s">
        <v>36</v>
      </c>
      <c r="E757" t="s">
        <v>37</v>
      </c>
      <c r="F757" t="s">
        <v>50</v>
      </c>
      <c r="G757" t="s">
        <v>39</v>
      </c>
    </row>
    <row r="758" spans="1:7" ht="13.2" x14ac:dyDescent="0.25">
      <c r="A758" s="1" t="s">
        <v>33</v>
      </c>
      <c r="B758" t="s">
        <v>647</v>
      </c>
      <c r="C758">
        <v>2</v>
      </c>
      <c r="D758" t="s">
        <v>41</v>
      </c>
      <c r="E758" t="s">
        <v>37</v>
      </c>
      <c r="F758" t="s">
        <v>39</v>
      </c>
      <c r="G758" t="s">
        <v>39</v>
      </c>
    </row>
    <row r="759" spans="1:7" ht="13.2" x14ac:dyDescent="0.25">
      <c r="A759" s="1" t="s">
        <v>33</v>
      </c>
      <c r="B759" t="s">
        <v>648</v>
      </c>
      <c r="C759">
        <v>19</v>
      </c>
      <c r="D759" t="s">
        <v>211</v>
      </c>
      <c r="E759" t="s">
        <v>37</v>
      </c>
      <c r="F759" t="s">
        <v>39</v>
      </c>
      <c r="G759" t="s">
        <v>39</v>
      </c>
    </row>
    <row r="760" spans="1:7" ht="13.2" x14ac:dyDescent="0.25">
      <c r="A760" s="1" t="s">
        <v>33</v>
      </c>
      <c r="B760" t="s">
        <v>649</v>
      </c>
      <c r="C760">
        <v>6</v>
      </c>
      <c r="D760" t="s">
        <v>36</v>
      </c>
      <c r="E760" t="s">
        <v>37</v>
      </c>
      <c r="F760" t="s">
        <v>50</v>
      </c>
      <c r="G760" t="s">
        <v>39</v>
      </c>
    </row>
    <row r="761" spans="1:7" ht="13.2" x14ac:dyDescent="0.25">
      <c r="A761" s="1" t="s">
        <v>33</v>
      </c>
      <c r="B761" t="s">
        <v>650</v>
      </c>
      <c r="C761">
        <v>23</v>
      </c>
      <c r="D761" t="s">
        <v>62</v>
      </c>
      <c r="E761" t="s">
        <v>37</v>
      </c>
      <c r="F761" t="s">
        <v>39</v>
      </c>
      <c r="G761" t="s">
        <v>39</v>
      </c>
    </row>
    <row r="762" spans="1:7" ht="13.2" x14ac:dyDescent="0.25">
      <c r="A762" s="1" t="s">
        <v>33</v>
      </c>
      <c r="B762" t="s">
        <v>651</v>
      </c>
      <c r="C762">
        <v>46</v>
      </c>
      <c r="D762" t="s">
        <v>192</v>
      </c>
      <c r="E762" t="s">
        <v>42</v>
      </c>
      <c r="F762" t="s">
        <v>39</v>
      </c>
      <c r="G762" t="s">
        <v>39</v>
      </c>
    </row>
    <row r="763" spans="1:7" ht="13.2" x14ac:dyDescent="0.25">
      <c r="A763" s="1" t="s">
        <v>33</v>
      </c>
      <c r="B763" t="s">
        <v>652</v>
      </c>
      <c r="C763">
        <v>1</v>
      </c>
      <c r="D763" t="s">
        <v>56</v>
      </c>
      <c r="E763" t="s">
        <v>37</v>
      </c>
      <c r="F763" t="s">
        <v>50</v>
      </c>
      <c r="G763" t="s">
        <v>39</v>
      </c>
    </row>
    <row r="764" spans="1:7" ht="13.2" x14ac:dyDescent="0.25">
      <c r="A764" s="1" t="s">
        <v>33</v>
      </c>
      <c r="B764" t="s">
        <v>653</v>
      </c>
      <c r="C764">
        <v>8</v>
      </c>
      <c r="D764" t="s">
        <v>36</v>
      </c>
      <c r="E764" t="s">
        <v>37</v>
      </c>
      <c r="F764" t="s">
        <v>39</v>
      </c>
      <c r="G764" t="s">
        <v>39</v>
      </c>
    </row>
    <row r="765" spans="1:7" ht="13.2" x14ac:dyDescent="0.25">
      <c r="A765" s="1" t="s">
        <v>33</v>
      </c>
      <c r="B765" t="s">
        <v>654</v>
      </c>
      <c r="C765">
        <v>22</v>
      </c>
      <c r="D765" t="s">
        <v>41</v>
      </c>
      <c r="E765" t="s">
        <v>37</v>
      </c>
      <c r="F765" t="s">
        <v>39</v>
      </c>
      <c r="G765" t="s">
        <v>39</v>
      </c>
    </row>
    <row r="766" spans="1:7" ht="13.2" x14ac:dyDescent="0.25">
      <c r="A766" s="1" t="s">
        <v>33</v>
      </c>
      <c r="B766" t="s">
        <v>655</v>
      </c>
      <c r="C766">
        <v>39</v>
      </c>
      <c r="D766" t="s">
        <v>56</v>
      </c>
      <c r="E766" t="s">
        <v>46</v>
      </c>
      <c r="F766" t="s">
        <v>39</v>
      </c>
      <c r="G766" t="s">
        <v>39</v>
      </c>
    </row>
    <row r="767" spans="1:7" ht="13.2" x14ac:dyDescent="0.25">
      <c r="A767" s="1" t="s">
        <v>33</v>
      </c>
      <c r="B767" t="s">
        <v>656</v>
      </c>
      <c r="C767">
        <v>11</v>
      </c>
      <c r="D767" t="s">
        <v>36</v>
      </c>
      <c r="E767" t="s">
        <v>37</v>
      </c>
      <c r="F767" t="s">
        <v>50</v>
      </c>
      <c r="G767" t="s">
        <v>39</v>
      </c>
    </row>
    <row r="768" spans="1:7" ht="13.2" x14ac:dyDescent="0.25">
      <c r="A768" s="1" t="s">
        <v>33</v>
      </c>
      <c r="B768" t="s">
        <v>657</v>
      </c>
      <c r="C768">
        <v>77</v>
      </c>
      <c r="D768" t="s">
        <v>36</v>
      </c>
      <c r="E768" t="s">
        <v>37</v>
      </c>
      <c r="F768" t="s">
        <v>50</v>
      </c>
      <c r="G768" t="s">
        <v>39</v>
      </c>
    </row>
    <row r="769" spans="1:7" ht="13.2" x14ac:dyDescent="0.25">
      <c r="A769" s="1" t="s">
        <v>33</v>
      </c>
      <c r="B769" t="s">
        <v>658</v>
      </c>
      <c r="C769">
        <v>28</v>
      </c>
      <c r="D769" t="s">
        <v>41</v>
      </c>
      <c r="E769" t="s">
        <v>42</v>
      </c>
      <c r="F769" t="s">
        <v>39</v>
      </c>
      <c r="G769" t="s">
        <v>39</v>
      </c>
    </row>
    <row r="770" spans="1:7" ht="13.2" x14ac:dyDescent="0.25">
      <c r="A770" s="1" t="s">
        <v>33</v>
      </c>
      <c r="B770" t="s">
        <v>659</v>
      </c>
      <c r="C770">
        <v>24</v>
      </c>
      <c r="D770" t="s">
        <v>36</v>
      </c>
      <c r="E770" t="s">
        <v>73</v>
      </c>
      <c r="F770" t="s">
        <v>47</v>
      </c>
      <c r="G770" t="s">
        <v>74</v>
      </c>
    </row>
    <row r="771" spans="1:7" ht="13.2" x14ac:dyDescent="0.25">
      <c r="A771" s="1" t="s">
        <v>33</v>
      </c>
      <c r="B771" t="s">
        <v>660</v>
      </c>
      <c r="C771">
        <v>29</v>
      </c>
      <c r="D771" t="s">
        <v>135</v>
      </c>
      <c r="E771" t="s">
        <v>37</v>
      </c>
      <c r="F771" t="s">
        <v>50</v>
      </c>
      <c r="G771" t="s">
        <v>39</v>
      </c>
    </row>
    <row r="772" spans="1:7" ht="13.2" x14ac:dyDescent="0.25">
      <c r="A772" s="1" t="s">
        <v>33</v>
      </c>
      <c r="B772" t="s">
        <v>661</v>
      </c>
      <c r="C772">
        <v>18</v>
      </c>
      <c r="D772" t="s">
        <v>56</v>
      </c>
      <c r="E772" t="s">
        <v>79</v>
      </c>
      <c r="F772" t="s">
        <v>39</v>
      </c>
      <c r="G772" t="s">
        <v>74</v>
      </c>
    </row>
    <row r="773" spans="1:7" ht="13.2" x14ac:dyDescent="0.25">
      <c r="A773" s="1" t="s">
        <v>33</v>
      </c>
      <c r="B773" t="s">
        <v>662</v>
      </c>
      <c r="C773">
        <v>12</v>
      </c>
      <c r="D773" t="s">
        <v>56</v>
      </c>
      <c r="E773" t="s">
        <v>37</v>
      </c>
      <c r="F773" t="s">
        <v>39</v>
      </c>
      <c r="G773" t="s">
        <v>39</v>
      </c>
    </row>
    <row r="774" spans="1:7" ht="13.2" x14ac:dyDescent="0.25">
      <c r="A774" s="1" t="s">
        <v>33</v>
      </c>
      <c r="B774" t="s">
        <v>663</v>
      </c>
      <c r="C774">
        <v>20</v>
      </c>
      <c r="D774" t="s">
        <v>135</v>
      </c>
      <c r="E774" t="s">
        <v>37</v>
      </c>
      <c r="F774" t="s">
        <v>65</v>
      </c>
      <c r="G774" t="s">
        <v>39</v>
      </c>
    </row>
    <row r="775" spans="1:7" ht="13.2" x14ac:dyDescent="0.25">
      <c r="A775" s="1" t="s">
        <v>33</v>
      </c>
      <c r="B775" t="s">
        <v>664</v>
      </c>
      <c r="C775">
        <v>13</v>
      </c>
      <c r="D775" t="s">
        <v>36</v>
      </c>
      <c r="E775" t="s">
        <v>37</v>
      </c>
      <c r="F775" t="s">
        <v>50</v>
      </c>
      <c r="G775" t="s">
        <v>39</v>
      </c>
    </row>
    <row r="776" spans="1:7" ht="13.2" x14ac:dyDescent="0.25">
      <c r="A776" s="1" t="s">
        <v>33</v>
      </c>
      <c r="B776" t="s">
        <v>665</v>
      </c>
      <c r="C776">
        <v>31</v>
      </c>
      <c r="D776" t="s">
        <v>36</v>
      </c>
      <c r="E776" t="s">
        <v>42</v>
      </c>
      <c r="F776" t="s">
        <v>47</v>
      </c>
      <c r="G776" t="s">
        <v>39</v>
      </c>
    </row>
    <row r="777" spans="1:7" ht="13.2" x14ac:dyDescent="0.25">
      <c r="A777" s="1" t="s">
        <v>33</v>
      </c>
      <c r="B777" t="s">
        <v>666</v>
      </c>
      <c r="C777">
        <v>4</v>
      </c>
      <c r="D777" t="s">
        <v>41</v>
      </c>
      <c r="E777" t="s">
        <v>37</v>
      </c>
      <c r="F777" t="s">
        <v>65</v>
      </c>
      <c r="G777" t="s">
        <v>39</v>
      </c>
    </row>
    <row r="778" spans="1:7" ht="13.2" x14ac:dyDescent="0.25">
      <c r="A778" s="1" t="s">
        <v>33</v>
      </c>
      <c r="B778" t="s">
        <v>83</v>
      </c>
      <c r="C778" t="s">
        <v>39</v>
      </c>
      <c r="D778" t="s">
        <v>39</v>
      </c>
      <c r="E778" t="s">
        <v>39</v>
      </c>
      <c r="F778" t="s">
        <v>39</v>
      </c>
      <c r="G778" t="s">
        <v>39</v>
      </c>
    </row>
    <row r="779" spans="1:7" ht="13.2" x14ac:dyDescent="0.25">
      <c r="A779" s="1" t="s">
        <v>33</v>
      </c>
    </row>
    <row r="780" spans="1:7" ht="13.2" x14ac:dyDescent="0.25">
      <c r="A780" s="1" t="s">
        <v>33</v>
      </c>
    </row>
    <row r="781" spans="1:7" ht="13.2" x14ac:dyDescent="0.25">
      <c r="A781" s="1" t="s">
        <v>33</v>
      </c>
    </row>
    <row r="782" spans="1:7" ht="13.2" x14ac:dyDescent="0.25">
      <c r="A782" s="1" t="s">
        <v>33</v>
      </c>
    </row>
    <row r="783" spans="1:7" ht="13.2" x14ac:dyDescent="0.25">
      <c r="A783" s="1" t="s">
        <v>33</v>
      </c>
    </row>
    <row r="784" spans="1:7" ht="13.2" x14ac:dyDescent="0.25">
      <c r="A784" s="1" t="s">
        <v>33</v>
      </c>
    </row>
    <row r="785" spans="1:7" ht="13.2" x14ac:dyDescent="0.25">
      <c r="A785" s="1" t="s">
        <v>33</v>
      </c>
    </row>
    <row r="786" spans="1:7" ht="13.2" x14ac:dyDescent="0.25">
      <c r="A786" s="1" t="s">
        <v>34</v>
      </c>
      <c r="B786" t="s">
        <v>667</v>
      </c>
      <c r="C786">
        <v>20</v>
      </c>
      <c r="D786" t="s">
        <v>36</v>
      </c>
      <c r="E786" t="s">
        <v>37</v>
      </c>
      <c r="F786" t="s">
        <v>50</v>
      </c>
      <c r="G786" t="s">
        <v>39</v>
      </c>
    </row>
    <row r="787" spans="1:7" ht="13.2" x14ac:dyDescent="0.25">
      <c r="A787" s="1" t="s">
        <v>34</v>
      </c>
      <c r="B787" t="s">
        <v>668</v>
      </c>
      <c r="C787">
        <v>3</v>
      </c>
      <c r="D787" t="s">
        <v>41</v>
      </c>
      <c r="E787" t="s">
        <v>37</v>
      </c>
      <c r="F787" t="s">
        <v>39</v>
      </c>
      <c r="G787" t="s">
        <v>39</v>
      </c>
    </row>
    <row r="788" spans="1:7" ht="13.2" x14ac:dyDescent="0.25">
      <c r="A788" s="1" t="s">
        <v>34</v>
      </c>
      <c r="B788" t="s">
        <v>669</v>
      </c>
      <c r="C788">
        <v>27</v>
      </c>
      <c r="D788" t="s">
        <v>62</v>
      </c>
      <c r="E788" t="s">
        <v>42</v>
      </c>
      <c r="F788" t="s">
        <v>39</v>
      </c>
      <c r="G788" t="s">
        <v>39</v>
      </c>
    </row>
    <row r="789" spans="1:7" ht="13.2" x14ac:dyDescent="0.25">
      <c r="A789" s="1" t="s">
        <v>34</v>
      </c>
      <c r="B789" t="s">
        <v>670</v>
      </c>
      <c r="C789">
        <v>7</v>
      </c>
      <c r="D789" t="s">
        <v>62</v>
      </c>
      <c r="E789" t="s">
        <v>37</v>
      </c>
      <c r="F789" t="s">
        <v>39</v>
      </c>
      <c r="G789" t="s">
        <v>39</v>
      </c>
    </row>
    <row r="790" spans="1:7" ht="13.2" x14ac:dyDescent="0.25">
      <c r="A790" s="1" t="s">
        <v>34</v>
      </c>
      <c r="B790" t="s">
        <v>671</v>
      </c>
      <c r="C790">
        <v>28</v>
      </c>
      <c r="D790" t="s">
        <v>62</v>
      </c>
      <c r="E790" t="s">
        <v>46</v>
      </c>
      <c r="F790" t="s">
        <v>47</v>
      </c>
      <c r="G790" t="s">
        <v>39</v>
      </c>
    </row>
    <row r="791" spans="1:7" ht="13.2" x14ac:dyDescent="0.25">
      <c r="A791" s="1" t="s">
        <v>34</v>
      </c>
      <c r="B791" t="s">
        <v>672</v>
      </c>
      <c r="C791" t="s">
        <v>39</v>
      </c>
      <c r="D791" t="s">
        <v>41</v>
      </c>
      <c r="E791" t="s">
        <v>37</v>
      </c>
      <c r="F791" t="s">
        <v>50</v>
      </c>
      <c r="G791" t="s">
        <v>39</v>
      </c>
    </row>
    <row r="792" spans="1:7" ht="13.2" x14ac:dyDescent="0.25">
      <c r="A792" s="1" t="s">
        <v>34</v>
      </c>
      <c r="B792" t="s">
        <v>673</v>
      </c>
      <c r="C792">
        <v>99</v>
      </c>
      <c r="D792" t="s">
        <v>62</v>
      </c>
      <c r="E792" t="s">
        <v>37</v>
      </c>
      <c r="F792" t="s">
        <v>50</v>
      </c>
      <c r="G792" t="s">
        <v>39</v>
      </c>
    </row>
    <row r="793" spans="1:7" ht="13.2" x14ac:dyDescent="0.25">
      <c r="A793" s="1" t="s">
        <v>34</v>
      </c>
      <c r="B793" t="s">
        <v>674</v>
      </c>
      <c r="C793">
        <v>33</v>
      </c>
      <c r="D793" t="s">
        <v>36</v>
      </c>
      <c r="E793" t="s">
        <v>37</v>
      </c>
      <c r="F793" t="s">
        <v>39</v>
      </c>
      <c r="G793" t="s">
        <v>39</v>
      </c>
    </row>
    <row r="794" spans="1:7" ht="13.2" x14ac:dyDescent="0.25">
      <c r="A794" s="1" t="s">
        <v>34</v>
      </c>
      <c r="B794" t="s">
        <v>675</v>
      </c>
      <c r="C794">
        <v>2</v>
      </c>
      <c r="D794" t="s">
        <v>41</v>
      </c>
      <c r="E794" t="s">
        <v>37</v>
      </c>
      <c r="F794" t="s">
        <v>39</v>
      </c>
      <c r="G794" t="s">
        <v>39</v>
      </c>
    </row>
    <row r="795" spans="1:7" ht="13.2" x14ac:dyDescent="0.25">
      <c r="A795" s="1" t="s">
        <v>34</v>
      </c>
      <c r="B795" t="s">
        <v>676</v>
      </c>
      <c r="C795">
        <v>8</v>
      </c>
      <c r="D795" t="s">
        <v>36</v>
      </c>
      <c r="E795" t="s">
        <v>37</v>
      </c>
      <c r="F795" t="s">
        <v>38</v>
      </c>
      <c r="G795" t="s">
        <v>39</v>
      </c>
    </row>
    <row r="796" spans="1:7" ht="13.2" x14ac:dyDescent="0.25">
      <c r="A796" s="1" t="s">
        <v>34</v>
      </c>
      <c r="B796" t="s">
        <v>677</v>
      </c>
      <c r="C796">
        <v>5</v>
      </c>
      <c r="D796" t="s">
        <v>41</v>
      </c>
      <c r="E796" t="s">
        <v>37</v>
      </c>
      <c r="F796" t="s">
        <v>39</v>
      </c>
      <c r="G796" t="s">
        <v>39</v>
      </c>
    </row>
    <row r="797" spans="1:7" ht="13.2" x14ac:dyDescent="0.25">
      <c r="A797" s="1" t="s">
        <v>34</v>
      </c>
      <c r="B797" t="s">
        <v>577</v>
      </c>
      <c r="C797">
        <v>11</v>
      </c>
      <c r="D797" t="s">
        <v>36</v>
      </c>
      <c r="E797" t="s">
        <v>46</v>
      </c>
      <c r="F797" t="s">
        <v>47</v>
      </c>
      <c r="G797" t="s">
        <v>39</v>
      </c>
    </row>
    <row r="798" spans="1:7" ht="13.2" x14ac:dyDescent="0.25">
      <c r="A798" s="1" t="s">
        <v>34</v>
      </c>
      <c r="B798" t="s">
        <v>678</v>
      </c>
      <c r="C798">
        <v>22</v>
      </c>
      <c r="D798" t="s">
        <v>56</v>
      </c>
      <c r="E798" t="s">
        <v>117</v>
      </c>
      <c r="F798" t="s">
        <v>50</v>
      </c>
      <c r="G798" t="s">
        <v>118</v>
      </c>
    </row>
    <row r="799" spans="1:7" ht="13.2" x14ac:dyDescent="0.25">
      <c r="A799" s="1" t="s">
        <v>34</v>
      </c>
      <c r="B799" t="s">
        <v>679</v>
      </c>
      <c r="C799">
        <v>13</v>
      </c>
      <c r="D799" t="s">
        <v>56</v>
      </c>
      <c r="E799" t="s">
        <v>37</v>
      </c>
      <c r="F799" t="s">
        <v>39</v>
      </c>
      <c r="G799" t="s">
        <v>39</v>
      </c>
    </row>
    <row r="800" spans="1:7" ht="13.2" x14ac:dyDescent="0.25">
      <c r="A800" s="1" t="s">
        <v>34</v>
      </c>
      <c r="B800" t="s">
        <v>680</v>
      </c>
      <c r="C800">
        <v>16</v>
      </c>
      <c r="D800" t="s">
        <v>36</v>
      </c>
      <c r="E800" t="s">
        <v>37</v>
      </c>
      <c r="F800" t="s">
        <v>39</v>
      </c>
      <c r="G800" t="s">
        <v>39</v>
      </c>
    </row>
    <row r="801" spans="1:7" ht="13.2" x14ac:dyDescent="0.25">
      <c r="A801" s="1" t="s">
        <v>34</v>
      </c>
      <c r="B801" t="s">
        <v>681</v>
      </c>
      <c r="C801">
        <v>1</v>
      </c>
      <c r="D801" t="s">
        <v>56</v>
      </c>
      <c r="E801" t="s">
        <v>37</v>
      </c>
      <c r="F801" t="s">
        <v>39</v>
      </c>
      <c r="G801" t="s">
        <v>39</v>
      </c>
    </row>
    <row r="802" spans="1:7" ht="13.2" x14ac:dyDescent="0.25">
      <c r="A802" s="1" t="s">
        <v>34</v>
      </c>
      <c r="B802" t="s">
        <v>682</v>
      </c>
      <c r="C802">
        <v>44</v>
      </c>
      <c r="D802" t="s">
        <v>41</v>
      </c>
      <c r="E802" t="s">
        <v>42</v>
      </c>
      <c r="F802" t="s">
        <v>50</v>
      </c>
      <c r="G802" t="s">
        <v>39</v>
      </c>
    </row>
    <row r="803" spans="1:7" ht="13.2" x14ac:dyDescent="0.25">
      <c r="A803" s="1" t="s">
        <v>34</v>
      </c>
      <c r="B803" t="s">
        <v>683</v>
      </c>
      <c r="C803">
        <v>20</v>
      </c>
      <c r="D803" t="s">
        <v>36</v>
      </c>
      <c r="E803" t="s">
        <v>42</v>
      </c>
      <c r="F803" t="s">
        <v>39</v>
      </c>
      <c r="G803" t="s">
        <v>39</v>
      </c>
    </row>
    <row r="804" spans="1:7" ht="13.2" x14ac:dyDescent="0.25">
      <c r="A804" s="1" t="s">
        <v>34</v>
      </c>
      <c r="B804" t="s">
        <v>684</v>
      </c>
      <c r="C804">
        <v>24</v>
      </c>
      <c r="D804" t="s">
        <v>36</v>
      </c>
      <c r="E804" t="s">
        <v>37</v>
      </c>
      <c r="F804" t="s">
        <v>39</v>
      </c>
      <c r="G804" t="s">
        <v>39</v>
      </c>
    </row>
    <row r="805" spans="1:7" ht="13.2" x14ac:dyDescent="0.25">
      <c r="A805" s="1" t="s">
        <v>34</v>
      </c>
      <c r="B805" t="s">
        <v>685</v>
      </c>
      <c r="C805" t="s">
        <v>39</v>
      </c>
      <c r="D805" t="s">
        <v>62</v>
      </c>
      <c r="E805" t="s">
        <v>46</v>
      </c>
      <c r="F805" t="s">
        <v>39</v>
      </c>
      <c r="G805" t="s">
        <v>39</v>
      </c>
    </row>
    <row r="806" spans="1:7" ht="13.2" x14ac:dyDescent="0.25">
      <c r="A806" s="1" t="s">
        <v>34</v>
      </c>
      <c r="B806" t="s">
        <v>686</v>
      </c>
      <c r="C806">
        <v>21</v>
      </c>
      <c r="D806" t="s">
        <v>62</v>
      </c>
      <c r="E806" t="s">
        <v>37</v>
      </c>
      <c r="F806" t="s">
        <v>39</v>
      </c>
      <c r="G806" t="s">
        <v>39</v>
      </c>
    </row>
    <row r="807" spans="1:7" ht="13.2" x14ac:dyDescent="0.25">
      <c r="A807" s="1" t="s">
        <v>34</v>
      </c>
      <c r="B807" t="s">
        <v>687</v>
      </c>
      <c r="C807">
        <v>18</v>
      </c>
      <c r="D807" t="s">
        <v>56</v>
      </c>
      <c r="E807" t="s">
        <v>42</v>
      </c>
      <c r="F807" t="s">
        <v>39</v>
      </c>
      <c r="G807" t="s">
        <v>39</v>
      </c>
    </row>
    <row r="808" spans="1:7" ht="13.2" x14ac:dyDescent="0.25">
      <c r="A808" s="1" t="s">
        <v>34</v>
      </c>
      <c r="B808" t="s">
        <v>688</v>
      </c>
      <c r="C808">
        <v>9</v>
      </c>
      <c r="D808" t="s">
        <v>62</v>
      </c>
      <c r="E808" t="s">
        <v>37</v>
      </c>
      <c r="F808" t="s">
        <v>38</v>
      </c>
      <c r="G808" t="s">
        <v>39</v>
      </c>
    </row>
    <row r="809" spans="1:7" ht="13.2" x14ac:dyDescent="0.25">
      <c r="A809" s="1" t="s">
        <v>34</v>
      </c>
      <c r="B809" t="s">
        <v>689</v>
      </c>
      <c r="C809" t="s">
        <v>39</v>
      </c>
      <c r="D809" t="s">
        <v>62</v>
      </c>
      <c r="E809" t="s">
        <v>73</v>
      </c>
      <c r="F809" t="s">
        <v>50</v>
      </c>
      <c r="G809" t="s">
        <v>74</v>
      </c>
    </row>
    <row r="810" spans="1:7" ht="13.2" x14ac:dyDescent="0.25">
      <c r="A810" s="1" t="s">
        <v>34</v>
      </c>
      <c r="B810" t="s">
        <v>690</v>
      </c>
      <c r="C810">
        <v>21</v>
      </c>
      <c r="D810" t="s">
        <v>62</v>
      </c>
      <c r="E810" t="s">
        <v>37</v>
      </c>
      <c r="F810" t="s">
        <v>50</v>
      </c>
      <c r="G810" t="s">
        <v>39</v>
      </c>
    </row>
    <row r="811" spans="1:7" ht="13.2" x14ac:dyDescent="0.25">
      <c r="A811" s="1" t="s">
        <v>34</v>
      </c>
      <c r="B811" t="s">
        <v>691</v>
      </c>
      <c r="C811">
        <v>10</v>
      </c>
      <c r="D811" t="s">
        <v>62</v>
      </c>
      <c r="E811" t="s">
        <v>37</v>
      </c>
      <c r="F811" t="s">
        <v>38</v>
      </c>
      <c r="G811" t="s">
        <v>39</v>
      </c>
    </row>
    <row r="812" spans="1:7" ht="13.2" x14ac:dyDescent="0.25">
      <c r="A812" s="1" t="s">
        <v>34</v>
      </c>
      <c r="B812" t="s">
        <v>692</v>
      </c>
      <c r="C812">
        <v>25</v>
      </c>
      <c r="D812" t="s">
        <v>41</v>
      </c>
      <c r="E812" t="s">
        <v>37</v>
      </c>
      <c r="F812" t="s">
        <v>39</v>
      </c>
      <c r="G812" t="s">
        <v>39</v>
      </c>
    </row>
    <row r="813" spans="1:7" ht="13.2" x14ac:dyDescent="0.25">
      <c r="A813" s="1" t="s">
        <v>34</v>
      </c>
      <c r="B813" t="s">
        <v>39</v>
      </c>
      <c r="C813" t="s">
        <v>39</v>
      </c>
      <c r="D813" t="s">
        <v>39</v>
      </c>
      <c r="E813" t="s">
        <v>39</v>
      </c>
      <c r="F813" t="s">
        <v>39</v>
      </c>
      <c r="G813" t="s">
        <v>39</v>
      </c>
    </row>
    <row r="814" spans="1:7" ht="13.2" x14ac:dyDescent="0.25">
      <c r="A814" s="1" t="s">
        <v>34</v>
      </c>
      <c r="B814" t="s">
        <v>39</v>
      </c>
      <c r="C814" t="s">
        <v>39</v>
      </c>
      <c r="D814" t="s">
        <v>39</v>
      </c>
      <c r="E814" t="s">
        <v>39</v>
      </c>
      <c r="F814" t="s">
        <v>39</v>
      </c>
      <c r="G814" t="s">
        <v>39</v>
      </c>
    </row>
    <row r="815" spans="1:7" ht="13.2" x14ac:dyDescent="0.25">
      <c r="A815" s="1" t="s">
        <v>34</v>
      </c>
      <c r="B815" t="s">
        <v>39</v>
      </c>
      <c r="C815" t="s">
        <v>39</v>
      </c>
      <c r="D815" t="s">
        <v>39</v>
      </c>
      <c r="E815" t="s">
        <v>39</v>
      </c>
      <c r="F815" t="s">
        <v>39</v>
      </c>
      <c r="G815" t="s">
        <v>39</v>
      </c>
    </row>
    <row r="816" spans="1:7" ht="13.2" x14ac:dyDescent="0.25">
      <c r="A816" s="1" t="s">
        <v>34</v>
      </c>
      <c r="B816" t="s">
        <v>120</v>
      </c>
      <c r="C816" t="s">
        <v>39</v>
      </c>
      <c r="D816" t="s">
        <v>39</v>
      </c>
      <c r="E816" t="s">
        <v>39</v>
      </c>
      <c r="F816" t="s">
        <v>39</v>
      </c>
      <c r="G816" t="s">
        <v>39</v>
      </c>
    </row>
    <row r="817" spans="1:7" ht="13.2" x14ac:dyDescent="0.25">
      <c r="A817" s="1" t="s">
        <v>34</v>
      </c>
      <c r="B817" t="s">
        <v>84</v>
      </c>
      <c r="C817" t="s">
        <v>39</v>
      </c>
      <c r="D817" t="s">
        <v>39</v>
      </c>
      <c r="E817" t="s">
        <v>39</v>
      </c>
      <c r="F817" t="s">
        <v>39</v>
      </c>
      <c r="G817" t="s">
        <v>39</v>
      </c>
    </row>
    <row r="818" spans="1:7" ht="13.2" x14ac:dyDescent="0.25">
      <c r="A818" s="1" t="s">
        <v>34</v>
      </c>
      <c r="B818" t="s">
        <v>693</v>
      </c>
      <c r="C818">
        <v>17</v>
      </c>
      <c r="D818" t="s">
        <v>36</v>
      </c>
      <c r="E818" t="s">
        <v>200</v>
      </c>
      <c r="F818" t="s">
        <v>201</v>
      </c>
      <c r="G818" t="s">
        <v>39</v>
      </c>
    </row>
    <row r="819" spans="1:7" ht="13.2" x14ac:dyDescent="0.25">
      <c r="A819" s="1" t="s">
        <v>34</v>
      </c>
      <c r="B819" t="s">
        <v>694</v>
      </c>
      <c r="C819" t="s">
        <v>39</v>
      </c>
      <c r="D819" t="s">
        <v>39</v>
      </c>
      <c r="E819" t="s">
        <v>88</v>
      </c>
      <c r="F819" t="s">
        <v>89</v>
      </c>
      <c r="G819" t="s">
        <v>39</v>
      </c>
    </row>
    <row r="820" spans="1:7" ht="13.2" x14ac:dyDescent="0.25">
      <c r="A820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29"/>
  <sheetViews>
    <sheetView workbookViewId="0"/>
  </sheetViews>
  <sheetFormatPr defaultColWidth="14.44140625" defaultRowHeight="15.75" customHeight="1" x14ac:dyDescent="0.25"/>
  <cols>
    <col min="1" max="1" width="26.109375" customWidth="1"/>
    <col min="2" max="2" width="28.5546875" customWidth="1"/>
    <col min="3" max="3" width="45.88671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t="str">
        <f ca="1">IFERROR(__xludf.DUMMYFUNCTION("IMPORTHTML(""https://www.mlssoccer.com/media-resources/2018-tam-players"",""table"",1)"),"*PLAYER*")</f>
        <v>*PLAYER*</v>
      </c>
      <c r="B2" t="str">
        <f ca="1">IFERROR(__xludf.DUMMYFUNCTION("""COMPUTED_VALUE"""),"*TEAM*")</f>
        <v>*TEAM*</v>
      </c>
      <c r="C2" s="1" t="str">
        <f ca="1">IFERROR(__xludf.DUMMYFUNCTION("""COMPUTED_VALUE"""),"*METHOD OF TAM USE*")</f>
        <v>*METHOD OF TAM USE*</v>
      </c>
      <c r="D2" s="1" t="s">
        <v>12</v>
      </c>
      <c r="E2" s="1">
        <v>1</v>
      </c>
    </row>
    <row r="3" spans="1:5" ht="15.75" customHeight="1" x14ac:dyDescent="0.25">
      <c r="A3" t="str">
        <f ca="1">IFERROR(__xludf.DUMMYFUNCTION("""COMPUTED_VALUE"""),"Accam, David")</f>
        <v>Accam, David</v>
      </c>
      <c r="B3" t="str">
        <f ca="1">IFERROR(__xludf.DUMMYFUNCTION("""COMPUTED_VALUE"""),"Philadelphia Union")</f>
        <v>Philadelphia Union</v>
      </c>
      <c r="C3" s="1" t="str">
        <f ca="1">IFERROR(__xludf.DUMMYFUNCTION("""COMPUTED_VALUE"""),"Converted from DP to non-DP in 2018")</f>
        <v>Converted from DP to non-DP in 2018</v>
      </c>
      <c r="D3" s="1" t="s">
        <v>12</v>
      </c>
      <c r="E3" s="1">
        <v>1</v>
      </c>
    </row>
    <row r="4" spans="1:5" ht="15.75" customHeight="1" x14ac:dyDescent="0.25">
      <c r="A4" t="str">
        <f ca="1">IFERROR(__xludf.DUMMYFUNCTION("""COMPUTED_VALUE"""),"Acosta, Luciano")</f>
        <v>Acosta, Luciano</v>
      </c>
      <c r="B4" t="str">
        <f ca="1">IFERROR(__xludf.DUMMYFUNCTION("""COMPUTED_VALUE"""),"D.C. United")</f>
        <v>D.C. United</v>
      </c>
      <c r="C4" s="1" t="str">
        <f ca="1">IFERROR(__xludf.DUMMYFUNCTION("""COMPUTED_VALUE"""),"New Player")</f>
        <v>New Player</v>
      </c>
      <c r="D4" s="1" t="s">
        <v>12</v>
      </c>
      <c r="E4" s="1">
        <v>1</v>
      </c>
    </row>
    <row r="5" spans="1:5" ht="15.75" customHeight="1" x14ac:dyDescent="0.25">
      <c r="A5" t="str">
        <f ca="1">IFERROR(__xludf.DUMMYFUNCTION("""COMPUTED_VALUE"""),"Adjei-Boateng, Bismark")</f>
        <v>Adjei-Boateng, Bismark</v>
      </c>
      <c r="B5" t="str">
        <f ca="1">IFERROR(__xludf.DUMMYFUNCTION("""COMPUTED_VALUE"""),"Colorado Rapids")</f>
        <v>Colorado Rapids</v>
      </c>
      <c r="C5" s="1" t="str">
        <f ca="1">IFERROR(__xludf.DUMMYFUNCTION("""COMPUTED_VALUE"""),"New Player")</f>
        <v>New Player</v>
      </c>
      <c r="D5" s="1" t="s">
        <v>12</v>
      </c>
      <c r="E5" s="1">
        <v>1</v>
      </c>
    </row>
    <row r="6" spans="1:5" ht="15.75" customHeight="1" x14ac:dyDescent="0.25">
      <c r="A6" t="str">
        <f ca="1">IFERROR(__xludf.DUMMYFUNCTION("""COMPUTED_VALUE"""),"Aigner, Stefan")</f>
        <v>Aigner, Stefan</v>
      </c>
      <c r="B6" t="str">
        <f ca="1">IFERROR(__xludf.DUMMYFUNCTION("""COMPUTED_VALUE"""),"Colorado Rapids")</f>
        <v>Colorado Rapids</v>
      </c>
      <c r="C6" s="1" t="str">
        <f ca="1">IFERROR(__xludf.DUMMYFUNCTION("""COMPUTED_VALUE"""),"New Player")</f>
        <v>New Player</v>
      </c>
      <c r="D6" s="1" t="s">
        <v>12</v>
      </c>
      <c r="E6" s="1">
        <v>1</v>
      </c>
    </row>
    <row r="7" spans="1:5" ht="15.75" customHeight="1" x14ac:dyDescent="0.25">
      <c r="A7" t="str">
        <f ca="1">IFERROR(__xludf.DUMMYFUNCTION("""COMPUTED_VALUE"""),"Aketxe, Ager")</f>
        <v>Aketxe, Ager</v>
      </c>
      <c r="B7" t="str">
        <f ca="1">IFERROR(__xludf.DUMMYFUNCTION("""COMPUTED_VALUE"""),"Toronto FC")</f>
        <v>Toronto FC</v>
      </c>
      <c r="C7" s="1" t="str">
        <f ca="1">IFERROR(__xludf.DUMMYFUNCTION("""COMPUTED_VALUE"""),"New Player")</f>
        <v>New Player</v>
      </c>
      <c r="D7" s="1" t="s">
        <v>12</v>
      </c>
      <c r="E7" s="1">
        <v>1</v>
      </c>
    </row>
    <row r="8" spans="1:5" ht="15.75" customHeight="1" x14ac:dyDescent="0.25">
      <c r="A8" t="str">
        <f ca="1">IFERROR(__xludf.DUMMYFUNCTION("""COMPUTED_VALUE"""),"Alonso, Osvaldo *")</f>
        <v>Alonso, Osvaldo *</v>
      </c>
      <c r="B8" t="str">
        <f ca="1">IFERROR(__xludf.DUMMYFUNCTION("""COMPUTED_VALUE"""),"Seattle Sounders FC")</f>
        <v>Seattle Sounders FC</v>
      </c>
      <c r="C8" s="1" t="str">
        <f ca="1">IFERROR(__xludf.DUMMYFUNCTION("""COMPUTED_VALUE"""),"Re-Signed Player")</f>
        <v>Re-Signed Player</v>
      </c>
      <c r="D8" s="1" t="s">
        <v>12</v>
      </c>
      <c r="E8" s="1">
        <v>1</v>
      </c>
    </row>
    <row r="9" spans="1:5" ht="15.75" customHeight="1" x14ac:dyDescent="0.25">
      <c r="A9" t="str">
        <f ca="1">IFERROR(__xludf.DUMMYFUNCTION("""COMPUTED_VALUE"""),"Aranguiz, Pablo *")</f>
        <v>Aranguiz, Pablo *</v>
      </c>
      <c r="B9" t="str">
        <f ca="1">IFERROR(__xludf.DUMMYFUNCTION("""COMPUTED_VALUE"""),"FC Dallas")</f>
        <v>FC Dallas</v>
      </c>
      <c r="C9" s="1" t="str">
        <f ca="1">IFERROR(__xludf.DUMMYFUNCTION("""COMPUTED_VALUE"""),"New Player")</f>
        <v>New Player</v>
      </c>
      <c r="D9" s="1" t="s">
        <v>12</v>
      </c>
      <c r="E9" s="1">
        <v>1</v>
      </c>
    </row>
    <row r="10" spans="1:5" ht="15.75" customHeight="1" x14ac:dyDescent="0.25">
      <c r="A10" t="str">
        <f ca="1">IFERROR(__xludf.DUMMYFUNCTION("""COMPUTED_VALUE"""),"Armenteros, Samuel")</f>
        <v>Armenteros, Samuel</v>
      </c>
      <c r="B10" t="str">
        <f ca="1">IFERROR(__xludf.DUMMYFUNCTION("""COMPUTED_VALUE"""),"Portland Timbers")</f>
        <v>Portland Timbers</v>
      </c>
      <c r="C10" s="1" t="str">
        <f ca="1">IFERROR(__xludf.DUMMYFUNCTION("""COMPUTED_VALUE"""),"New Player")</f>
        <v>New Player</v>
      </c>
      <c r="D10" s="1" t="s">
        <v>12</v>
      </c>
      <c r="E10" s="1">
        <v>1</v>
      </c>
    </row>
    <row r="11" spans="1:5" ht="15.75" customHeight="1" x14ac:dyDescent="0.25">
      <c r="A11" t="str">
        <f ca="1">IFERROR(__xludf.DUMMYFUNCTION("""COMPUTED_VALUE"""),"Artur")</f>
        <v>Artur</v>
      </c>
      <c r="B11" t="str">
        <f ca="1">IFERROR(__xludf.DUMMYFUNCTION("""COMPUTED_VALUE"""),"Columbus Crew SC")</f>
        <v>Columbus Crew SC</v>
      </c>
      <c r="C11" s="1" t="str">
        <f ca="1">IFERROR(__xludf.DUMMYFUNCTION("""COMPUTED_VALUE"""),"New Player (Transfer Exercised)")</f>
        <v>New Player (Transfer Exercised)</v>
      </c>
      <c r="D11" s="1" t="s">
        <v>12</v>
      </c>
      <c r="E11" s="1">
        <v>1</v>
      </c>
    </row>
    <row r="12" spans="1:5" ht="15.75" customHeight="1" x14ac:dyDescent="0.25">
      <c r="A12" t="str">
        <f ca="1">IFERROR(__xludf.DUMMYFUNCTION("""COMPUTED_VALUE"""),"Asad, Yamil")</f>
        <v>Asad, Yamil</v>
      </c>
      <c r="B12" t="str">
        <f ca="1">IFERROR(__xludf.DUMMYFUNCTION("""COMPUTED_VALUE"""),"D.C. United")</f>
        <v>D.C. United</v>
      </c>
      <c r="C12" s="1" t="str">
        <f ca="1">IFERROR(__xludf.DUMMYFUNCTION("""COMPUTED_VALUE"""),"New Player")</f>
        <v>New Player</v>
      </c>
      <c r="D12" s="1" t="s">
        <v>12</v>
      </c>
      <c r="E12" s="1">
        <v>1</v>
      </c>
    </row>
    <row r="13" spans="1:5" ht="15.75" customHeight="1" x14ac:dyDescent="0.25">
      <c r="A13" t="str">
        <f ca="1">IFERROR(__xludf.DUMMYFUNCTION("""COMPUTED_VALUE"""),"Ascues, Carlos *")</f>
        <v>Ascues, Carlos *</v>
      </c>
      <c r="B13" t="str">
        <f ca="1">IFERROR(__xludf.DUMMYFUNCTION("""COMPUTED_VALUE"""),"Orlando City SC")</f>
        <v>Orlando City SC</v>
      </c>
      <c r="C13" s="1" t="str">
        <f ca="1">IFERROR(__xludf.DUMMYFUNCTION("""COMPUTED_VALUE"""),"New Player")</f>
        <v>New Player</v>
      </c>
      <c r="D13" s="1" t="s">
        <v>12</v>
      </c>
      <c r="E13" s="1">
        <v>1</v>
      </c>
    </row>
    <row r="14" spans="1:5" ht="15.75" customHeight="1" x14ac:dyDescent="0.25">
      <c r="A14" t="str">
        <f ca="1">IFERROR(__xludf.DUMMYFUNCTION("""COMPUTED_VALUE"""),"Atuesta, Eduard")</f>
        <v>Atuesta, Eduard</v>
      </c>
      <c r="B14" t="str">
        <f ca="1">IFERROR(__xludf.DUMMYFUNCTION("""COMPUTED_VALUE"""),"Los Angeles Football Club")</f>
        <v>Los Angeles Football Club</v>
      </c>
      <c r="C14" s="1" t="str">
        <f ca="1">IFERROR(__xludf.DUMMYFUNCTION("""COMPUTED_VALUE"""),"New Player")</f>
        <v>New Player</v>
      </c>
      <c r="D14" s="1" t="s">
        <v>12</v>
      </c>
      <c r="E14" s="1">
        <v>1</v>
      </c>
    </row>
    <row r="15" spans="1:5" ht="15.75" customHeight="1" x14ac:dyDescent="0.25">
      <c r="A15" t="str">
        <f ca="1">IFERROR(__xludf.DUMMYFUNCTION("""COMPUTED_VALUE"""),"Barrios, Michael")</f>
        <v>Barrios, Michael</v>
      </c>
      <c r="B15" t="str">
        <f ca="1">IFERROR(__xludf.DUMMYFUNCTION("""COMPUTED_VALUE"""),"FC Dallas")</f>
        <v>FC Dallas</v>
      </c>
      <c r="C15" s="1" t="str">
        <f ca="1">IFERROR(__xludf.DUMMYFUNCTION("""COMPUTED_VALUE"""),"New Player (Transfer Exercised)")</f>
        <v>New Player (Transfer Exercised)</v>
      </c>
      <c r="D15" s="1" t="s">
        <v>12</v>
      </c>
      <c r="E15" s="1">
        <v>1</v>
      </c>
    </row>
    <row r="16" spans="1:5" ht="15.75" customHeight="1" x14ac:dyDescent="0.25">
      <c r="A16" t="str">
        <f ca="1">IFERROR(__xludf.DUMMYFUNCTION("""COMPUTED_VALUE"""),"Berget, Jo Inge")</f>
        <v>Berget, Jo Inge</v>
      </c>
      <c r="B16" t="str">
        <f ca="1">IFERROR(__xludf.DUMMYFUNCTION("""COMPUTED_VALUE"""),"New York City FC")</f>
        <v>New York City FC</v>
      </c>
      <c r="C16" s="1" t="str">
        <f ca="1">IFERROR(__xludf.DUMMYFUNCTION("""COMPUTED_VALUE"""),"New Player")</f>
        <v>New Player</v>
      </c>
      <c r="D16" s="1" t="s">
        <v>12</v>
      </c>
      <c r="E16" s="1">
        <v>1</v>
      </c>
    </row>
    <row r="17" spans="1:5" ht="15.75" customHeight="1" x14ac:dyDescent="0.25">
      <c r="A17" t="str">
        <f ca="1">IFERROR(__xludf.DUMMYFUNCTION("""COMPUTED_VALUE"""),"Besler, Matt")</f>
        <v>Besler, Matt</v>
      </c>
      <c r="B17" t="str">
        <f ca="1">IFERROR(__xludf.DUMMYFUNCTION("""COMPUTED_VALUE"""),"Sporting Kansas City")</f>
        <v>Sporting Kansas City</v>
      </c>
      <c r="C17" s="1" t="str">
        <f ca="1">IFERROR(__xludf.DUMMYFUNCTION("""COMPUTED_VALUE"""),"Converted from DP to non-DP in 2016")</f>
        <v>Converted from DP to non-DP in 2016</v>
      </c>
      <c r="D17" s="1" t="s">
        <v>12</v>
      </c>
      <c r="E17" s="1">
        <v>1</v>
      </c>
    </row>
    <row r="18" spans="1:5" ht="15.75" customHeight="1" x14ac:dyDescent="0.25">
      <c r="A18" t="str">
        <f ca="1">IFERROR(__xludf.DUMMYFUNCTION("""COMPUTED_VALUE"""),"Birnbaum, Steve")</f>
        <v>Birnbaum, Steve</v>
      </c>
      <c r="B18" t="str">
        <f ca="1">IFERROR(__xludf.DUMMYFUNCTION("""COMPUTED_VALUE"""),"D.C. United")</f>
        <v>D.C. United</v>
      </c>
      <c r="C18" s="1" t="str">
        <f ca="1">IFERROR(__xludf.DUMMYFUNCTION("""COMPUTED_VALUE"""),"New Player (Loan Renewed)")</f>
        <v>New Player (Loan Renewed)</v>
      </c>
      <c r="D18" s="1" t="s">
        <v>12</v>
      </c>
      <c r="E18" s="1">
        <v>1</v>
      </c>
    </row>
    <row r="19" spans="1:5" ht="15.75" customHeight="1" x14ac:dyDescent="0.25">
      <c r="A19" t="str">
        <f ca="1">IFERROR(__xludf.DUMMYFUNCTION("""COMPUTED_VALUE"""),"Blake, Andre")</f>
        <v>Blake, Andre</v>
      </c>
      <c r="B19" t="str">
        <f ca="1">IFERROR(__xludf.DUMMYFUNCTION("""COMPUTED_VALUE"""),"Philadelphia Union")</f>
        <v>Philadelphia Union</v>
      </c>
      <c r="C19" s="1" t="str">
        <f ca="1">IFERROR(__xludf.DUMMYFUNCTION("""COMPUTED_VALUE"""),"Re-Signed Player")</f>
        <v>Re-Signed Player</v>
      </c>
      <c r="D19" s="1" t="s">
        <v>12</v>
      </c>
      <c r="E19" s="1">
        <v>1</v>
      </c>
    </row>
    <row r="20" spans="1:5" ht="15.75" customHeight="1" x14ac:dyDescent="0.25">
      <c r="A20" t="str">
        <f ca="1">IFERROR(__xludf.DUMMYFUNCTION("""COMPUTED_VALUE"""),"Blondell, Anthony")</f>
        <v>Blondell, Anthony</v>
      </c>
      <c r="B20" t="str">
        <f ca="1">IFERROR(__xludf.DUMMYFUNCTION("""COMPUTED_VALUE"""),"Vancouver Whitecaps FC")</f>
        <v>Vancouver Whitecaps FC</v>
      </c>
      <c r="C20" s="1" t="str">
        <f ca="1">IFERROR(__xludf.DUMMYFUNCTION("""COMPUTED_VALUE"""),"New Player")</f>
        <v>New Player</v>
      </c>
      <c r="D20" s="1" t="s">
        <v>12</v>
      </c>
      <c r="E20" s="1">
        <v>1</v>
      </c>
    </row>
    <row r="21" spans="1:5" ht="15.75" customHeight="1" x14ac:dyDescent="0.25">
      <c r="A21" t="str">
        <f ca="1">IFERROR(__xludf.DUMMYFUNCTION("""COMPUTED_VALUE"""),"Boli, Yannick *")</f>
        <v>Boli, Yannick *</v>
      </c>
      <c r="B21" t="str">
        <f ca="1">IFERROR(__xludf.DUMMYFUNCTION("""COMPUTED_VALUE"""),"Colorado Rapids")</f>
        <v>Colorado Rapids</v>
      </c>
      <c r="C21" s="1" t="str">
        <f ca="1">IFERROR(__xludf.DUMMYFUNCTION("""COMPUTED_VALUE"""),"New Player")</f>
        <v>New Player</v>
      </c>
      <c r="D21" s="1" t="s">
        <v>12</v>
      </c>
      <c r="E21" s="1">
        <v>1</v>
      </c>
    </row>
    <row r="22" spans="1:5" ht="15.75" customHeight="1" x14ac:dyDescent="0.25">
      <c r="A22" t="str">
        <f ca="1">IFERROR(__xludf.DUMMYFUNCTION("""COMPUTED_VALUE"""),"Cabezas, Juan")</f>
        <v>Cabezas, Juan</v>
      </c>
      <c r="B22" t="str">
        <f ca="1">IFERROR(__xludf.DUMMYFUNCTION("""COMPUTED_VALUE"""),"Houston Dynamo")</f>
        <v>Houston Dynamo</v>
      </c>
      <c r="C22" s="1" t="str">
        <f ca="1">IFERROR(__xludf.DUMMYFUNCTION("""COMPUTED_VALUE"""),"New Player")</f>
        <v>New Player</v>
      </c>
      <c r="D22" s="1" t="s">
        <v>12</v>
      </c>
      <c r="E22" s="1">
        <v>1</v>
      </c>
    </row>
    <row r="23" spans="1:5" ht="15.75" customHeight="1" x14ac:dyDescent="0.25">
      <c r="A23" t="str">
        <f ca="1">IFERROR(__xludf.DUMMYFUNCTION("""COMPUTED_VALUE"""),"Caicedo, Luis Alberto *")</f>
        <v>Caicedo, Luis Alberto *</v>
      </c>
      <c r="B23" t="str">
        <f ca="1">IFERROR(__xludf.DUMMYFUNCTION("""COMPUTED_VALUE"""),"New England Revolution")</f>
        <v>New England Revolution</v>
      </c>
      <c r="C23" s="1" t="str">
        <f ca="1">IFERROR(__xludf.DUMMYFUNCTION("""COMPUTED_VALUE"""),"New Player")</f>
        <v>New Player</v>
      </c>
      <c r="D23" s="1" t="s">
        <v>12</v>
      </c>
      <c r="E23" s="1">
        <v>1</v>
      </c>
    </row>
    <row r="24" spans="1:5" ht="13.2" x14ac:dyDescent="0.25">
      <c r="A24" t="str">
        <f ca="1">IFERROR(__xludf.DUMMYFUNCTION("""COMPUTED_VALUE"""),"Callens, Alexander *")</f>
        <v>Callens, Alexander *</v>
      </c>
      <c r="B24" t="str">
        <f ca="1">IFERROR(__xludf.DUMMYFUNCTION("""COMPUTED_VALUE"""),"New York City FC")</f>
        <v>New York City FC</v>
      </c>
      <c r="C24" s="1" t="str">
        <f ca="1">IFERROR(__xludf.DUMMYFUNCTION("""COMPUTED_VALUE"""),"Re-Signed Player")</f>
        <v>Re-Signed Player</v>
      </c>
      <c r="D24" s="1" t="s">
        <v>12</v>
      </c>
      <c r="E24" s="1">
        <v>1</v>
      </c>
    </row>
    <row r="25" spans="1:5" ht="13.2" x14ac:dyDescent="0.25">
      <c r="A25" t="str">
        <f ca="1">IFERROR(__xludf.DUMMYFUNCTION("""COMPUTED_VALUE"""),"Calvo, Francisco")</f>
        <v>Calvo, Francisco</v>
      </c>
      <c r="B25" t="str">
        <f ca="1">IFERROR(__xludf.DUMMYFUNCTION("""COMPUTED_VALUE"""),"Minnesota United FC")</f>
        <v>Minnesota United FC</v>
      </c>
      <c r="C25" s="1" t="str">
        <f ca="1">IFERROR(__xludf.DUMMYFUNCTION("""COMPUTED_VALUE"""),"New Player")</f>
        <v>New Player</v>
      </c>
      <c r="D25" s="1" t="s">
        <v>12</v>
      </c>
      <c r="E25" s="1">
        <v>1</v>
      </c>
    </row>
    <row r="26" spans="1:5" ht="13.2" x14ac:dyDescent="0.25">
      <c r="A26" t="str">
        <f ca="1">IFERROR(__xludf.DUMMYFUNCTION("""COMPUTED_VALUE"""),"Camacho, Rudy *")</f>
        <v>Camacho, Rudy *</v>
      </c>
      <c r="B26" t="str">
        <f ca="1">IFERROR(__xludf.DUMMYFUNCTION("""COMPUTED_VALUE"""),"Montreal Impact")</f>
        <v>Montreal Impact</v>
      </c>
      <c r="C26" s="1" t="str">
        <f ca="1">IFERROR(__xludf.DUMMYFUNCTION("""COMPUTED_VALUE"""),"New Player")</f>
        <v>New Player</v>
      </c>
      <c r="D26" s="1" t="s">
        <v>12</v>
      </c>
      <c r="E26" s="1">
        <v>1</v>
      </c>
    </row>
    <row r="27" spans="1:5" ht="13.2" x14ac:dyDescent="0.25">
      <c r="A27" t="str">
        <f ca="1">IFERROR(__xludf.DUMMYFUNCTION("""COMPUTED_VALUE"""),"Cascante, Julio")</f>
        <v>Cascante, Julio</v>
      </c>
      <c r="B27" t="str">
        <f ca="1">IFERROR(__xludf.DUMMYFUNCTION("""COMPUTED_VALUE"""),"Portland Timbers")</f>
        <v>Portland Timbers</v>
      </c>
      <c r="C27" s="1" t="str">
        <f ca="1">IFERROR(__xludf.DUMMYFUNCTION("""COMPUTED_VALUE"""),"New Player")</f>
        <v>New Player</v>
      </c>
      <c r="D27" s="1" t="s">
        <v>12</v>
      </c>
      <c r="E27" s="1">
        <v>1</v>
      </c>
    </row>
    <row r="28" spans="1:5" ht="13.2" x14ac:dyDescent="0.25">
      <c r="A28" t="str">
        <f ca="1">IFERROR(__xludf.DUMMYFUNCTION("""COMPUTED_VALUE"""),"Chanot, Maxime")</f>
        <v>Chanot, Maxime</v>
      </c>
      <c r="B28" t="str">
        <f ca="1">IFERROR(__xludf.DUMMYFUNCTION("""COMPUTED_VALUE"""),"New York City FC")</f>
        <v>New York City FC</v>
      </c>
      <c r="C28" s="1" t="str">
        <f ca="1">IFERROR(__xludf.DUMMYFUNCTION("""COMPUTED_VALUE"""),"New Player")</f>
        <v>New Player</v>
      </c>
      <c r="D28" s="1" t="s">
        <v>12</v>
      </c>
      <c r="E28" s="1">
        <v>1</v>
      </c>
    </row>
    <row r="29" spans="1:5" ht="13.2" x14ac:dyDescent="0.25">
      <c r="A29" t="str">
        <f ca="1">IFERROR(__xludf.DUMMYFUNCTION("""COMPUTED_VALUE"""),"Chara, Diego")</f>
        <v>Chara, Diego</v>
      </c>
      <c r="B29" t="str">
        <f ca="1">IFERROR(__xludf.DUMMYFUNCTION("""COMPUTED_VALUE"""),"Portland Timbers")</f>
        <v>Portland Timbers</v>
      </c>
      <c r="C29" s="1" t="str">
        <f ca="1">IFERROR(__xludf.DUMMYFUNCTION("""COMPUTED_VALUE"""),"Re-Signed Player")</f>
        <v>Re-Signed Player</v>
      </c>
      <c r="D29" s="1" t="s">
        <v>12</v>
      </c>
      <c r="E29" s="1">
        <v>1</v>
      </c>
    </row>
    <row r="30" spans="1:5" ht="13.2" x14ac:dyDescent="0.25">
      <c r="A30" t="str">
        <f ca="1">IFERROR(__xludf.DUMMYFUNCTION("""COMPUTED_VALUE"""),"Ciani, Michael")</f>
        <v>Ciani, Michael</v>
      </c>
      <c r="B30" t="str">
        <f ca="1">IFERROR(__xludf.DUMMYFUNCTION("""COMPUTED_VALUE"""),"LA Galaxy")</f>
        <v>LA Galaxy</v>
      </c>
      <c r="C30" s="1" t="str">
        <f ca="1">IFERROR(__xludf.DUMMYFUNCTION("""COMPUTED_VALUE"""),"New Player")</f>
        <v>New Player</v>
      </c>
      <c r="D30" s="1" t="s">
        <v>12</v>
      </c>
      <c r="E30" s="1">
        <v>1</v>
      </c>
    </row>
    <row r="31" spans="1:5" ht="13.2" x14ac:dyDescent="0.25">
      <c r="A31" t="str">
        <f ca="1">IFERROR(__xludf.DUMMYFUNCTION("""COMPUTED_VALUE"""),"Ciman, Laurent")</f>
        <v>Ciman, Laurent</v>
      </c>
      <c r="B31" t="str">
        <f ca="1">IFERROR(__xludf.DUMMYFUNCTION("""COMPUTED_VALUE"""),"Los Angeles Football Club")</f>
        <v>Los Angeles Football Club</v>
      </c>
      <c r="C31" s="1" t="str">
        <f ca="1">IFERROR(__xludf.DUMMYFUNCTION("""COMPUTED_VALUE"""),"Existing Player (2015 grandfathered)")</f>
        <v>Existing Player (2015 grandfathered)</v>
      </c>
      <c r="D31" s="1" t="s">
        <v>12</v>
      </c>
      <c r="E31" s="1">
        <v>1</v>
      </c>
    </row>
    <row r="32" spans="1:5" ht="13.2" x14ac:dyDescent="0.25">
      <c r="A32" t="str">
        <f ca="1">IFERROR(__xludf.DUMMYFUNCTION("""COMPUTED_VALUE"""),"de Leeuw, Michael")</f>
        <v>de Leeuw, Michael</v>
      </c>
      <c r="B32" t="str">
        <f ca="1">IFERROR(__xludf.DUMMYFUNCTION("""COMPUTED_VALUE"""),"Chicago Fire")</f>
        <v>Chicago Fire</v>
      </c>
      <c r="C32" s="1" t="str">
        <f ca="1">IFERROR(__xludf.DUMMYFUNCTION("""COMPUTED_VALUE"""),"New Player")</f>
        <v>New Player</v>
      </c>
      <c r="D32" s="1" t="s">
        <v>12</v>
      </c>
      <c r="E32" s="1">
        <v>1</v>
      </c>
    </row>
    <row r="33" spans="1:5" ht="13.2" x14ac:dyDescent="0.25">
      <c r="A33" t="str">
        <f ca="1">IFERROR(__xludf.DUMMYFUNCTION("""COMPUTED_VALUE"""),"Delamea, Antonio Mlinar")</f>
        <v>Delamea, Antonio Mlinar</v>
      </c>
      <c r="B33" t="str">
        <f ca="1">IFERROR(__xludf.DUMMYFUNCTION("""COMPUTED_VALUE"""),"New England Revolution")</f>
        <v>New England Revolution</v>
      </c>
      <c r="C33" s="1" t="str">
        <f ca="1">IFERROR(__xludf.DUMMYFUNCTION("""COMPUTED_VALUE"""),"New Player")</f>
        <v>New Player</v>
      </c>
      <c r="D33" s="1" t="s">
        <v>12</v>
      </c>
      <c r="E33" s="1">
        <v>1</v>
      </c>
    </row>
    <row r="34" spans="1:5" ht="13.2" x14ac:dyDescent="0.25">
      <c r="A34" t="str">
        <f ca="1">IFERROR(__xludf.DUMMYFUNCTION("""COMPUTED_VALUE"""),"Diaz, Mauro")</f>
        <v>Diaz, Mauro</v>
      </c>
      <c r="B34" t="str">
        <f ca="1">IFERROR(__xludf.DUMMYFUNCTION("""COMPUTED_VALUE"""),"FC Dallas")</f>
        <v>FC Dallas</v>
      </c>
      <c r="C34" s="1" t="str">
        <f ca="1">IFERROR(__xludf.DUMMYFUNCTION("""COMPUTED_VALUE"""),"Converted from DP to non-DP in 2017")</f>
        <v>Converted from DP to non-DP in 2017</v>
      </c>
      <c r="D34" s="1" t="s">
        <v>12</v>
      </c>
      <c r="E34" s="1">
        <v>1</v>
      </c>
    </row>
    <row r="35" spans="1:5" ht="13.2" x14ac:dyDescent="0.25">
      <c r="A35" t="str">
        <f ca="1">IFERROR(__xludf.DUMMYFUNCTION("""COMPUTED_VALUE"""),"Diomande, Adama *")</f>
        <v>Diomande, Adama *</v>
      </c>
      <c r="B35" t="str">
        <f ca="1">IFERROR(__xludf.DUMMYFUNCTION("""COMPUTED_VALUE"""),"Los Angeles Football Club")</f>
        <v>Los Angeles Football Club</v>
      </c>
      <c r="C35" s="1" t="str">
        <f ca="1">IFERROR(__xludf.DUMMYFUNCTION("""COMPUTED_VALUE"""),"New Player")</f>
        <v>New Player</v>
      </c>
      <c r="D35" s="1" t="s">
        <v>12</v>
      </c>
      <c r="E35" s="1">
        <v>1</v>
      </c>
    </row>
    <row r="36" spans="1:5" ht="13.2" x14ac:dyDescent="0.25">
      <c r="A36" t="str">
        <f ca="1">IFERROR(__xludf.DUMMYFUNCTION("""COMPUTED_VALUE"""),"Eikrem, Magnus Wolff")</f>
        <v>Eikrem, Magnus Wolff</v>
      </c>
      <c r="B36" t="str">
        <f ca="1">IFERROR(__xludf.DUMMYFUNCTION("""COMPUTED_VALUE"""),"Seattle Sounders FC")</f>
        <v>Seattle Sounders FC</v>
      </c>
      <c r="C36" s="1" t="str">
        <f ca="1">IFERROR(__xludf.DUMMYFUNCTION("""COMPUTED_VALUE"""),"New Player")</f>
        <v>New Player</v>
      </c>
      <c r="D36" s="1" t="s">
        <v>12</v>
      </c>
      <c r="E36" s="1">
        <v>1</v>
      </c>
    </row>
    <row r="37" spans="1:5" ht="13.2" x14ac:dyDescent="0.25">
      <c r="A37" t="str">
        <f ca="1">IFERROR(__xludf.DUMMYFUNCTION("""COMPUTED_VALUE"""),"Eriksson, Magnus")</f>
        <v>Eriksson, Magnus</v>
      </c>
      <c r="B37" t="str">
        <f ca="1">IFERROR(__xludf.DUMMYFUNCTION("""COMPUTED_VALUE"""),"San Jose Earthquakes")</f>
        <v>San Jose Earthquakes</v>
      </c>
      <c r="C37" s="1" t="str">
        <f ca="1">IFERROR(__xludf.DUMMYFUNCTION("""COMPUTED_VALUE"""),"New Player")</f>
        <v>New Player</v>
      </c>
      <c r="D37" s="1" t="s">
        <v>12</v>
      </c>
      <c r="E37" s="1">
        <v>1</v>
      </c>
    </row>
    <row r="38" spans="1:5" ht="13.2" x14ac:dyDescent="0.25">
      <c r="A38" t="str">
        <f ca="1">IFERROR(__xludf.DUMMYFUNCTION("""COMPUTED_VALUE"""),"Espinoza, Roger *")</f>
        <v>Espinoza, Roger *</v>
      </c>
      <c r="B38" t="str">
        <f ca="1">IFERROR(__xludf.DUMMYFUNCTION("""COMPUTED_VALUE"""),"Sporting Kansas City")</f>
        <v>Sporting Kansas City</v>
      </c>
      <c r="C38" s="1" t="str">
        <f ca="1">IFERROR(__xludf.DUMMYFUNCTION("""COMPUTED_VALUE"""),"Re-Signed Player")</f>
        <v>Re-Signed Player</v>
      </c>
      <c r="D38" s="1" t="s">
        <v>12</v>
      </c>
      <c r="E38" s="1">
        <v>1</v>
      </c>
    </row>
    <row r="39" spans="1:5" ht="13.2" x14ac:dyDescent="0.25">
      <c r="A39" t="str">
        <f ca="1">IFERROR(__xludf.DUMMYFUNCTION("""COMPUTED_VALUE"""),"Fanni, Rod")</f>
        <v>Fanni, Rod</v>
      </c>
      <c r="B39" t="str">
        <f ca="1">IFERROR(__xludf.DUMMYFUNCTION("""COMPUTED_VALUE"""),"Montreal Impact")</f>
        <v>Montreal Impact</v>
      </c>
      <c r="C39" s="1" t="str">
        <f ca="1">IFERROR(__xludf.DUMMYFUNCTION("""COMPUTED_VALUE"""),"New Player")</f>
        <v>New Player</v>
      </c>
      <c r="D39" s="1" t="s">
        <v>12</v>
      </c>
      <c r="E39" s="1">
        <v>1</v>
      </c>
    </row>
    <row r="40" spans="1:5" ht="13.2" x14ac:dyDescent="0.25">
      <c r="A40" t="str">
        <f ca="1">IFERROR(__xludf.DUMMYFUNCTION("""COMPUTED_VALUE"""),"Feilhaber, Benny")</f>
        <v>Feilhaber, Benny</v>
      </c>
      <c r="B40" t="str">
        <f ca="1">IFERROR(__xludf.DUMMYFUNCTION("""COMPUTED_VALUE"""),"Los Angeles Football Club")</f>
        <v>Los Angeles Football Club</v>
      </c>
      <c r="C40" s="1" t="str">
        <f ca="1">IFERROR(__xludf.DUMMYFUNCTION("""COMPUTED_VALUE"""),"Re-Signed Player")</f>
        <v>Re-Signed Player</v>
      </c>
      <c r="D40" s="1" t="s">
        <v>12</v>
      </c>
      <c r="E40" s="1">
        <v>1</v>
      </c>
    </row>
    <row r="41" spans="1:5" ht="13.2" x14ac:dyDescent="0.25">
      <c r="A41" t="str">
        <f ca="1">IFERROR(__xludf.DUMMYFUNCTION("""COMPUTED_VALUE"""),"Fernandes, Gerso")</f>
        <v>Fernandes, Gerso</v>
      </c>
      <c r="B41" t="str">
        <f ca="1">IFERROR(__xludf.DUMMYFUNCTION("""COMPUTED_VALUE"""),"Sporting Kansas City")</f>
        <v>Sporting Kansas City</v>
      </c>
      <c r="C41" s="1" t="str">
        <f ca="1">IFERROR(__xludf.DUMMYFUNCTION("""COMPUTED_VALUE"""),"Converted from DP to non-DP in 2018")</f>
        <v>Converted from DP to non-DP in 2018</v>
      </c>
      <c r="D41" s="1" t="s">
        <v>12</v>
      </c>
      <c r="E41" s="1">
        <v>1</v>
      </c>
    </row>
    <row r="42" spans="1:5" ht="13.2" x14ac:dyDescent="0.25">
      <c r="A42" t="str">
        <f ca="1">IFERROR(__xludf.DUMMYFUNCTION("""COMPUTED_VALUE"""),"Fernando, Luiz")</f>
        <v>Fernando, Luiz</v>
      </c>
      <c r="B42" t="str">
        <f ca="1">IFERROR(__xludf.DUMMYFUNCTION("""COMPUTED_VALUE"""),"Minnesota United FC")</f>
        <v>Minnesota United FC</v>
      </c>
      <c r="C42" s="1" t="str">
        <f ca="1">IFERROR(__xludf.DUMMYFUNCTION("""COMPUTED_VALUE"""),"New Player")</f>
        <v>New Player</v>
      </c>
      <c r="D42" s="1" t="s">
        <v>12</v>
      </c>
      <c r="E42" s="1">
        <v>1</v>
      </c>
    </row>
    <row r="43" spans="1:5" ht="13.2" x14ac:dyDescent="0.25">
      <c r="A43" t="str">
        <f ca="1">IFERROR(__xludf.DUMMYFUNCTION("""COMPUTED_VALUE"""),"Fontas, Andreu *")</f>
        <v>Fontas, Andreu *</v>
      </c>
      <c r="B43" t="str">
        <f ca="1">IFERROR(__xludf.DUMMYFUNCTION("""COMPUTED_VALUE"""),"Sporting Kansas City")</f>
        <v>Sporting Kansas City</v>
      </c>
      <c r="C43" s="1" t="str">
        <f ca="1">IFERROR(__xludf.DUMMYFUNCTION("""COMPUTED_VALUE"""),"New Player")</f>
        <v>New Player</v>
      </c>
      <c r="D43" s="1" t="s">
        <v>12</v>
      </c>
      <c r="E43" s="1">
        <v>1</v>
      </c>
    </row>
    <row r="44" spans="1:5" ht="13.2" x14ac:dyDescent="0.25">
      <c r="A44" t="str">
        <f ca="1">IFERROR(__xludf.DUMMYFUNCTION("""COMPUTED_VALUE"""),"Gaber, Omar")</f>
        <v>Gaber, Omar</v>
      </c>
      <c r="B44" t="str">
        <f ca="1">IFERROR(__xludf.DUMMYFUNCTION("""COMPUTED_VALUE"""),"Los Angeles Football Club")</f>
        <v>Los Angeles Football Club</v>
      </c>
      <c r="C44" s="1" t="str">
        <f ca="1">IFERROR(__xludf.DUMMYFUNCTION("""COMPUTED_VALUE"""),"New Player")</f>
        <v>New Player</v>
      </c>
      <c r="D44" s="1" t="s">
        <v>12</v>
      </c>
      <c r="E44" s="1">
        <v>1</v>
      </c>
    </row>
    <row r="45" spans="1:5" ht="13.2" x14ac:dyDescent="0.25">
      <c r="A45" t="str">
        <f ca="1">IFERROR(__xludf.DUMMYFUNCTION("""COMPUTED_VALUE"""),"Ghazal, Aly")</f>
        <v>Ghazal, Aly</v>
      </c>
      <c r="B45" t="str">
        <f ca="1">IFERROR(__xludf.DUMMYFUNCTION("""COMPUTED_VALUE"""),"Vancouver Whitecaps FC")</f>
        <v>Vancouver Whitecaps FC</v>
      </c>
      <c r="C45" s="1" t="str">
        <f ca="1">IFERROR(__xludf.DUMMYFUNCTION("""COMPUTED_VALUE"""),"New Player")</f>
        <v>New Player</v>
      </c>
      <c r="D45" s="1" t="s">
        <v>12</v>
      </c>
      <c r="E45" s="1">
        <v>1</v>
      </c>
    </row>
    <row r="46" spans="1:5" ht="13.2" x14ac:dyDescent="0.25">
      <c r="A46" t="str">
        <f ca="1">IFERROR(__xludf.DUMMYFUNCTION("""COMPUTED_VALUE"""),"Gomez, Alexi *")</f>
        <v>Gomez, Alexi *</v>
      </c>
      <c r="B46" t="str">
        <f ca="1">IFERROR(__xludf.DUMMYFUNCTION("""COMPUTED_VALUE"""),"Minnesota United FC")</f>
        <v>Minnesota United FC</v>
      </c>
      <c r="C46" s="1" t="str">
        <f ca="1">IFERROR(__xludf.DUMMYFUNCTION("""COMPUTED_VALUE"""),"New Player")</f>
        <v>New Player</v>
      </c>
      <c r="D46" s="1" t="s">
        <v>12</v>
      </c>
      <c r="E46" s="1">
        <v>1</v>
      </c>
    </row>
    <row r="47" spans="1:5" ht="13.2" x14ac:dyDescent="0.25">
      <c r="A47" t="str">
        <f ca="1">IFERROR(__xludf.DUMMYFUNCTION("""COMPUTED_VALUE"""),"Gonzalez Pirez, Leandro")</f>
        <v>Gonzalez Pirez, Leandro</v>
      </c>
      <c r="B47" t="str">
        <f ca="1">IFERROR(__xludf.DUMMYFUNCTION("""COMPUTED_VALUE"""),"Atlanta United")</f>
        <v>Atlanta United</v>
      </c>
      <c r="C47" s="1" t="str">
        <f ca="1">IFERROR(__xludf.DUMMYFUNCTION("""COMPUTED_VALUE"""),"New Player")</f>
        <v>New Player</v>
      </c>
      <c r="D47" s="1" t="s">
        <v>12</v>
      </c>
      <c r="E47" s="1">
        <v>1</v>
      </c>
    </row>
    <row r="48" spans="1:5" ht="13.2" x14ac:dyDescent="0.25">
      <c r="A48" t="str">
        <f ca="1">IFERROR(__xludf.DUMMYFUNCTION("""COMPUTED_VALUE"""),"Guzan, Brad")</f>
        <v>Guzan, Brad</v>
      </c>
      <c r="B48" t="str">
        <f ca="1">IFERROR(__xludf.DUMMYFUNCTION("""COMPUTED_VALUE"""),"Atlanta United")</f>
        <v>Atlanta United</v>
      </c>
      <c r="C48" s="1" t="str">
        <f ca="1">IFERROR(__xludf.DUMMYFUNCTION("""COMPUTED_VALUE"""),"New Player")</f>
        <v>New Player</v>
      </c>
      <c r="D48" s="1" t="s">
        <v>12</v>
      </c>
      <c r="E48" s="1">
        <v>1</v>
      </c>
    </row>
    <row r="49" spans="1:5" ht="13.2" x14ac:dyDescent="0.25">
      <c r="A49" t="str">
        <f ca="1">IFERROR(__xludf.DUMMYFUNCTION("""COMPUTED_VALUE"""),"Higuita, Cristian")</f>
        <v>Higuita, Cristian</v>
      </c>
      <c r="B49" t="str">
        <f ca="1">IFERROR(__xludf.DUMMYFUNCTION("""COMPUTED_VALUE"""),"Orlando City SC")</f>
        <v>Orlando City SC</v>
      </c>
      <c r="C49" s="1" t="str">
        <f ca="1">IFERROR(__xludf.DUMMYFUNCTION("""COMPUTED_VALUE"""),"Re-Signed Player")</f>
        <v>Re-Signed Player</v>
      </c>
      <c r="D49" s="1" t="s">
        <v>12</v>
      </c>
      <c r="E49" s="1">
        <v>1</v>
      </c>
    </row>
    <row r="50" spans="1:5" ht="13.2" x14ac:dyDescent="0.25">
      <c r="A50" t="str">
        <f ca="1">IFERROR(__xludf.DUMMYFUNCTION("""COMPUTED_VALUE"""),"Hoesen, Danny")</f>
        <v>Hoesen, Danny</v>
      </c>
      <c r="B50" t="str">
        <f ca="1">IFERROR(__xludf.DUMMYFUNCTION("""COMPUTED_VALUE"""),"San Jose Earthquakes")</f>
        <v>San Jose Earthquakes</v>
      </c>
      <c r="C50" s="1" t="str">
        <f ca="1">IFERROR(__xludf.DUMMYFUNCTION("""COMPUTED_VALUE"""),"New Player")</f>
        <v>New Player</v>
      </c>
      <c r="D50" s="1" t="s">
        <v>12</v>
      </c>
      <c r="E50" s="1">
        <v>1</v>
      </c>
    </row>
    <row r="51" spans="1:5" ht="13.2" x14ac:dyDescent="0.25">
      <c r="A51" t="str">
        <f ca="1">IFERROR(__xludf.DUMMYFUNCTION("""COMPUTED_VALUE"""),"Hyka, Jahmir")</f>
        <v>Hyka, Jahmir</v>
      </c>
      <c r="B51" t="str">
        <f ca="1">IFERROR(__xludf.DUMMYFUNCTION("""COMPUTED_VALUE"""),"San Jose Earthquakes")</f>
        <v>San Jose Earthquakes</v>
      </c>
      <c r="C51" s="1" t="str">
        <f ca="1">IFERROR(__xludf.DUMMYFUNCTION("""COMPUTED_VALUE"""),"New Player")</f>
        <v>New Player</v>
      </c>
      <c r="D51" s="1" t="s">
        <v>12</v>
      </c>
      <c r="E51" s="1">
        <v>1</v>
      </c>
    </row>
    <row r="52" spans="1:5" ht="13.2" x14ac:dyDescent="0.25">
      <c r="A52" t="str">
        <f ca="1">IFERROR(__xludf.DUMMYFUNCTION("""COMPUTED_VALUE"""),"Ibarra, Romario *")</f>
        <v>Ibarra, Romario *</v>
      </c>
      <c r="B52" t="str">
        <f ca="1">IFERROR(__xludf.DUMMYFUNCTION("""COMPUTED_VALUE"""),"Minnesota United FC")</f>
        <v>Minnesota United FC</v>
      </c>
      <c r="C52" s="1" t="str">
        <f ca="1">IFERROR(__xludf.DUMMYFUNCTION("""COMPUTED_VALUE"""),"New Player")</f>
        <v>New Player</v>
      </c>
      <c r="D52" s="1" t="s">
        <v>12</v>
      </c>
      <c r="E52" s="1">
        <v>1</v>
      </c>
    </row>
    <row r="53" spans="1:5" ht="13.2" x14ac:dyDescent="0.25">
      <c r="A53" t="str">
        <f ca="1">IFERROR(__xludf.DUMMYFUNCTION("""COMPUTED_VALUE"""),"Ibrahimovic, Zlatan *")</f>
        <v>Ibrahimovic, Zlatan *</v>
      </c>
      <c r="B53" t="str">
        <f ca="1">IFERROR(__xludf.DUMMYFUNCTION("""COMPUTED_VALUE"""),"LA Galaxy")</f>
        <v>LA Galaxy</v>
      </c>
      <c r="C53" s="1" t="str">
        <f ca="1">IFERROR(__xludf.DUMMYFUNCTION("""COMPUTED_VALUE"""),"New Player")</f>
        <v>New Player</v>
      </c>
      <c r="D53" s="1" t="s">
        <v>12</v>
      </c>
      <c r="E53" s="1">
        <v>1</v>
      </c>
    </row>
    <row r="54" spans="1:5" ht="13.2" x14ac:dyDescent="0.25">
      <c r="A54" t="str">
        <f ca="1">IFERROR(__xludf.DUMMYFUNCTION("""COMPUTED_VALUE"""),"Janson, Lucas *")</f>
        <v>Janson, Lucas *</v>
      </c>
      <c r="B54" t="str">
        <f ca="1">IFERROR(__xludf.DUMMYFUNCTION("""COMPUTED_VALUE"""),"Toronto FC")</f>
        <v>Toronto FC</v>
      </c>
      <c r="C54" s="1" t="str">
        <f ca="1">IFERROR(__xludf.DUMMYFUNCTION("""COMPUTED_VALUE"""),"New Player")</f>
        <v>New Player</v>
      </c>
      <c r="D54" s="1" t="s">
        <v>12</v>
      </c>
      <c r="E54" s="1">
        <v>1</v>
      </c>
    </row>
    <row r="55" spans="1:5" ht="13.2" x14ac:dyDescent="0.25">
      <c r="A55" t="str">
        <f ca="1">IFERROR(__xludf.DUMMYFUNCTION("""COMPUTED_VALUE"""),"Juarez, Efrain")</f>
        <v>Juarez, Efrain</v>
      </c>
      <c r="B55" t="str">
        <f ca="1">IFERROR(__xludf.DUMMYFUNCTION("""COMPUTED_VALUE"""),"Vancouver Whitecaps FC")</f>
        <v>Vancouver Whitecaps FC</v>
      </c>
      <c r="C55" s="1" t="str">
        <f ca="1">IFERROR(__xludf.DUMMYFUNCTION("""COMPUTED_VALUE"""),"New Player")</f>
        <v>New Player</v>
      </c>
      <c r="D55" s="1" t="s">
        <v>12</v>
      </c>
      <c r="E55" s="1">
        <v>1</v>
      </c>
    </row>
    <row r="56" spans="1:5" ht="13.2" x14ac:dyDescent="0.25">
      <c r="A56" t="str">
        <f ca="1">IFERROR(__xludf.DUMMYFUNCTION("""COMPUTED_VALUE"""),"Jungwirth, Florian")</f>
        <v>Jungwirth, Florian</v>
      </c>
      <c r="B56" t="str">
        <f ca="1">IFERROR(__xludf.DUMMYFUNCTION("""COMPUTED_VALUE"""),"San Jose Earthquakes")</f>
        <v>San Jose Earthquakes</v>
      </c>
      <c r="C56" s="1" t="str">
        <f ca="1">IFERROR(__xludf.DUMMYFUNCTION("""COMPUTED_VALUE"""),"New Player")</f>
        <v>New Player</v>
      </c>
      <c r="D56" s="1" t="s">
        <v>12</v>
      </c>
      <c r="E56" s="1">
        <v>1</v>
      </c>
    </row>
    <row r="57" spans="1:5" ht="13.2" x14ac:dyDescent="0.25">
      <c r="A57" t="str">
        <f ca="1">IFERROR(__xludf.DUMMYFUNCTION("""COMPUTED_VALUE"""),"Kamara, Kei")</f>
        <v>Kamara, Kei</v>
      </c>
      <c r="B57" t="str">
        <f ca="1">IFERROR(__xludf.DUMMYFUNCTION("""COMPUTED_VALUE"""),"Vancouver Whitecaps FC")</f>
        <v>Vancouver Whitecaps FC</v>
      </c>
      <c r="C57" s="1" t="str">
        <f ca="1">IFERROR(__xludf.DUMMYFUNCTION("""COMPUTED_VALUE"""),"Converted from DP to non-DP in 2017")</f>
        <v>Converted from DP to non-DP in 2017</v>
      </c>
      <c r="D57" s="1" t="s">
        <v>12</v>
      </c>
      <c r="E57" s="1">
        <v>1</v>
      </c>
    </row>
    <row r="58" spans="1:5" ht="13.2" x14ac:dyDescent="0.25">
      <c r="A58" t="str">
        <f ca="1">IFERROR(__xludf.DUMMYFUNCTION("""COMPUTED_VALUE"""),"Kamara, Ola")</f>
        <v>Kamara, Ola</v>
      </c>
      <c r="B58" t="str">
        <f ca="1">IFERROR(__xludf.DUMMYFUNCTION("""COMPUTED_VALUE"""),"LA Galaxy")</f>
        <v>LA Galaxy</v>
      </c>
      <c r="C58" s="1" t="str">
        <f ca="1">IFERROR(__xludf.DUMMYFUNCTION("""COMPUTED_VALUE"""),"New Player")</f>
        <v>New Player</v>
      </c>
      <c r="D58" s="1" t="s">
        <v>12</v>
      </c>
      <c r="E58" s="1">
        <v>1</v>
      </c>
    </row>
    <row r="59" spans="1:5" ht="13.2" x14ac:dyDescent="0.25">
      <c r="A59" t="str">
        <f ca="1">IFERROR(__xludf.DUMMYFUNCTION("""COMPUTED_VALUE"""),"Kappelhof, Johan")</f>
        <v>Kappelhof, Johan</v>
      </c>
      <c r="B59" t="str">
        <f ca="1">IFERROR(__xludf.DUMMYFUNCTION("""COMPUTED_VALUE"""),"Chicago Fire")</f>
        <v>Chicago Fire</v>
      </c>
      <c r="C59" s="1" t="str">
        <f ca="1">IFERROR(__xludf.DUMMYFUNCTION("""COMPUTED_VALUE"""),"New Player")</f>
        <v>New Player</v>
      </c>
      <c r="D59" s="1" t="s">
        <v>12</v>
      </c>
      <c r="E59" s="1">
        <v>1</v>
      </c>
    </row>
    <row r="60" spans="1:5" ht="13.2" x14ac:dyDescent="0.25">
      <c r="A60" t="str">
        <f ca="1">IFERROR(__xludf.DUMMYFUNCTION("""COMPUTED_VALUE"""),"Kashia, Guram *")</f>
        <v>Kashia, Guram *</v>
      </c>
      <c r="B60" t="str">
        <f ca="1">IFERROR(__xludf.DUMMYFUNCTION("""COMPUTED_VALUE"""),"San Jose Earthquakes")</f>
        <v>San Jose Earthquakes</v>
      </c>
      <c r="C60" s="1" t="str">
        <f ca="1">IFERROR(__xludf.DUMMYFUNCTION("""COMPUTED_VALUE"""),"New Player")</f>
        <v>New Player</v>
      </c>
      <c r="D60" s="1" t="s">
        <v>12</v>
      </c>
      <c r="E60" s="1">
        <v>1</v>
      </c>
    </row>
    <row r="61" spans="1:5" ht="13.2" x14ac:dyDescent="0.25">
      <c r="A61" t="str">
        <f ca="1">IFERROR(__xludf.DUMMYFUNCTION("""COMPUTED_VALUE"""),"Katai, Aleksandar *")</f>
        <v>Katai, Aleksandar *</v>
      </c>
      <c r="B61" t="str">
        <f ca="1">IFERROR(__xludf.DUMMYFUNCTION("""COMPUTED_VALUE"""),"Chicago Fire")</f>
        <v>Chicago Fire</v>
      </c>
      <c r="C61" s="1" t="str">
        <f ca="1">IFERROR(__xludf.DUMMYFUNCTION("""COMPUTED_VALUE"""),"New Player")</f>
        <v>New Player</v>
      </c>
      <c r="D61" s="1" t="s">
        <v>12</v>
      </c>
      <c r="E61" s="1">
        <v>1</v>
      </c>
    </row>
    <row r="62" spans="1:5" ht="13.2" x14ac:dyDescent="0.25">
      <c r="A62" t="str">
        <f ca="1">IFERROR(__xludf.DUMMYFUNCTION("""COMPUTED_VALUE"""),"Kee-hee, Kim")</f>
        <v>Kee-hee, Kim</v>
      </c>
      <c r="B62" t="str">
        <f ca="1">IFERROR(__xludf.DUMMYFUNCTION("""COMPUTED_VALUE"""),"Seattle Sounders FC")</f>
        <v>Seattle Sounders FC</v>
      </c>
      <c r="C62" s="1" t="str">
        <f ca="1">IFERROR(__xludf.DUMMYFUNCTION("""COMPUTED_VALUE"""),"New Player")</f>
        <v>New Player</v>
      </c>
      <c r="D62" s="1" t="s">
        <v>12</v>
      </c>
      <c r="E62" s="1">
        <v>1</v>
      </c>
    </row>
    <row r="63" spans="1:5" ht="13.2" x14ac:dyDescent="0.25">
      <c r="A63" t="str">
        <f ca="1">IFERROR(__xludf.DUMMYFUNCTION("""COMPUTED_VALUE"""),"Kitchen, Perry")</f>
        <v>Kitchen, Perry</v>
      </c>
      <c r="B63" t="str">
        <f ca="1">IFERROR(__xludf.DUMMYFUNCTION("""COMPUTED_VALUE"""),"LA Galaxy")</f>
        <v>LA Galaxy</v>
      </c>
      <c r="C63" s="1" t="str">
        <f ca="1">IFERROR(__xludf.DUMMYFUNCTION("""COMPUTED_VALUE"""),"New Player")</f>
        <v>New Player</v>
      </c>
      <c r="D63" s="1" t="s">
        <v>12</v>
      </c>
      <c r="E63" s="1">
        <v>1</v>
      </c>
    </row>
    <row r="64" spans="1:5" ht="13.2" x14ac:dyDescent="0.25">
      <c r="A64" t="str">
        <f ca="1">IFERROR(__xludf.DUMMYFUNCTION("""COMPUTED_VALUE"""),"Kreilach, Damir")</f>
        <v>Kreilach, Damir</v>
      </c>
      <c r="B64" t="str">
        <f ca="1">IFERROR(__xludf.DUMMYFUNCTION("""COMPUTED_VALUE"""),"Real Salt Lake")</f>
        <v>Real Salt Lake</v>
      </c>
      <c r="C64" s="1" t="str">
        <f ca="1">IFERROR(__xludf.DUMMYFUNCTION("""COMPUTED_VALUE"""),"New Player")</f>
        <v>New Player</v>
      </c>
      <c r="D64" s="1" t="s">
        <v>12</v>
      </c>
      <c r="E64" s="1">
        <v>1</v>
      </c>
    </row>
    <row r="65" spans="1:5" ht="13.2" x14ac:dyDescent="0.25">
      <c r="A65" t="str">
        <f ca="1">IFERROR(__xludf.DUMMYFUNCTION("""COMPUTED_VALUE"""),"Lamah, Roland")</f>
        <v>Lamah, Roland</v>
      </c>
      <c r="B65" t="str">
        <f ca="1">IFERROR(__xludf.DUMMYFUNCTION("""COMPUTED_VALUE"""),"FC Dallas")</f>
        <v>FC Dallas</v>
      </c>
      <c r="C65" s="1" t="str">
        <f ca="1">IFERROR(__xludf.DUMMYFUNCTION("""COMPUTED_VALUE"""),"New Player")</f>
        <v>New Player</v>
      </c>
      <c r="D65" s="1" t="s">
        <v>12</v>
      </c>
      <c r="E65" s="1">
        <v>1</v>
      </c>
    </row>
    <row r="66" spans="1:5" ht="13.2" x14ac:dyDescent="0.25">
      <c r="A66" t="str">
        <f ca="1">IFERROR(__xludf.DUMMYFUNCTION("""COMPUTED_VALUE"""),"Leerdam, Kelvin")</f>
        <v>Leerdam, Kelvin</v>
      </c>
      <c r="B66" t="str">
        <f ca="1">IFERROR(__xludf.DUMMYFUNCTION("""COMPUTED_VALUE"""),"Seattle Sounders FC")</f>
        <v>Seattle Sounders FC</v>
      </c>
      <c r="C66" s="1" t="str">
        <f ca="1">IFERROR(__xludf.DUMMYFUNCTION("""COMPUTED_VALUE"""),"New Player")</f>
        <v>New Player</v>
      </c>
      <c r="D66" s="1" t="s">
        <v>12</v>
      </c>
      <c r="E66" s="1">
        <v>1</v>
      </c>
    </row>
    <row r="67" spans="1:5" ht="13.2" x14ac:dyDescent="0.25">
      <c r="A67" t="str">
        <f ca="1">IFERROR(__xludf.DUMMYFUNCTION("""COMPUTED_VALUE"""),"Lundkvist, Adam *")</f>
        <v>Lundkvist, Adam *</v>
      </c>
      <c r="B67" t="str">
        <f ca="1">IFERROR(__xludf.DUMMYFUNCTION("""COMPUTED_VALUE"""),"Houston Dynamo")</f>
        <v>Houston Dynamo</v>
      </c>
      <c r="C67" s="1" t="str">
        <f ca="1">IFERROR(__xludf.DUMMYFUNCTION("""COMPUTED_VALUE"""),"New Player")</f>
        <v>New Player</v>
      </c>
      <c r="D67" s="1" t="s">
        <v>12</v>
      </c>
      <c r="E67" s="1">
        <v>1</v>
      </c>
    </row>
    <row r="68" spans="1:5" ht="13.2" x14ac:dyDescent="0.25">
      <c r="A68" t="str">
        <f ca="1">IFERROR(__xludf.DUMMYFUNCTION("""COMPUTED_VALUE"""),"Mabiala, Larrys")</f>
        <v>Mabiala, Larrys</v>
      </c>
      <c r="B68" t="str">
        <f ca="1">IFERROR(__xludf.DUMMYFUNCTION("""COMPUTED_VALUE"""),"Portland Timbers")</f>
        <v>Portland Timbers</v>
      </c>
      <c r="C68" s="1" t="str">
        <f ca="1">IFERROR(__xludf.DUMMYFUNCTION("""COMPUTED_VALUE"""),"New Player")</f>
        <v>New Player</v>
      </c>
      <c r="D68" s="1" t="s">
        <v>12</v>
      </c>
      <c r="E68" s="1">
        <v>1</v>
      </c>
    </row>
    <row r="69" spans="1:5" ht="13.2" x14ac:dyDescent="0.25">
      <c r="A69" t="str">
        <f ca="1">IFERROR(__xludf.DUMMYFUNCTION("""COMPUTED_VALUE"""),"Mancienne, Michael *")</f>
        <v>Mancienne, Michael *</v>
      </c>
      <c r="B69" t="str">
        <f ca="1">IFERROR(__xludf.DUMMYFUNCTION("""COMPUTED_VALUE"""),"New England Revolution")</f>
        <v>New England Revolution</v>
      </c>
      <c r="C69" s="1" t="str">
        <f ca="1">IFERROR(__xludf.DUMMYFUNCTION("""COMPUTED_VALUE"""),"New Player")</f>
        <v>New Player</v>
      </c>
      <c r="D69" s="1" t="s">
        <v>12</v>
      </c>
      <c r="E69" s="1">
        <v>1</v>
      </c>
    </row>
    <row r="70" spans="1:5" ht="13.2" x14ac:dyDescent="0.25">
      <c r="A70" t="str">
        <f ca="1">IFERROR(__xludf.DUMMYFUNCTION("""COMPUTED_VALUE"""),"Mancosu, Matteo")</f>
        <v>Mancosu, Matteo</v>
      </c>
      <c r="B70" t="str">
        <f ca="1">IFERROR(__xludf.DUMMYFUNCTION("""COMPUTED_VALUE"""),"Montreal Impact")</f>
        <v>Montreal Impact</v>
      </c>
      <c r="C70" s="1" t="str">
        <f ca="1">IFERROR(__xludf.DUMMYFUNCTION("""COMPUTED_VALUE"""),"New Player (Transfer Exercised)")</f>
        <v>New Player (Transfer Exercised)</v>
      </c>
      <c r="D70" s="1" t="s">
        <v>12</v>
      </c>
      <c r="E70" s="1">
        <v>1</v>
      </c>
    </row>
    <row r="71" spans="1:5" ht="13.2" x14ac:dyDescent="0.25">
      <c r="A71" t="str">
        <f ca="1">IFERROR(__xludf.DUMMYFUNCTION("""COMPUTED_VALUE"""),"Manotas, Mauro")</f>
        <v>Manotas, Mauro</v>
      </c>
      <c r="B71" t="str">
        <f ca="1">IFERROR(__xludf.DUMMYFUNCTION("""COMPUTED_VALUE"""),"Houston Dynamo")</f>
        <v>Houston Dynamo</v>
      </c>
      <c r="C71" s="1" t="str">
        <f ca="1">IFERROR(__xludf.DUMMYFUNCTION("""COMPUTED_VALUE"""),"Converted from DP to non-DP in 2017")</f>
        <v>Converted from DP to non-DP in 2017</v>
      </c>
      <c r="D71" s="1" t="s">
        <v>12</v>
      </c>
      <c r="E71" s="1">
        <v>1</v>
      </c>
    </row>
    <row r="72" spans="1:5" ht="13.2" x14ac:dyDescent="0.25">
      <c r="A72" t="str">
        <f ca="1">IFERROR(__xludf.DUMMYFUNCTION("""COMPUTED_VALUE"""),"Mason, Joe")</f>
        <v>Mason, Joe</v>
      </c>
      <c r="B72" t="str">
        <f ca="1">IFERROR(__xludf.DUMMYFUNCTION("""COMPUTED_VALUE"""),"Colorado Rapids")</f>
        <v>Colorado Rapids</v>
      </c>
      <c r="C72" s="1" t="str">
        <f ca="1">IFERROR(__xludf.DUMMYFUNCTION("""COMPUTED_VALUE"""),"New Player")</f>
        <v>New Player</v>
      </c>
      <c r="D72" s="1" t="s">
        <v>12</v>
      </c>
      <c r="E72" s="1">
        <v>1</v>
      </c>
    </row>
    <row r="73" spans="1:5" ht="13.2" x14ac:dyDescent="0.25">
      <c r="A73" t="str">
        <f ca="1">IFERROR(__xludf.DUMMYFUNCTION("""COMPUTED_VALUE"""),"Matarrita, Ronald")</f>
        <v>Matarrita, Ronald</v>
      </c>
      <c r="B73" t="str">
        <f ca="1">IFERROR(__xludf.DUMMYFUNCTION("""COMPUTED_VALUE"""),"New York City FC")</f>
        <v>New York City FC</v>
      </c>
      <c r="C73" s="1" t="str">
        <f ca="1">IFERROR(__xludf.DUMMYFUNCTION("""COMPUTED_VALUE"""),"New Player/Re-Signed Player (2018)")</f>
        <v>New Player/Re-Signed Player (2018)</v>
      </c>
      <c r="D73" s="1" t="s">
        <v>12</v>
      </c>
      <c r="E73" s="1">
        <v>1</v>
      </c>
    </row>
    <row r="74" spans="1:5" ht="13.2" x14ac:dyDescent="0.25">
      <c r="A74" t="str">
        <f ca="1">IFERROR(__xludf.DUMMYFUNCTION("""COMPUTED_VALUE"""),"Mavinga, Chris")</f>
        <v>Mavinga, Chris</v>
      </c>
      <c r="B74" t="str">
        <f ca="1">IFERROR(__xludf.DUMMYFUNCTION("""COMPUTED_VALUE"""),"Toronto FC")</f>
        <v>Toronto FC</v>
      </c>
      <c r="C74" s="1" t="str">
        <f ca="1">IFERROR(__xludf.DUMMYFUNCTION("""COMPUTED_VALUE"""),"Re-Signed Player")</f>
        <v>Re-Signed Player</v>
      </c>
      <c r="D74" s="1" t="s">
        <v>12</v>
      </c>
      <c r="E74" s="1">
        <v>1</v>
      </c>
    </row>
    <row r="75" spans="1:5" ht="13.2" x14ac:dyDescent="0.25">
      <c r="A75" t="str">
        <f ca="1">IFERROR(__xludf.DUMMYFUNCTION("""COMPUTED_VALUE"""),"McCann, Chris")</f>
        <v>McCann, Chris</v>
      </c>
      <c r="B75" t="str">
        <f ca="1">IFERROR(__xludf.DUMMYFUNCTION("""COMPUTED_VALUE"""),"Atlanta United")</f>
        <v>Atlanta United</v>
      </c>
      <c r="C75" s="1" t="str">
        <f ca="1">IFERROR(__xludf.DUMMYFUNCTION("""COMPUTED_VALUE"""),"New Player")</f>
        <v>New Player</v>
      </c>
      <c r="D75" s="1" t="s">
        <v>12</v>
      </c>
      <c r="E75" s="1">
        <v>1</v>
      </c>
    </row>
    <row r="76" spans="1:5" ht="13.2" x14ac:dyDescent="0.25">
      <c r="A76" t="str">
        <f ca="1">IFERROR(__xludf.DUMMYFUNCTION("""COMPUTED_VALUE"""),"McCarty, Dax")</f>
        <v>McCarty, Dax</v>
      </c>
      <c r="B76" t="str">
        <f ca="1">IFERROR(__xludf.DUMMYFUNCTION("""COMPUTED_VALUE"""),"Chicago Fire")</f>
        <v>Chicago Fire</v>
      </c>
      <c r="C76" s="1" t="str">
        <f ca="1">IFERROR(__xludf.DUMMYFUNCTION("""COMPUTED_VALUE"""),"Re-Signed Player")</f>
        <v>Re-Signed Player</v>
      </c>
      <c r="D76" s="1" t="s">
        <v>12</v>
      </c>
      <c r="E76" s="1">
        <v>1</v>
      </c>
    </row>
    <row r="77" spans="1:5" ht="13.2" x14ac:dyDescent="0.25">
      <c r="A77" t="str">
        <f ca="1">IFERROR(__xludf.DUMMYFUNCTION("""COMPUTED_VALUE"""),"Medunjanin, Haris")</f>
        <v>Medunjanin, Haris</v>
      </c>
      <c r="B77" t="str">
        <f ca="1">IFERROR(__xludf.DUMMYFUNCTION("""COMPUTED_VALUE"""),"Philadelphia Union")</f>
        <v>Philadelphia Union</v>
      </c>
      <c r="C77" s="1" t="str">
        <f ca="1">IFERROR(__xludf.DUMMYFUNCTION("""COMPUTED_VALUE"""),"New Player")</f>
        <v>New Player</v>
      </c>
      <c r="D77" s="1" t="s">
        <v>12</v>
      </c>
      <c r="E77" s="1">
        <v>1</v>
      </c>
    </row>
    <row r="78" spans="1:5" ht="13.2" x14ac:dyDescent="0.25">
      <c r="A78" t="str">
        <f ca="1">IFERROR(__xludf.DUMMYFUNCTION("""COMPUTED_VALUE"""),"Mensah, Jonathan")</f>
        <v>Mensah, Jonathan</v>
      </c>
      <c r="B78" t="str">
        <f ca="1">IFERROR(__xludf.DUMMYFUNCTION("""COMPUTED_VALUE"""),"Columbus Crew SC")</f>
        <v>Columbus Crew SC</v>
      </c>
      <c r="C78" s="1" t="str">
        <f ca="1">IFERROR(__xludf.DUMMYFUNCTION("""COMPUTED_VALUE"""),"Converted from DP to non-DP in 2018")</f>
        <v>Converted from DP to non-DP in 2018</v>
      </c>
      <c r="D78" s="1" t="s">
        <v>12</v>
      </c>
      <c r="E78" s="1">
        <v>1</v>
      </c>
    </row>
    <row r="79" spans="1:5" ht="13.2" x14ac:dyDescent="0.25">
      <c r="A79" t="str">
        <f ca="1">IFERROR(__xludf.DUMMYFUNCTION("""COMPUTED_VALUE"""),"Meram, Justin")</f>
        <v>Meram, Justin</v>
      </c>
      <c r="B79" t="str">
        <f ca="1">IFERROR(__xludf.DUMMYFUNCTION("""COMPUTED_VALUE"""),"Columbus Crew SC")</f>
        <v>Columbus Crew SC</v>
      </c>
      <c r="C79" s="1" t="str">
        <f ca="1">IFERROR(__xludf.DUMMYFUNCTION("""COMPUTED_VALUE"""),"Re-Signed Player")</f>
        <v>Re-Signed Player</v>
      </c>
      <c r="D79" s="1" t="s">
        <v>12</v>
      </c>
      <c r="E79" s="1">
        <v>1</v>
      </c>
    </row>
    <row r="80" spans="1:5" ht="13.2" x14ac:dyDescent="0.25">
      <c r="A80" t="str">
        <f ca="1">IFERROR(__xludf.DUMMYFUNCTION("""COMPUTED_VALUE"""),"Nagbe, Darlington")</f>
        <v>Nagbe, Darlington</v>
      </c>
      <c r="B80" t="str">
        <f ca="1">IFERROR(__xludf.DUMMYFUNCTION("""COMPUTED_VALUE"""),"Atlanta United")</f>
        <v>Atlanta United</v>
      </c>
      <c r="C80" s="1" t="str">
        <f ca="1">IFERROR(__xludf.DUMMYFUNCTION("""COMPUTED_VALUE"""),"Re-Signed Player")</f>
        <v>Re-Signed Player</v>
      </c>
      <c r="D80" s="1" t="s">
        <v>12</v>
      </c>
      <c r="E80" s="1">
        <v>1</v>
      </c>
    </row>
    <row r="81" spans="1:5" ht="13.2" x14ac:dyDescent="0.25">
      <c r="A81" t="str">
        <f ca="1">IFERROR(__xludf.DUMMYFUNCTION("""COMPUTED_VALUE"""),"Nedyalkov, Anton")</f>
        <v>Nedyalkov, Anton</v>
      </c>
      <c r="B81" t="str">
        <f ca="1">IFERROR(__xludf.DUMMYFUNCTION("""COMPUTED_VALUE"""),"FC Dallas")</f>
        <v>FC Dallas</v>
      </c>
      <c r="C81" s="1" t="str">
        <f ca="1">IFERROR(__xludf.DUMMYFUNCTION("""COMPUTED_VALUE"""),"New Player")</f>
        <v>New Player</v>
      </c>
      <c r="D81" s="1" t="s">
        <v>12</v>
      </c>
      <c r="E81" s="1">
        <v>1</v>
      </c>
    </row>
    <row r="82" spans="1:5" ht="13.2" x14ac:dyDescent="0.25">
      <c r="A82" t="str">
        <f ca="1">IFERROR(__xludf.DUMMYFUNCTION("""COMPUTED_VALUE"""),"Nemeth, Krisztian")</f>
        <v>Nemeth, Krisztian</v>
      </c>
      <c r="B82" t="str">
        <f ca="1">IFERROR(__xludf.DUMMYFUNCTION("""COMPUTED_VALUE"""),"New England Revolution")</f>
        <v>New England Revolution</v>
      </c>
      <c r="C82" s="1" t="str">
        <f ca="1">IFERROR(__xludf.DUMMYFUNCTION("""COMPUTED_VALUE"""),"New Player")</f>
        <v>New Player</v>
      </c>
      <c r="D82" s="1" t="s">
        <v>12</v>
      </c>
      <c r="E82" s="1">
        <v>1</v>
      </c>
    </row>
    <row r="83" spans="1:5" ht="13.2" x14ac:dyDescent="0.25">
      <c r="A83" t="str">
        <f ca="1">IFERROR(__xludf.DUMMYFUNCTION("""COMPUTED_VALUE"""),"Nguyen, Lee")</f>
        <v>Nguyen, Lee</v>
      </c>
      <c r="B83" t="str">
        <f ca="1">IFERROR(__xludf.DUMMYFUNCTION("""COMPUTED_VALUE"""),"Los Angeles Football Club")</f>
        <v>Los Angeles Football Club</v>
      </c>
      <c r="C83" s="1" t="str">
        <f ca="1">IFERROR(__xludf.DUMMYFUNCTION("""COMPUTED_VALUE"""),"New Player")</f>
        <v>New Player</v>
      </c>
      <c r="D83" s="1" t="s">
        <v>12</v>
      </c>
      <c r="E83" s="1">
        <v>1</v>
      </c>
    </row>
    <row r="84" spans="1:5" ht="13.2" x14ac:dyDescent="0.25">
      <c r="A84" t="str">
        <f ca="1">IFERROR(__xludf.DUMMYFUNCTION("""COMPUTED_VALUE"""),"Ofori, Ebenezer")</f>
        <v>Ofori, Ebenezer</v>
      </c>
      <c r="B84" t="str">
        <f ca="1">IFERROR(__xludf.DUMMYFUNCTION("""COMPUTED_VALUE"""),"New York City FC")</f>
        <v>New York City FC</v>
      </c>
      <c r="C84" s="1" t="str">
        <f ca="1">IFERROR(__xludf.DUMMYFUNCTION("""COMPUTED_VALUE"""),"New Player")</f>
        <v>New Player</v>
      </c>
      <c r="D84" s="1" t="s">
        <v>12</v>
      </c>
      <c r="E84" s="1">
        <v>1</v>
      </c>
    </row>
    <row r="85" spans="1:5" ht="13.2" x14ac:dyDescent="0.25">
      <c r="A85" t="str">
        <f ca="1">IFERROR(__xludf.DUMMYFUNCTION("""COMPUTED_VALUE"""),"Ortuño, Alfredo")</f>
        <v>Ortuño, Alfredo</v>
      </c>
      <c r="B85" t="str">
        <f ca="1">IFERROR(__xludf.DUMMYFUNCTION("""COMPUTED_VALUE"""),"Real Salt Lake")</f>
        <v>Real Salt Lake</v>
      </c>
      <c r="C85" s="1" t="str">
        <f ca="1">IFERROR(__xludf.DUMMYFUNCTION("""COMPUTED_VALUE"""),"New Player")</f>
        <v>New Player</v>
      </c>
      <c r="D85" s="1" t="s">
        <v>12</v>
      </c>
      <c r="E85" s="1">
        <v>1</v>
      </c>
    </row>
    <row r="86" spans="1:5" ht="13.2" x14ac:dyDescent="0.25">
      <c r="A86" t="str">
        <f ca="1">IFERROR(__xludf.DUMMYFUNCTION("""COMPUTED_VALUE"""),"Paredes, Cristhian")</f>
        <v>Paredes, Cristhian</v>
      </c>
      <c r="B86" t="str">
        <f ca="1">IFERROR(__xludf.DUMMYFUNCTION("""COMPUTED_VALUE"""),"Portland Timbers")</f>
        <v>Portland Timbers</v>
      </c>
      <c r="C86" s="1" t="str">
        <f ca="1">IFERROR(__xludf.DUMMYFUNCTION("""COMPUTED_VALUE"""),"New Player")</f>
        <v>New Player</v>
      </c>
      <c r="D86" s="1" t="s">
        <v>12</v>
      </c>
      <c r="E86" s="1">
        <v>1</v>
      </c>
    </row>
    <row r="87" spans="1:5" ht="13.2" x14ac:dyDescent="0.25">
      <c r="A87" t="str">
        <f ca="1">IFERROR(__xludf.DUMMYFUNCTION("""COMPUTED_VALUE"""),"Pedro, Joao")</f>
        <v>Pedro, Joao</v>
      </c>
      <c r="B87" t="str">
        <f ca="1">IFERROR(__xludf.DUMMYFUNCTION("""COMPUTED_VALUE"""),"LA Galaxy")</f>
        <v>LA Galaxy</v>
      </c>
      <c r="C87" s="1" t="str">
        <f ca="1">IFERROR(__xludf.DUMMYFUNCTION("""COMPUTED_VALUE"""),"New Player (Special Discovery Player)")</f>
        <v>New Player (Special Discovery Player)</v>
      </c>
      <c r="D87" s="1" t="s">
        <v>12</v>
      </c>
      <c r="E87" s="1">
        <v>1</v>
      </c>
    </row>
    <row r="88" spans="1:5" ht="13.2" x14ac:dyDescent="0.25">
      <c r="A88" t="str">
        <f ca="1">IFERROR(__xludf.DUMMYFUNCTION("""COMPUTED_VALUE"""),"Pedroso, Marquinhos *")</f>
        <v>Pedroso, Marquinhos *</v>
      </c>
      <c r="B88" t="str">
        <f ca="1">IFERROR(__xludf.DUMMYFUNCTION("""COMPUTED_VALUE"""),"FC Dallas")</f>
        <v>FC Dallas</v>
      </c>
      <c r="C88" s="1" t="str">
        <f ca="1">IFERROR(__xludf.DUMMYFUNCTION("""COMPUTED_VALUE"""),"New Player")</f>
        <v>New Player</v>
      </c>
      <c r="D88" s="1" t="s">
        <v>12</v>
      </c>
      <c r="E88" s="1">
        <v>1</v>
      </c>
    </row>
    <row r="89" spans="1:5" ht="13.2" x14ac:dyDescent="0.25">
      <c r="A89" t="str">
        <f ca="1">IFERROR(__xludf.DUMMYFUNCTION("""COMPUTED_VALUE"""),"Pena, Ronaldo *")</f>
        <v>Pena, Ronaldo *</v>
      </c>
      <c r="B89" t="str">
        <f ca="1">IFERROR(__xludf.DUMMYFUNCTION("""COMPUTED_VALUE"""),"Houston Dynamo")</f>
        <v>Houston Dynamo</v>
      </c>
      <c r="C89" s="1" t="str">
        <f ca="1">IFERROR(__xludf.DUMMYFUNCTION("""COMPUTED_VALUE"""),"New Player")</f>
        <v>New Player</v>
      </c>
      <c r="D89" s="1" t="s">
        <v>12</v>
      </c>
      <c r="E89" s="1">
        <v>1</v>
      </c>
    </row>
    <row r="90" spans="1:5" ht="13.2" x14ac:dyDescent="0.25">
      <c r="A90" t="str">
        <f ca="1">IFERROR(__xludf.DUMMYFUNCTION("""COMPUTED_VALUE"""),"Penilla, Cristian")</f>
        <v>Penilla, Cristian</v>
      </c>
      <c r="B90" t="str">
        <f ca="1">IFERROR(__xludf.DUMMYFUNCTION("""COMPUTED_VALUE"""),"New England Revolution")</f>
        <v>New England Revolution</v>
      </c>
      <c r="C90" t="str">
        <f ca="1">IFERROR(__xludf.DUMMYFUNCTION("""COMPUTED_VALUE"""),"New Player")</f>
        <v>New Player</v>
      </c>
      <c r="D90" s="1" t="s">
        <v>12</v>
      </c>
      <c r="E90" s="1">
        <v>1</v>
      </c>
    </row>
    <row r="91" spans="1:5" ht="13.2" x14ac:dyDescent="0.25">
      <c r="A91" t="str">
        <f ca="1">IFERROR(__xludf.DUMMYFUNCTION("""COMPUTED_VALUE"""),"Plata, Joao")</f>
        <v>Plata, Joao</v>
      </c>
      <c r="B91" t="str">
        <f ca="1">IFERROR(__xludf.DUMMYFUNCTION("""COMPUTED_VALUE"""),"Real Salt Lake")</f>
        <v>Real Salt Lake</v>
      </c>
      <c r="C91" t="str">
        <f ca="1">IFERROR(__xludf.DUMMYFUNCTION("""COMPUTED_VALUE"""),"Converted from DP to non-DP in 2017")</f>
        <v>Converted from DP to non-DP in 2017</v>
      </c>
      <c r="D91" s="1" t="s">
        <v>12</v>
      </c>
      <c r="E91" s="1">
        <v>1</v>
      </c>
    </row>
    <row r="92" spans="1:5" ht="13.2" x14ac:dyDescent="0.25">
      <c r="A92" t="str">
        <f ca="1">IFERROR(__xludf.DUMMYFUNCTION("""COMPUTED_VALUE"""),"Polo, Andy")</f>
        <v>Polo, Andy</v>
      </c>
      <c r="B92" t="str">
        <f ca="1">IFERROR(__xludf.DUMMYFUNCTION("""COMPUTED_VALUE"""),"Portland Timbers")</f>
        <v>Portland Timbers</v>
      </c>
      <c r="C92" t="str">
        <f ca="1">IFERROR(__xludf.DUMMYFUNCTION("""COMPUTED_VALUE"""),"New Player")</f>
        <v>New Player</v>
      </c>
      <c r="D92" s="1" t="s">
        <v>12</v>
      </c>
      <c r="E92" s="1">
        <v>1</v>
      </c>
    </row>
    <row r="93" spans="1:5" ht="13.2" x14ac:dyDescent="0.25">
      <c r="A93" t="str">
        <f ca="1">IFERROR(__xludf.DUMMYFUNCTION("""COMPUTED_VALUE"""),"Price, Jack")</f>
        <v>Price, Jack</v>
      </c>
      <c r="B93" t="str">
        <f ca="1">IFERROR(__xludf.DUMMYFUNCTION("""COMPUTED_VALUE"""),"Colorado Rapids")</f>
        <v>Colorado Rapids</v>
      </c>
      <c r="C93" t="str">
        <f ca="1">IFERROR(__xludf.DUMMYFUNCTION("""COMPUTED_VALUE"""),"New Player")</f>
        <v>New Player</v>
      </c>
      <c r="D93" s="1" t="s">
        <v>12</v>
      </c>
      <c r="E93" s="1">
        <v>1</v>
      </c>
    </row>
    <row r="94" spans="1:5" ht="13.2" x14ac:dyDescent="0.25">
      <c r="A94" t="str">
        <f ca="1">IFERROR(__xludf.DUMMYFUNCTION("""COMPUTED_VALUE"""),"Quintana, Yeferson")</f>
        <v>Quintana, Yeferson</v>
      </c>
      <c r="B94" t="str">
        <f ca="1">IFERROR(__xludf.DUMMYFUNCTION("""COMPUTED_VALUE"""),"San Jose Earthquakes")</f>
        <v>San Jose Earthquakes</v>
      </c>
      <c r="C94" t="str">
        <f ca="1">IFERROR(__xludf.DUMMYFUNCTION("""COMPUTED_VALUE"""),"New Player")</f>
        <v>New Player</v>
      </c>
      <c r="D94" s="1" t="s">
        <v>12</v>
      </c>
      <c r="E94" s="1">
        <v>1</v>
      </c>
    </row>
    <row r="95" spans="1:5" ht="13.2" x14ac:dyDescent="0.25">
      <c r="A95" t="str">
        <f ca="1">IFERROR(__xludf.DUMMYFUNCTION("""COMPUTED_VALUE"""),"Quioto, Romell")</f>
        <v>Quioto, Romell</v>
      </c>
      <c r="B95" t="str">
        <f ca="1">IFERROR(__xludf.DUMMYFUNCTION("""COMPUTED_VALUE"""),"Houston Dynamo")</f>
        <v>Houston Dynamo</v>
      </c>
      <c r="C95" t="str">
        <f ca="1">IFERROR(__xludf.DUMMYFUNCTION("""COMPUTED_VALUE"""),"New Player")</f>
        <v>New Player</v>
      </c>
      <c r="D95" s="1" t="s">
        <v>12</v>
      </c>
      <c r="E95" s="1">
        <v>1</v>
      </c>
    </row>
    <row r="96" spans="1:5" ht="13.2" x14ac:dyDescent="0.25">
      <c r="A96" t="str">
        <f ca="1">IFERROR(__xludf.DUMMYFUNCTION("""COMPUTED_VALUE"""),"Ramirez, Christian")</f>
        <v>Ramirez, Christian</v>
      </c>
      <c r="B96" t="str">
        <f ca="1">IFERROR(__xludf.DUMMYFUNCTION("""COMPUTED_VALUE"""),"Minnesota United FC")</f>
        <v>Minnesota United FC</v>
      </c>
      <c r="C96" t="str">
        <f ca="1">IFERROR(__xludf.DUMMYFUNCTION("""COMPUTED_VALUE"""),"Re-Signed Player")</f>
        <v>Re-Signed Player</v>
      </c>
      <c r="D96" s="1" t="s">
        <v>12</v>
      </c>
      <c r="E96" s="1">
        <v>1</v>
      </c>
    </row>
    <row r="97" spans="1:5" ht="13.2" x14ac:dyDescent="0.25">
      <c r="A97" t="str">
        <f ca="1">IFERROR(__xludf.DUMMYFUNCTION("""COMPUTED_VALUE"""),"Remedi, Eric *")</f>
        <v>Remedi, Eric *</v>
      </c>
      <c r="B97" t="str">
        <f ca="1">IFERROR(__xludf.DUMMYFUNCTION("""COMPUTED_VALUE"""),"Atlanta United")</f>
        <v>Atlanta United</v>
      </c>
      <c r="C97" t="str">
        <f ca="1">IFERROR(__xludf.DUMMYFUNCTION("""COMPUTED_VALUE"""),"New Player")</f>
        <v>New Player</v>
      </c>
      <c r="D97" s="1" t="s">
        <v>12</v>
      </c>
      <c r="E97" s="1">
        <v>1</v>
      </c>
    </row>
    <row r="98" spans="1:5" ht="13.2" x14ac:dyDescent="0.25">
      <c r="A98" t="str">
        <f ca="1">IFERROR(__xludf.DUMMYFUNCTION("""COMPUTED_VALUE"""),"Reyna, Yordy")</f>
        <v>Reyna, Yordy</v>
      </c>
      <c r="B98" t="str">
        <f ca="1">IFERROR(__xludf.DUMMYFUNCTION("""COMPUTED_VALUE"""),"Vancouver Whitecaps FC")</f>
        <v>Vancouver Whitecaps FC</v>
      </c>
      <c r="C98" t="str">
        <f ca="1">IFERROR(__xludf.DUMMYFUNCTION("""COMPUTED_VALUE"""),"New Player")</f>
        <v>New Player</v>
      </c>
      <c r="D98" s="1" t="s">
        <v>12</v>
      </c>
      <c r="E98" s="1">
        <v>1</v>
      </c>
    </row>
    <row r="99" spans="1:5" ht="13.2" x14ac:dyDescent="0.25">
      <c r="A99" t="str">
        <f ca="1">IFERROR(__xludf.DUMMYFUNCTION("""COMPUTED_VALUE"""),"Ridgewell, Liam")</f>
        <v>Ridgewell, Liam</v>
      </c>
      <c r="B99" t="str">
        <f ca="1">IFERROR(__xludf.DUMMYFUNCTION("""COMPUTED_VALUE"""),"Portland Timbers")</f>
        <v>Portland Timbers</v>
      </c>
      <c r="C99" t="str">
        <f ca="1">IFERROR(__xludf.DUMMYFUNCTION("""COMPUTED_VALUE"""),"Re-Signed Player")</f>
        <v>Re-Signed Player</v>
      </c>
      <c r="D99" s="1" t="s">
        <v>12</v>
      </c>
      <c r="E99" s="1">
        <v>1</v>
      </c>
    </row>
    <row r="100" spans="1:5" ht="13.2" x14ac:dyDescent="0.25">
      <c r="A100" t="str">
        <f ca="1">IFERROR(__xludf.DUMMYFUNCTION("""COMPUTED_VALUE"""),"Ring, Alexander")</f>
        <v>Ring, Alexander</v>
      </c>
      <c r="B100" t="str">
        <f ca="1">IFERROR(__xludf.DUMMYFUNCTION("""COMPUTED_VALUE"""),"New York City FC")</f>
        <v>New York City FC</v>
      </c>
      <c r="C100" t="str">
        <f ca="1">IFERROR(__xludf.DUMMYFUNCTION("""COMPUTED_VALUE"""),"New Player")</f>
        <v>New Player</v>
      </c>
      <c r="D100" s="1" t="s">
        <v>12</v>
      </c>
      <c r="E100" s="1">
        <v>1</v>
      </c>
    </row>
    <row r="101" spans="1:5" ht="13.2" x14ac:dyDescent="0.25">
      <c r="A101" t="str">
        <f ca="1">IFERROR(__xludf.DUMMYFUNCTION("""COMPUTED_VALUE"""),"Rodriguez, Victor")</f>
        <v>Rodriguez, Victor</v>
      </c>
      <c r="B101" t="str">
        <f ca="1">IFERROR(__xludf.DUMMYFUNCTION("""COMPUTED_VALUE"""),"Seattle Sounders FC")</f>
        <v>Seattle Sounders FC</v>
      </c>
      <c r="C101" t="str">
        <f ca="1">IFERROR(__xludf.DUMMYFUNCTION("""COMPUTED_VALUE"""),"New Player")</f>
        <v>New Player</v>
      </c>
      <c r="D101" s="1" t="s">
        <v>12</v>
      </c>
      <c r="E101" s="1">
        <v>1</v>
      </c>
    </row>
    <row r="102" spans="1:5" ht="13.2" x14ac:dyDescent="0.25">
      <c r="A102" t="str">
        <f ca="1">IFERROR(__xludf.DUMMYFUNCTION("""COMPUTED_VALUE"""),"Royer, Daniel")</f>
        <v>Royer, Daniel</v>
      </c>
      <c r="B102" t="str">
        <f ca="1">IFERROR(__xludf.DUMMYFUNCTION("""COMPUTED_VALUE"""),"New York Red Bulls")</f>
        <v>New York Red Bulls</v>
      </c>
      <c r="C102" t="str">
        <f ca="1">IFERROR(__xludf.DUMMYFUNCTION("""COMPUTED_VALUE"""),"New Player")</f>
        <v>New Player</v>
      </c>
      <c r="D102" s="1" t="s">
        <v>12</v>
      </c>
      <c r="E102" s="1">
        <v>1</v>
      </c>
    </row>
    <row r="103" spans="1:5" ht="13.2" x14ac:dyDescent="0.25">
      <c r="A103" t="str">
        <f ca="1">IFERROR(__xludf.DUMMYFUNCTION("""COMPUTED_VALUE"""),"Rzatkowski, Marc")</f>
        <v>Rzatkowski, Marc</v>
      </c>
      <c r="B103" t="str">
        <f ca="1">IFERROR(__xludf.DUMMYFUNCTION("""COMPUTED_VALUE"""),"New York Red Bulls")</f>
        <v>New York Red Bulls</v>
      </c>
      <c r="C103" t="str">
        <f ca="1">IFERROR(__xludf.DUMMYFUNCTION("""COMPUTED_VALUE"""),"New Player")</f>
        <v>New Player</v>
      </c>
      <c r="D103" s="1" t="s">
        <v>12</v>
      </c>
      <c r="E103" s="1">
        <v>1</v>
      </c>
    </row>
    <row r="104" spans="1:5" ht="13.2" x14ac:dyDescent="0.25">
      <c r="A104" t="str">
        <f ca="1">IFERROR(__xludf.DUMMYFUNCTION("""COMPUTED_VALUE"""),"Sane, Lamine")</f>
        <v>Sane, Lamine</v>
      </c>
      <c r="B104" t="str">
        <f ca="1">IFERROR(__xludf.DUMMYFUNCTION("""COMPUTED_VALUE"""),"Orlando City SC")</f>
        <v>Orlando City SC</v>
      </c>
      <c r="C104" t="str">
        <f ca="1">IFERROR(__xludf.DUMMYFUNCTION("""COMPUTED_VALUE"""),"New Player")</f>
        <v>New Player</v>
      </c>
      <c r="D104" s="1" t="s">
        <v>12</v>
      </c>
      <c r="E104" s="1">
        <v>1</v>
      </c>
    </row>
    <row r="105" spans="1:5" ht="13.2" x14ac:dyDescent="0.25">
      <c r="A105" t="str">
        <f ca="1">IFERROR(__xludf.DUMMYFUNCTION("""COMPUTED_VALUE"""),"Schüller, Rasmus")</f>
        <v>Schüller, Rasmus</v>
      </c>
      <c r="B105" t="str">
        <f ca="1">IFERROR(__xludf.DUMMYFUNCTION("""COMPUTED_VALUE"""),"Minnesota United FC")</f>
        <v>Minnesota United FC</v>
      </c>
      <c r="C105" t="str">
        <f ca="1">IFERROR(__xludf.DUMMYFUNCTION("""COMPUTED_VALUE"""),"New Player")</f>
        <v>New Player</v>
      </c>
      <c r="D105" s="1" t="s">
        <v>12</v>
      </c>
      <c r="E105" s="1">
        <v>1</v>
      </c>
    </row>
    <row r="106" spans="1:5" ht="13.2" x14ac:dyDescent="0.25">
      <c r="A106" t="str">
        <f ca="1">IFERROR(__xludf.DUMMYFUNCTION("""COMPUTED_VALUE"""),"Silva, Alejandro *")</f>
        <v>Silva, Alejandro *</v>
      </c>
      <c r="B106" t="str">
        <f ca="1">IFERROR(__xludf.DUMMYFUNCTION("""COMPUTED_VALUE"""),"Montreal Impact")</f>
        <v>Montreal Impact</v>
      </c>
      <c r="C106" t="str">
        <f ca="1">IFERROR(__xludf.DUMMYFUNCTION("""COMPUTED_VALUE"""),"New Player")</f>
        <v>New Player</v>
      </c>
      <c r="D106" s="1" t="s">
        <v>12</v>
      </c>
      <c r="E106" s="1">
        <v>1</v>
      </c>
    </row>
    <row r="107" spans="1:5" ht="13.2" x14ac:dyDescent="0.25">
      <c r="A107" t="str">
        <f ca="1">IFERROR(__xludf.DUMMYFUNCTION("""COMPUTED_VALUE"""),"Silva, Danilo *")</f>
        <v>Silva, Danilo *</v>
      </c>
      <c r="B107" t="str">
        <f ca="1">IFERROR(__xludf.DUMMYFUNCTION("""COMPUTED_VALUE"""),"Los Angeles Football Club")</f>
        <v>Los Angeles Football Club</v>
      </c>
      <c r="C107" t="str">
        <f ca="1">IFERROR(__xludf.DUMMYFUNCTION("""COMPUTED_VALUE"""),"New Player")</f>
        <v>New Player</v>
      </c>
      <c r="D107" s="1" t="s">
        <v>12</v>
      </c>
      <c r="E107" s="1">
        <v>1</v>
      </c>
    </row>
    <row r="108" spans="1:5" ht="13.2" x14ac:dyDescent="0.25">
      <c r="A108" t="str">
        <f ca="1">IFERROR(__xludf.DUMMYFUNCTION("""COMPUTED_VALUE"""),"Silva, Marcelo")</f>
        <v>Silva, Marcelo</v>
      </c>
      <c r="B108" t="str">
        <f ca="1">IFERROR(__xludf.DUMMYFUNCTION("""COMPUTED_VALUE"""),"Real Salt Lake")</f>
        <v>Real Salt Lake</v>
      </c>
      <c r="C108" t="str">
        <f ca="1">IFERROR(__xludf.DUMMYFUNCTION("""COMPUTED_VALUE"""),"New Player")</f>
        <v>New Player</v>
      </c>
      <c r="D108" s="1" t="s">
        <v>12</v>
      </c>
      <c r="E108" s="1">
        <v>1</v>
      </c>
    </row>
    <row r="109" spans="1:5" ht="13.2" x14ac:dyDescent="0.25">
      <c r="A109" t="str">
        <f ca="1">IFERROR(__xludf.DUMMYFUNCTION("""COMPUTED_VALUE"""),"Simpson, Jay")</f>
        <v>Simpson, Jay</v>
      </c>
      <c r="B109" t="str">
        <f ca="1">IFERROR(__xludf.DUMMYFUNCTION("""COMPUTED_VALUE"""),"Philadelphia Union")</f>
        <v>Philadelphia Union</v>
      </c>
      <c r="C109" t="str">
        <f ca="1">IFERROR(__xludf.DUMMYFUNCTION("""COMPUTED_VALUE"""),"New Player")</f>
        <v>New Player</v>
      </c>
      <c r="D109" s="1" t="s">
        <v>12</v>
      </c>
      <c r="E109" s="1">
        <v>1</v>
      </c>
    </row>
    <row r="110" spans="1:5" ht="13.2" x14ac:dyDescent="0.25">
      <c r="A110" t="str">
        <f ca="1">IFERROR(__xludf.DUMMYFUNCTION("""COMPUTED_VALUE"""),"Skjelvik, Jorgen")</f>
        <v>Skjelvik, Jorgen</v>
      </c>
      <c r="B110" t="str">
        <f ca="1">IFERROR(__xludf.DUMMYFUNCTION("""COMPUTED_VALUE"""),"LA Galaxy")</f>
        <v>LA Galaxy</v>
      </c>
      <c r="C110" t="str">
        <f ca="1">IFERROR(__xludf.DUMMYFUNCTION("""COMPUTED_VALUE"""),"New Player")</f>
        <v>New Player</v>
      </c>
      <c r="D110" s="1" t="s">
        <v>12</v>
      </c>
      <c r="E110" s="1">
        <v>1</v>
      </c>
    </row>
    <row r="111" spans="1:5" ht="13.2" x14ac:dyDescent="0.25">
      <c r="A111" t="str">
        <f ca="1">IFERROR(__xludf.DUMMYFUNCTION("""COMPUTED_VALUE"""),"Smith, Brad *")</f>
        <v>Smith, Brad *</v>
      </c>
      <c r="B111" t="str">
        <f ca="1">IFERROR(__xludf.DUMMYFUNCTION("""COMPUTED_VALUE"""),"Seattle Sounders FC")</f>
        <v>Seattle Sounders FC</v>
      </c>
      <c r="C111" t="str">
        <f ca="1">IFERROR(__xludf.DUMMYFUNCTION("""COMPUTED_VALUE"""),"New Player")</f>
        <v>New Player</v>
      </c>
      <c r="D111" s="1" t="s">
        <v>12</v>
      </c>
      <c r="E111" s="1">
        <v>1</v>
      </c>
    </row>
    <row r="112" spans="1:5" ht="13.2" x14ac:dyDescent="0.25">
      <c r="A112" t="str">
        <f ca="1">IFERROR(__xludf.DUMMYFUNCTION("""COMPUTED_VALUE"""),"Smith, Tommy")</f>
        <v>Smith, Tommy</v>
      </c>
      <c r="B112" t="str">
        <f ca="1">IFERROR(__xludf.DUMMYFUNCTION("""COMPUTED_VALUE"""),"Colorado Rapids")</f>
        <v>Colorado Rapids</v>
      </c>
      <c r="C112" t="str">
        <f ca="1">IFERROR(__xludf.DUMMYFUNCTION("""COMPUTED_VALUE"""),"New Player")</f>
        <v>New Player</v>
      </c>
      <c r="D112" s="1" t="s">
        <v>12</v>
      </c>
      <c r="E112" s="1">
        <v>1</v>
      </c>
    </row>
    <row r="113" spans="1:5" ht="13.2" x14ac:dyDescent="0.25">
      <c r="A113" t="str">
        <f ca="1">IFERROR(__xludf.DUMMYFUNCTION("""COMPUTED_VALUE"""),"Spector, Jonathan")</f>
        <v>Spector, Jonathan</v>
      </c>
      <c r="B113" t="str">
        <f ca="1">IFERROR(__xludf.DUMMYFUNCTION("""COMPUTED_VALUE"""),"Orlando City SC")</f>
        <v>Orlando City SC</v>
      </c>
      <c r="C113" t="str">
        <f ca="1">IFERROR(__xludf.DUMMYFUNCTION("""COMPUTED_VALUE"""),"New Player")</f>
        <v>New Player</v>
      </c>
      <c r="D113" s="1" t="s">
        <v>12</v>
      </c>
      <c r="E113" s="1">
        <v>1</v>
      </c>
    </row>
    <row r="114" spans="1:5" ht="13.2" x14ac:dyDescent="0.25">
      <c r="A114" t="str">
        <f ca="1">IFERROR(__xludf.DUMMYFUNCTION("""COMPUTED_VALUE"""),"Stieber, Zoltan")</f>
        <v>Stieber, Zoltan</v>
      </c>
      <c r="B114" t="str">
        <f ca="1">IFERROR(__xludf.DUMMYFUNCTION("""COMPUTED_VALUE"""),"D.C. United")</f>
        <v>D.C. United</v>
      </c>
      <c r="C114" t="str">
        <f ca="1">IFERROR(__xludf.DUMMYFUNCTION("""COMPUTED_VALUE"""),"Re-Signed Player")</f>
        <v>Re-Signed Player</v>
      </c>
      <c r="D114" s="1" t="s">
        <v>12</v>
      </c>
      <c r="E114" s="1">
        <v>1</v>
      </c>
    </row>
    <row r="115" spans="1:5" ht="13.2" x14ac:dyDescent="0.25">
      <c r="A115" t="str">
        <f ca="1">IFERROR(__xludf.DUMMYFUNCTION("""COMPUTED_VALUE"""),"Tajouri, Ismael")</f>
        <v>Tajouri, Ismael</v>
      </c>
      <c r="B115" t="str">
        <f ca="1">IFERROR(__xludf.DUMMYFUNCTION("""COMPUTED_VALUE"""),"New York City FC")</f>
        <v>New York City FC</v>
      </c>
      <c r="C115" t="str">
        <f ca="1">IFERROR(__xludf.DUMMYFUNCTION("""COMPUTED_VALUE"""),"New Player")</f>
        <v>New Player</v>
      </c>
      <c r="D115" s="1" t="s">
        <v>12</v>
      </c>
      <c r="E115" s="1">
        <v>1</v>
      </c>
    </row>
    <row r="116" spans="1:5" ht="13.2" x14ac:dyDescent="0.25">
      <c r="A116" t="str">
        <f ca="1">IFERROR(__xludf.DUMMYFUNCTION("""COMPUTED_VALUE"""),"Techera, Cristian")</f>
        <v>Techera, Cristian</v>
      </c>
      <c r="B116" t="str">
        <f ca="1">IFERROR(__xludf.DUMMYFUNCTION("""COMPUTED_VALUE"""),"Vancouver Whitecaps FC")</f>
        <v>Vancouver Whitecaps FC</v>
      </c>
      <c r="C116" t="str">
        <f ca="1">IFERROR(__xludf.DUMMYFUNCTION("""COMPUTED_VALUE"""),"New Player (Transfer Exercised)")</f>
        <v>New Player (Transfer Exercised)</v>
      </c>
      <c r="D116" s="1" t="s">
        <v>12</v>
      </c>
      <c r="E116" s="1">
        <v>1</v>
      </c>
    </row>
    <row r="117" spans="1:5" ht="13.2" x14ac:dyDescent="0.25">
      <c r="A117" t="str">
        <f ca="1">IFERROR(__xludf.DUMMYFUNCTION("""COMPUTED_VALUE"""),"Tinnerholm, Anton")</f>
        <v>Tinnerholm, Anton</v>
      </c>
      <c r="B117" t="str">
        <f ca="1">IFERROR(__xludf.DUMMYFUNCTION("""COMPUTED_VALUE"""),"New York City FC")</f>
        <v>New York City FC</v>
      </c>
      <c r="C117" t="str">
        <f ca="1">IFERROR(__xludf.DUMMYFUNCTION("""COMPUTED_VALUE"""),"New Player")</f>
        <v>New Player</v>
      </c>
      <c r="D117" s="1" t="s">
        <v>12</v>
      </c>
      <c r="E117" s="1">
        <v>1</v>
      </c>
    </row>
    <row r="118" spans="1:5" ht="13.2" x14ac:dyDescent="0.25">
      <c r="A118" t="str">
        <f ca="1">IFERROR(__xludf.DUMMYFUNCTION("""COMPUTED_VALUE"""),"Torres, Román")</f>
        <v>Torres, Román</v>
      </c>
      <c r="B118" t="str">
        <f ca="1">IFERROR(__xludf.DUMMYFUNCTION("""COMPUTED_VALUE"""),"Seattle Sounders FC")</f>
        <v>Seattle Sounders FC</v>
      </c>
      <c r="C118" t="str">
        <f ca="1">IFERROR(__xludf.DUMMYFUNCTION("""COMPUTED_VALUE"""),"New Player")</f>
        <v>New Player</v>
      </c>
      <c r="D118" s="1" t="s">
        <v>12</v>
      </c>
      <c r="E118" s="1">
        <v>1</v>
      </c>
    </row>
    <row r="119" spans="1:5" ht="13.2" x14ac:dyDescent="0.25">
      <c r="A119" t="str">
        <f ca="1">IFERROR(__xludf.DUMMYFUNCTION("""COMPUTED_VALUE"""),"Urruti, Maximiliano")</f>
        <v>Urruti, Maximiliano</v>
      </c>
      <c r="B119" t="str">
        <f ca="1">IFERROR(__xludf.DUMMYFUNCTION("""COMPUTED_VALUE"""),"FC Dallas")</f>
        <v>FC Dallas</v>
      </c>
      <c r="C119" t="str">
        <f ca="1">IFERROR(__xludf.DUMMYFUNCTION("""COMPUTED_VALUE"""),"Re-Signed Player")</f>
        <v>Re-Signed Player</v>
      </c>
      <c r="D119" s="1" t="s">
        <v>12</v>
      </c>
      <c r="E119" s="1">
        <v>1</v>
      </c>
    </row>
    <row r="120" spans="1:5" ht="13.2" x14ac:dyDescent="0.25">
      <c r="A120" t="str">
        <f ca="1">IFERROR(__xludf.DUMMYFUNCTION("""COMPUTED_VALUE"""),"van der Wiel, Gregory")</f>
        <v>van der Wiel, Gregory</v>
      </c>
      <c r="B120" t="str">
        <f ca="1">IFERROR(__xludf.DUMMYFUNCTION("""COMPUTED_VALUE"""),"Toronto FC")</f>
        <v>Toronto FC</v>
      </c>
      <c r="C120" t="str">
        <f ca="1">IFERROR(__xludf.DUMMYFUNCTION("""COMPUTED_VALUE"""),"New Player")</f>
        <v>New Player</v>
      </c>
      <c r="D120" s="1" t="s">
        <v>12</v>
      </c>
      <c r="E120" s="1">
        <v>1</v>
      </c>
    </row>
    <row r="121" spans="1:5" ht="13.2" x14ac:dyDescent="0.25">
      <c r="A121" t="str">
        <f ca="1">IFERROR(__xludf.DUMMYFUNCTION("""COMPUTED_VALUE"""),"Vargas, Jeisson")</f>
        <v>Vargas, Jeisson</v>
      </c>
      <c r="B121" t="str">
        <f ca="1">IFERROR(__xludf.DUMMYFUNCTION("""COMPUTED_VALUE"""),"Montreal Impact")</f>
        <v>Montreal Impact</v>
      </c>
      <c r="C121" t="str">
        <f ca="1">IFERROR(__xludf.DUMMYFUNCTION("""COMPUTED_VALUE"""),"New Player")</f>
        <v>New Player</v>
      </c>
      <c r="D121" s="1" t="s">
        <v>12</v>
      </c>
      <c r="E121" s="1">
        <v>1</v>
      </c>
    </row>
    <row r="122" spans="1:5" ht="13.2" x14ac:dyDescent="0.25">
      <c r="A122" t="str">
        <f ca="1">IFERROR(__xludf.DUMMYFUNCTION("""COMPUTED_VALUE"""),"Vazquez, Victor")</f>
        <v>Vazquez, Victor</v>
      </c>
      <c r="B122" t="str">
        <f ca="1">IFERROR(__xludf.DUMMYFUNCTION("""COMPUTED_VALUE"""),"Toronto FC")</f>
        <v>Toronto FC</v>
      </c>
      <c r="C122" t="str">
        <f ca="1">IFERROR(__xludf.DUMMYFUNCTION("""COMPUTED_VALUE"""),"New Player")</f>
        <v>New Player</v>
      </c>
      <c r="D122" s="1" t="s">
        <v>12</v>
      </c>
      <c r="E122" s="1">
        <v>1</v>
      </c>
    </row>
    <row r="123" spans="1:5" ht="13.2" x14ac:dyDescent="0.25">
      <c r="A123" t="str">
        <f ca="1">IFERROR(__xludf.DUMMYFUNCTION("""COMPUTED_VALUE"""),"Villafana, Jorge")</f>
        <v>Villafana, Jorge</v>
      </c>
      <c r="B123" t="str">
        <f ca="1">IFERROR(__xludf.DUMMYFUNCTION("""COMPUTED_VALUE"""),"Portland Timbers")</f>
        <v>Portland Timbers</v>
      </c>
      <c r="C123" t="str">
        <f ca="1">IFERROR(__xludf.DUMMYFUNCTION("""COMPUTED_VALUE"""),"Re-Signed Player")</f>
        <v>Re-Signed Player</v>
      </c>
      <c r="D123" s="1" t="s">
        <v>12</v>
      </c>
      <c r="E123" s="1">
        <v>1</v>
      </c>
    </row>
    <row r="124" spans="1:5" ht="13.2" x14ac:dyDescent="0.25">
      <c r="A124" t="str">
        <f ca="1">IFERROR(__xludf.DUMMYFUNCTION("""COMPUTED_VALUE"""),"Villalba, Hector")</f>
        <v>Villalba, Hector</v>
      </c>
      <c r="B124" t="str">
        <f ca="1">IFERROR(__xludf.DUMMYFUNCTION("""COMPUTED_VALUE"""),"Atlanta United")</f>
        <v>Atlanta United</v>
      </c>
      <c r="C124" t="str">
        <f ca="1">IFERROR(__xludf.DUMMYFUNCTION("""COMPUTED_VALUE"""),"Converted from DP to non-DP in 2018")</f>
        <v>Converted from DP to non-DP in 2018</v>
      </c>
      <c r="D124" s="1" t="s">
        <v>12</v>
      </c>
      <c r="E124" s="1">
        <v>1</v>
      </c>
    </row>
    <row r="125" spans="1:5" ht="13.2" x14ac:dyDescent="0.25">
      <c r="A125" t="str">
        <f ca="1">IFERROR(__xludf.DUMMYFUNCTION("""COMPUTED_VALUE"""),"Wilson, Danny")</f>
        <v>Wilson, Danny</v>
      </c>
      <c r="B125" t="str">
        <f ca="1">IFERROR(__xludf.DUMMYFUNCTION("""COMPUTED_VALUE"""),"Colorado Rapids")</f>
        <v>Colorado Rapids</v>
      </c>
      <c r="C125" t="str">
        <f ca="1">IFERROR(__xludf.DUMMYFUNCTION("""COMPUTED_VALUE"""),"New Player")</f>
        <v>New Player</v>
      </c>
      <c r="D125" s="1" t="s">
        <v>12</v>
      </c>
      <c r="E125" s="1">
        <v>1</v>
      </c>
    </row>
    <row r="126" spans="1:5" ht="13.2" x14ac:dyDescent="0.25">
      <c r="A126" t="str">
        <f ca="1">IFERROR(__xludf.DUMMYFUNCTION("""COMPUTED_VALUE"""),"Yotun, Yoshi")</f>
        <v>Yotun, Yoshi</v>
      </c>
      <c r="B126" t="str">
        <f ca="1">IFERROR(__xludf.DUMMYFUNCTION("""COMPUTED_VALUE"""),"Orlando City SC")</f>
        <v>Orlando City SC</v>
      </c>
      <c r="C126" t="str">
        <f ca="1">IFERROR(__xludf.DUMMYFUNCTION("""COMPUTED_VALUE"""),"Converted from DP to non-DP in 2018")</f>
        <v>Converted from DP to non-DP in 2018</v>
      </c>
      <c r="D126" s="1" t="s">
        <v>12</v>
      </c>
      <c r="E126" s="1">
        <v>1</v>
      </c>
    </row>
    <row r="127" spans="1:5" ht="13.2" x14ac:dyDescent="0.25">
      <c r="A127" t="str">
        <f ca="1">IFERROR(__xludf.DUMMYFUNCTION("""COMPUTED_VALUE"""),"Zahibo, Wilfried")</f>
        <v>Zahibo, Wilfried</v>
      </c>
      <c r="B127" t="str">
        <f ca="1">IFERROR(__xludf.DUMMYFUNCTION("""COMPUTED_VALUE"""),"New England Revolution")</f>
        <v>New England Revolution</v>
      </c>
      <c r="C127" t="str">
        <f ca="1">IFERROR(__xludf.DUMMYFUNCTION("""COMPUTED_VALUE"""),"New Player")</f>
        <v>New Player</v>
      </c>
      <c r="D127" s="1" t="s">
        <v>12</v>
      </c>
      <c r="E127" s="1">
        <v>1</v>
      </c>
    </row>
    <row r="128" spans="1:5" ht="13.2" x14ac:dyDescent="0.25">
      <c r="A128" t="str">
        <f ca="1">IFERROR(__xludf.DUMMYFUNCTION("""COMPUTED_VALUE"""),"Ziegler, Reto")</f>
        <v>Ziegler, Reto</v>
      </c>
      <c r="B128" t="str">
        <f ca="1">IFERROR(__xludf.DUMMYFUNCTION("""COMPUTED_VALUE"""),"FC Dallas")</f>
        <v>FC Dallas</v>
      </c>
      <c r="C128" t="str">
        <f ca="1">IFERROR(__xludf.DUMMYFUNCTION("""COMPUTED_VALUE"""),"New Player")</f>
        <v>New Player</v>
      </c>
      <c r="D128" s="1" t="s">
        <v>12</v>
      </c>
      <c r="E128" s="1">
        <v>1</v>
      </c>
    </row>
    <row r="129" spans="1:5" ht="13.2" x14ac:dyDescent="0.25">
      <c r="A129" t="str">
        <f ca="1">IFERROR(__xludf.DUMMYFUNCTION("""COMPUTED_VALUE"""),"Zusi, Graham")</f>
        <v>Zusi, Graham</v>
      </c>
      <c r="B129" t="str">
        <f ca="1">IFERROR(__xludf.DUMMYFUNCTION("""COMPUTED_VALUE"""),"Sporting Kansas City")</f>
        <v>Sporting Kansas City</v>
      </c>
      <c r="C129" t="str">
        <f ca="1">IFERROR(__xludf.DUMMYFUNCTION("""COMPUTED_VALUE"""),"Converted from DP to non-DP in 2018")</f>
        <v>Converted from DP to non-DP in 2018</v>
      </c>
      <c r="D129" s="1" t="s">
        <v>12</v>
      </c>
      <c r="E12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2018 Final Rosters</vt:lpstr>
      <vt:lpstr>TAM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Baucke, Spencer(GE Capital)</cp:lastModifiedBy>
  <dcterms:modified xsi:type="dcterms:W3CDTF">2018-11-01T12:55:36Z</dcterms:modified>
</cp:coreProperties>
</file>