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130"/>
  <workbookPr filterPrivacy="1"/>
  <xr:revisionPtr revIDLastSave="0" documentId="13_ncr:1_{3FAAFDAB-259A-4D83-A70E-8C62231FAA18}" xr6:coauthVersionLast="47" xr6:coauthVersionMax="47" xr10:uidLastSave="{00000000-0000-0000-0000-000000000000}"/>
  <workbookProtection workbookAlgorithmName="SHA-512" workbookHashValue="NsBhQ2tXaoXBkBZZf/0EPGtjSrAMlIECRCSD6RI4KikLlVDpTkMB1tsoqIfQx24bmNPFTT4cSkpRbHj0Gg2UCw==" workbookSaltValue="EOYl17YQCg9clRcpXig2Kg==" workbookSpinCount="100000" lockStructure="1"/>
  <bookViews>
    <workbookView xWindow="-110" yWindow="-110" windowWidth="19420" windowHeight="11020" tabRatio="877" xr2:uid="{00000000-000D-0000-FFFF-FFFF00000000}"/>
  </bookViews>
  <sheets>
    <sheet name="INPUT" sheetId="14" r:id="rId1"/>
    <sheet name="Capital Cost" sheetId="9" r:id="rId2"/>
    <sheet name="RESULT" sheetId="13" r:id="rId3"/>
    <sheet name="Assumption for solar PV Power P" sheetId="4" r:id="rId4"/>
    <sheet name="Determination_of_Tariff" sheetId="5" r:id="rId5"/>
    <sheet name="Interest(onLOAN)" sheetId="3" r:id="rId6"/>
    <sheet name="P&amp;L" sheetId="6" r:id="rId7"/>
    <sheet name="Payback&amp;IRR" sheetId="10" r:id="rId8"/>
  </sheets>
  <externalReferences>
    <externalReference r:id="rId9"/>
  </externalReferences>
  <definedNames>
    <definedName name="StateIP">'[1]Inputs&amp;Summary'!$D$15</definedName>
    <definedName name="TechnologyIP">'[1]Inputs&amp;Summary'!$D$16</definedName>
  </definedNames>
  <calcPr calcId="181029" iterate="1" iterateCount="307"/>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F11" i="4" l="1"/>
  <c r="K56" i="5"/>
  <c r="D64" i="5"/>
  <c r="B48" i="5"/>
  <c r="B47" i="5"/>
  <c r="F33" i="4"/>
  <c r="F43" i="4"/>
  <c r="F30" i="4"/>
  <c r="F29" i="4"/>
  <c r="F23" i="4" l="1"/>
  <c r="F5" i="4" l="1"/>
  <c r="B42" i="4" l="1"/>
  <c r="B43" i="4" s="1"/>
  <c r="A49" i="5" l="1"/>
  <c r="C22" i="9"/>
  <c r="B43" i="5" l="1"/>
  <c r="A43" i="5"/>
  <c r="A42" i="5"/>
  <c r="A41" i="5"/>
  <c r="D14" i="5" l="1"/>
  <c r="B34" i="5" s="1"/>
  <c r="B40" i="6"/>
  <c r="E14" i="5" l="1"/>
  <c r="C34" i="5" s="1"/>
  <c r="D39" i="6"/>
  <c r="F14" i="5" l="1"/>
  <c r="D34" i="5" s="1"/>
  <c r="E39" i="6"/>
  <c r="C27" i="14"/>
  <c r="B59" i="5"/>
  <c r="U64" i="5" l="1"/>
  <c r="D68" i="5"/>
  <c r="G14" i="5"/>
  <c r="E34" i="5" s="1"/>
  <c r="F39" i="6"/>
  <c r="F55" i="4"/>
  <c r="H14" i="5" l="1"/>
  <c r="F34" i="5" s="1"/>
  <c r="G39" i="6"/>
  <c r="F9" i="4"/>
  <c r="D9" i="4"/>
  <c r="F8" i="4"/>
  <c r="I14" i="5" l="1"/>
  <c r="G34" i="5" s="1"/>
  <c r="H39" i="6"/>
  <c r="D77" i="5"/>
  <c r="J14" i="5" l="1"/>
  <c r="H34" i="5" s="1"/>
  <c r="I39" i="6"/>
  <c r="E57" i="5"/>
  <c r="D57" i="5"/>
  <c r="K14" i="5" l="1"/>
  <c r="I34" i="5" s="1"/>
  <c r="J39" i="6"/>
  <c r="C38" i="14"/>
  <c r="C37" i="14"/>
  <c r="L14" i="5" l="1"/>
  <c r="J34" i="5" s="1"/>
  <c r="K39" i="6"/>
  <c r="K58" i="5"/>
  <c r="D69" i="5" s="1"/>
  <c r="K57" i="5"/>
  <c r="K59" i="5" s="1"/>
  <c r="M14" i="5" l="1"/>
  <c r="K34" i="5" s="1"/>
  <c r="L39" i="6"/>
  <c r="C20" i="9"/>
  <c r="C16" i="9"/>
  <c r="D15" i="5" s="1"/>
  <c r="B35" i="5" s="1"/>
  <c r="F7" i="4"/>
  <c r="C28" i="4"/>
  <c r="C27" i="4"/>
  <c r="F28" i="4"/>
  <c r="F27" i="4"/>
  <c r="I31" i="4" s="1"/>
  <c r="B41" i="5" s="1"/>
  <c r="F24" i="4"/>
  <c r="C9" i="3"/>
  <c r="F16" i="4"/>
  <c r="C24" i="9"/>
  <c r="I32" i="4" l="1"/>
  <c r="N14" i="5"/>
  <c r="L34" i="5" s="1"/>
  <c r="M39" i="6"/>
  <c r="D5" i="9"/>
  <c r="C21" i="9"/>
  <c r="C23" i="9" s="1"/>
  <c r="F12" i="4" s="1"/>
  <c r="D7" i="9"/>
  <c r="D4" i="9"/>
  <c r="D12" i="9"/>
  <c r="D9" i="9"/>
  <c r="D8" i="9"/>
  <c r="D6" i="9"/>
  <c r="D12" i="6"/>
  <c r="B42" i="5" l="1"/>
  <c r="F26" i="14"/>
  <c r="O14" i="5"/>
  <c r="M34" i="5" s="1"/>
  <c r="N39" i="6"/>
  <c r="D40" i="6"/>
  <c r="D3" i="5"/>
  <c r="E3" i="5"/>
  <c r="F3" i="5"/>
  <c r="G3" i="5"/>
  <c r="H3" i="5"/>
  <c r="I3" i="5"/>
  <c r="J3" i="5"/>
  <c r="K3" i="5"/>
  <c r="L3" i="5"/>
  <c r="M3" i="5"/>
  <c r="N3" i="5"/>
  <c r="O3" i="5"/>
  <c r="P3" i="5"/>
  <c r="Q3" i="5"/>
  <c r="R3" i="5"/>
  <c r="S3" i="5"/>
  <c r="T3" i="5"/>
  <c r="U3" i="5"/>
  <c r="V3" i="5"/>
  <c r="W3" i="5"/>
  <c r="X3" i="5"/>
  <c r="Y3" i="5"/>
  <c r="Z3" i="5"/>
  <c r="AA3" i="5"/>
  <c r="AB3" i="5"/>
  <c r="F13" i="4"/>
  <c r="F41" i="4" s="1"/>
  <c r="F54" i="4"/>
  <c r="D9" i="5" s="1"/>
  <c r="D38" i="6" s="1"/>
  <c r="B32" i="5" l="1"/>
  <c r="E9" i="5"/>
  <c r="P14" i="5"/>
  <c r="N34" i="5" s="1"/>
  <c r="O39" i="6"/>
  <c r="D4" i="5"/>
  <c r="D6" i="5" s="1"/>
  <c r="D7" i="5" s="1"/>
  <c r="D62" i="5" s="1"/>
  <c r="D20" i="6" s="1"/>
  <c r="F9" i="5" l="1"/>
  <c r="E38" i="6"/>
  <c r="C32" i="5"/>
  <c r="B33" i="5"/>
  <c r="D75" i="5"/>
  <c r="Q14" i="5"/>
  <c r="O34" i="5" s="1"/>
  <c r="P39" i="6"/>
  <c r="E4" i="5"/>
  <c r="G9" i="5" l="1"/>
  <c r="F38" i="6"/>
  <c r="D32" i="5"/>
  <c r="E32" i="5" s="1"/>
  <c r="F32" i="5" s="1"/>
  <c r="G32" i="5" s="1"/>
  <c r="H32" i="5" s="1"/>
  <c r="I32" i="5" s="1"/>
  <c r="J32" i="5" s="1"/>
  <c r="K32" i="5" s="1"/>
  <c r="L32" i="5" s="1"/>
  <c r="M32" i="5" s="1"/>
  <c r="N32" i="5" s="1"/>
  <c r="O32" i="5" s="1"/>
  <c r="P32" i="5" s="1"/>
  <c r="Q32" i="5" s="1"/>
  <c r="R32" i="5" s="1"/>
  <c r="S32" i="5" s="1"/>
  <c r="T32" i="5" s="1"/>
  <c r="U32" i="5" s="1"/>
  <c r="V32" i="5" s="1"/>
  <c r="W32" i="5" s="1"/>
  <c r="X32" i="5" s="1"/>
  <c r="Y32" i="5" s="1"/>
  <c r="Z32" i="5" s="1"/>
  <c r="C33" i="5"/>
  <c r="R14" i="5"/>
  <c r="P34" i="5" s="1"/>
  <c r="Q39" i="6"/>
  <c r="E6" i="5"/>
  <c r="E7" i="5" s="1"/>
  <c r="E62" i="5" s="1"/>
  <c r="F4" i="5"/>
  <c r="G4" i="5" s="1"/>
  <c r="H4" i="5" s="1"/>
  <c r="I4" i="5" s="1"/>
  <c r="J4" i="5" s="1"/>
  <c r="K4" i="5" s="1"/>
  <c r="L4" i="5" s="1"/>
  <c r="M4" i="5" s="1"/>
  <c r="N4" i="5" s="1"/>
  <c r="O4" i="5" s="1"/>
  <c r="P4" i="5" s="1"/>
  <c r="Q4" i="5" s="1"/>
  <c r="R4" i="5" s="1"/>
  <c r="S4" i="5" s="1"/>
  <c r="T4" i="5" s="1"/>
  <c r="U4" i="5" s="1"/>
  <c r="V4" i="5" s="1"/>
  <c r="W4" i="5" s="1"/>
  <c r="X4" i="5" s="1"/>
  <c r="Y4" i="5" s="1"/>
  <c r="Z4" i="5" s="1"/>
  <c r="AA4" i="5" s="1"/>
  <c r="AB4" i="5" s="1"/>
  <c r="H9" i="5" l="1"/>
  <c r="G38" i="6"/>
  <c r="E20" i="6"/>
  <c r="S14" i="5"/>
  <c r="Q34" i="5" s="1"/>
  <c r="R39" i="6"/>
  <c r="F6" i="5"/>
  <c r="F7" i="5" s="1"/>
  <c r="F62" i="5" s="1"/>
  <c r="G6" i="5"/>
  <c r="G7" i="5" s="1"/>
  <c r="Q45" i="10"/>
  <c r="R45" i="10"/>
  <c r="S45" i="10"/>
  <c r="T45" i="10"/>
  <c r="U45" i="10"/>
  <c r="V45" i="10"/>
  <c r="W45" i="10"/>
  <c r="X45" i="10"/>
  <c r="Y45" i="10"/>
  <c r="Z45" i="10"/>
  <c r="AA45" i="10"/>
  <c r="AB45" i="10"/>
  <c r="I9" i="5" l="1"/>
  <c r="H38" i="6"/>
  <c r="F20" i="6"/>
  <c r="E75" i="5"/>
  <c r="T14" i="5"/>
  <c r="R34" i="5" s="1"/>
  <c r="S39" i="6"/>
  <c r="H6" i="5"/>
  <c r="H7" i="5" s="1"/>
  <c r="J9" i="5" l="1"/>
  <c r="I38" i="6"/>
  <c r="G62" i="5"/>
  <c r="G20" i="6" s="1"/>
  <c r="U14" i="5"/>
  <c r="S34" i="5" s="1"/>
  <c r="T39" i="6"/>
  <c r="I6" i="5"/>
  <c r="I7" i="5" s="1"/>
  <c r="C47" i="10"/>
  <c r="C48" i="10" s="1"/>
  <c r="C66" i="10"/>
  <c r="C67" i="10" s="1"/>
  <c r="K9" i="5" l="1"/>
  <c r="J38" i="6"/>
  <c r="H62" i="5"/>
  <c r="H20" i="6" s="1"/>
  <c r="V14" i="5"/>
  <c r="T34" i="5" s="1"/>
  <c r="U39" i="6"/>
  <c r="J6" i="5"/>
  <c r="J7" i="5" s="1"/>
  <c r="T11" i="5"/>
  <c r="U11" i="5"/>
  <c r="V11" i="5"/>
  <c r="W11" i="5"/>
  <c r="X11" i="5"/>
  <c r="Y11" i="5"/>
  <c r="Z11" i="5"/>
  <c r="AA11" i="5"/>
  <c r="AB11" i="5"/>
  <c r="Q11" i="5"/>
  <c r="R11" i="5"/>
  <c r="S11" i="5"/>
  <c r="L9" i="5" l="1"/>
  <c r="K38" i="6"/>
  <c r="I62" i="5"/>
  <c r="I20" i="6" s="1"/>
  <c r="W14" i="5"/>
  <c r="U34" i="5" s="1"/>
  <c r="V39" i="6"/>
  <c r="X53" i="6"/>
  <c r="Z53" i="6"/>
  <c r="W53" i="6"/>
  <c r="U53" i="6"/>
  <c r="Y53" i="6"/>
  <c r="S53" i="6"/>
  <c r="R53" i="6"/>
  <c r="V53" i="6"/>
  <c r="Q53" i="6"/>
  <c r="AB53" i="6"/>
  <c r="T53" i="6"/>
  <c r="AA53" i="6"/>
  <c r="K6" i="5"/>
  <c r="K7" i="5" s="1"/>
  <c r="D16" i="9"/>
  <c r="B46" i="5"/>
  <c r="M9" i="5" l="1"/>
  <c r="L38" i="6"/>
  <c r="J62" i="5"/>
  <c r="J20" i="6" s="1"/>
  <c r="X14" i="5"/>
  <c r="V34" i="5" s="1"/>
  <c r="W39" i="6"/>
  <c r="L6" i="5"/>
  <c r="L7" i="5" s="1"/>
  <c r="N9" i="5" l="1"/>
  <c r="M38" i="6"/>
  <c r="K62" i="5"/>
  <c r="K20" i="6" s="1"/>
  <c r="Y14" i="5"/>
  <c r="W34" i="5" s="1"/>
  <c r="X39" i="6"/>
  <c r="M6" i="5"/>
  <c r="M7" i="5" s="1"/>
  <c r="G42" i="4"/>
  <c r="C5" i="10"/>
  <c r="C35" i="10" s="1"/>
  <c r="O9" i="5" l="1"/>
  <c r="N38" i="6"/>
  <c r="L62" i="5"/>
  <c r="L20" i="6" s="1"/>
  <c r="Z14" i="5"/>
  <c r="X34" i="5" s="1"/>
  <c r="Y39" i="6"/>
  <c r="D41" i="6"/>
  <c r="N6" i="5"/>
  <c r="N7" i="5" s="1"/>
  <c r="E10" i="5"/>
  <c r="M10" i="5"/>
  <c r="D10" i="5"/>
  <c r="F10" i="5"/>
  <c r="N10" i="5"/>
  <c r="K10" i="5"/>
  <c r="G10" i="5"/>
  <c r="O10" i="5"/>
  <c r="H10" i="5"/>
  <c r="I10" i="5"/>
  <c r="J10" i="5"/>
  <c r="L10" i="5"/>
  <c r="G43" i="4"/>
  <c r="P10" i="5" s="1"/>
  <c r="C13" i="10"/>
  <c r="C14" i="10" s="1"/>
  <c r="C23" i="10"/>
  <c r="D13" i="6"/>
  <c r="D14" i="6"/>
  <c r="D15" i="6"/>
  <c r="D11" i="6"/>
  <c r="D8" i="6"/>
  <c r="P9" i="5" l="1"/>
  <c r="O38" i="6"/>
  <c r="M62" i="5"/>
  <c r="M20" i="6" s="1"/>
  <c r="AA14" i="5"/>
  <c r="Y34" i="5" s="1"/>
  <c r="Z39" i="6"/>
  <c r="AB73" i="6"/>
  <c r="N73" i="6"/>
  <c r="F73" i="6"/>
  <c r="R72" i="6"/>
  <c r="J72" i="6"/>
  <c r="Z73" i="6"/>
  <c r="D73" i="6"/>
  <c r="P72" i="6"/>
  <c r="H72" i="6"/>
  <c r="O73" i="6"/>
  <c r="AA73" i="6"/>
  <c r="M73" i="6"/>
  <c r="E73" i="6"/>
  <c r="Q72" i="6"/>
  <c r="I72" i="6"/>
  <c r="L73" i="6"/>
  <c r="X72" i="6"/>
  <c r="Y73" i="6"/>
  <c r="K73" i="6"/>
  <c r="AB72" i="6"/>
  <c r="O72" i="6"/>
  <c r="G72" i="6"/>
  <c r="X73" i="6"/>
  <c r="J73" i="6"/>
  <c r="AA72" i="6"/>
  <c r="N72" i="6"/>
  <c r="F72" i="6"/>
  <c r="G73" i="6"/>
  <c r="Q73" i="6"/>
  <c r="I73" i="6"/>
  <c r="Z72" i="6"/>
  <c r="M72" i="6"/>
  <c r="E72" i="6"/>
  <c r="P73" i="6"/>
  <c r="H73" i="6"/>
  <c r="Y72" i="6"/>
  <c r="L72" i="6"/>
  <c r="D72" i="6"/>
  <c r="K72" i="6"/>
  <c r="E102" i="6"/>
  <c r="M102" i="6"/>
  <c r="F102" i="6"/>
  <c r="N102" i="6"/>
  <c r="AB102" i="6"/>
  <c r="P102" i="6"/>
  <c r="I102" i="6"/>
  <c r="X102" i="6"/>
  <c r="Y102" i="6"/>
  <c r="L102" i="6"/>
  <c r="G102" i="6"/>
  <c r="O102" i="6"/>
  <c r="R102" i="6"/>
  <c r="H102" i="6"/>
  <c r="Q102" i="6"/>
  <c r="J102" i="6"/>
  <c r="K102" i="6"/>
  <c r="Z102" i="6"/>
  <c r="AA102" i="6"/>
  <c r="D103" i="6"/>
  <c r="M103" i="6"/>
  <c r="AA103" i="6"/>
  <c r="AB89" i="6"/>
  <c r="M89" i="6"/>
  <c r="H88" i="6"/>
  <c r="P88" i="6"/>
  <c r="F88" i="6"/>
  <c r="E103" i="6"/>
  <c r="G89" i="6"/>
  <c r="J88" i="6"/>
  <c r="D88" i="6"/>
  <c r="P103" i="6"/>
  <c r="H89" i="6"/>
  <c r="K88" i="6"/>
  <c r="I103" i="6"/>
  <c r="X89" i="6"/>
  <c r="L88" i="6"/>
  <c r="J103" i="6"/>
  <c r="E89" i="6"/>
  <c r="Y103" i="6"/>
  <c r="K89" i="6"/>
  <c r="AA88" i="6"/>
  <c r="Z103" i="6"/>
  <c r="G88" i="6"/>
  <c r="AB88" i="6"/>
  <c r="F103" i="6"/>
  <c r="N103" i="6"/>
  <c r="AB103" i="6"/>
  <c r="F89" i="6"/>
  <c r="N89" i="6"/>
  <c r="I88" i="6"/>
  <c r="Q88" i="6"/>
  <c r="E88" i="6"/>
  <c r="O103" i="6"/>
  <c r="O89" i="6"/>
  <c r="R88" i="6"/>
  <c r="H103" i="6"/>
  <c r="D102" i="6"/>
  <c r="P89" i="6"/>
  <c r="X88" i="6"/>
  <c r="Q103" i="6"/>
  <c r="Q89" i="6"/>
  <c r="Y88" i="6"/>
  <c r="X103" i="6"/>
  <c r="J89" i="6"/>
  <c r="M88" i="6"/>
  <c r="K103" i="6"/>
  <c r="Z89" i="6"/>
  <c r="N88" i="6"/>
  <c r="L103" i="6"/>
  <c r="L89" i="6"/>
  <c r="O88" i="6"/>
  <c r="G103" i="6"/>
  <c r="I89" i="6"/>
  <c r="Y89" i="6"/>
  <c r="Z88" i="6"/>
  <c r="D89" i="6"/>
  <c r="AA89" i="6"/>
  <c r="E62" i="6"/>
  <c r="U62" i="6"/>
  <c r="K62" i="6"/>
  <c r="D62" i="6"/>
  <c r="F62" i="6"/>
  <c r="V62" i="6"/>
  <c r="L62" i="6"/>
  <c r="Z62" i="6"/>
  <c r="AA62" i="6"/>
  <c r="G62" i="6"/>
  <c r="W62" i="6"/>
  <c r="M62" i="6"/>
  <c r="Y62" i="6"/>
  <c r="P62" i="6"/>
  <c r="H62" i="6"/>
  <c r="X62" i="6"/>
  <c r="N62" i="6"/>
  <c r="I62" i="6"/>
  <c r="O62" i="6"/>
  <c r="J62" i="6"/>
  <c r="S62" i="6"/>
  <c r="Q62" i="6"/>
  <c r="T62" i="6"/>
  <c r="AB62" i="6"/>
  <c r="R62" i="6"/>
  <c r="O6" i="5"/>
  <c r="O7" i="5" s="1"/>
  <c r="U10" i="5"/>
  <c r="V10" i="5"/>
  <c r="Y10" i="5"/>
  <c r="Z10" i="5"/>
  <c r="AB10" i="5"/>
  <c r="W10" i="5"/>
  <c r="Q10" i="5"/>
  <c r="R10" i="5"/>
  <c r="AA10" i="5"/>
  <c r="T10" i="5"/>
  <c r="X10" i="5"/>
  <c r="S10" i="5"/>
  <c r="C25" i="10"/>
  <c r="Q9" i="5" l="1"/>
  <c r="P38" i="6"/>
  <c r="N62" i="5"/>
  <c r="N20" i="6" s="1"/>
  <c r="AB14" i="5"/>
  <c r="AA39" i="6"/>
  <c r="P6" i="5"/>
  <c r="P7" i="5" s="1"/>
  <c r="C26" i="10"/>
  <c r="K8" i="6"/>
  <c r="K7" i="6"/>
  <c r="H7" i="6"/>
  <c r="D10" i="6"/>
  <c r="D9" i="6"/>
  <c r="D76" i="5"/>
  <c r="R9" i="5" l="1"/>
  <c r="Q38" i="6"/>
  <c r="O62" i="5"/>
  <c r="O20" i="6" s="1"/>
  <c r="AB39" i="6"/>
  <c r="Z34" i="5"/>
  <c r="K6" i="6"/>
  <c r="L31" i="6" s="1"/>
  <c r="Q6" i="5"/>
  <c r="Q7" i="5" s="1"/>
  <c r="C57" i="10"/>
  <c r="S9" i="5" l="1"/>
  <c r="R38" i="6"/>
  <c r="P62" i="5"/>
  <c r="P20" i="6" s="1"/>
  <c r="Q62" i="5"/>
  <c r="Q20" i="6" s="1"/>
  <c r="J31" i="6"/>
  <c r="Y31" i="6"/>
  <c r="S31" i="6"/>
  <c r="AA31" i="6"/>
  <c r="R31" i="6"/>
  <c r="U31" i="6"/>
  <c r="K31" i="6"/>
  <c r="W31" i="6"/>
  <c r="O31" i="6"/>
  <c r="AB31" i="6"/>
  <c r="F31" i="6"/>
  <c r="D31" i="6"/>
  <c r="C6" i="13" s="1"/>
  <c r="I31" i="6"/>
  <c r="Q31" i="6"/>
  <c r="M31" i="6"/>
  <c r="X31" i="6"/>
  <c r="E31" i="6"/>
  <c r="P31" i="6"/>
  <c r="G31" i="6"/>
  <c r="H31" i="6"/>
  <c r="V31" i="6"/>
  <c r="T31" i="6"/>
  <c r="Z31" i="6"/>
  <c r="N31" i="6"/>
  <c r="R6" i="5"/>
  <c r="R7" i="5" s="1"/>
  <c r="E67" i="5"/>
  <c r="E68" i="5" s="1"/>
  <c r="B58" i="5"/>
  <c r="B57" i="5"/>
  <c r="F18" i="4"/>
  <c r="B10" i="3"/>
  <c r="F17" i="4"/>
  <c r="F19" i="4" s="1"/>
  <c r="B45" i="5"/>
  <c r="B44" i="5"/>
  <c r="T9" i="5" l="1"/>
  <c r="S38" i="6"/>
  <c r="R62" i="5"/>
  <c r="R20" i="6" s="1"/>
  <c r="D28" i="5"/>
  <c r="E15" i="5" s="1"/>
  <c r="D65" i="5"/>
  <c r="D47" i="6" s="1"/>
  <c r="E69" i="5"/>
  <c r="S6" i="5"/>
  <c r="S7" i="5" s="1"/>
  <c r="D70" i="5"/>
  <c r="D83" i="5"/>
  <c r="F21" i="4"/>
  <c r="B12" i="3" s="1"/>
  <c r="F26" i="4"/>
  <c r="Y65" i="5"/>
  <c r="Y47" i="6" s="1"/>
  <c r="S65" i="5"/>
  <c r="S47" i="6" s="1"/>
  <c r="L65" i="5"/>
  <c r="L47" i="6" s="1"/>
  <c r="K65" i="5"/>
  <c r="K47" i="6" s="1"/>
  <c r="Z65" i="5"/>
  <c r="Z47" i="6" s="1"/>
  <c r="V65" i="5"/>
  <c r="V47" i="6" s="1"/>
  <c r="T65" i="5"/>
  <c r="T47" i="6" s="1"/>
  <c r="F67" i="5"/>
  <c r="F65" i="5"/>
  <c r="F47" i="6" s="1"/>
  <c r="N65" i="5"/>
  <c r="N47" i="6" s="1"/>
  <c r="AB65" i="5"/>
  <c r="AB47" i="6" s="1"/>
  <c r="E65" i="5"/>
  <c r="E47" i="6" s="1"/>
  <c r="O65" i="5"/>
  <c r="O47" i="6" s="1"/>
  <c r="G65" i="5"/>
  <c r="G47" i="6" s="1"/>
  <c r="U65" i="5"/>
  <c r="U47" i="6" s="1"/>
  <c r="M65" i="5"/>
  <c r="M47" i="6" s="1"/>
  <c r="AA65" i="5"/>
  <c r="AA47" i="6" s="1"/>
  <c r="R65" i="5"/>
  <c r="R47" i="6" s="1"/>
  <c r="J65" i="5"/>
  <c r="J47" i="6" s="1"/>
  <c r="X65" i="5"/>
  <c r="X47" i="6" s="1"/>
  <c r="Q65" i="5"/>
  <c r="Q47" i="6" s="1"/>
  <c r="I65" i="5"/>
  <c r="I47" i="6" s="1"/>
  <c r="W65" i="5"/>
  <c r="W47" i="6" s="1"/>
  <c r="P65" i="5"/>
  <c r="P47" i="6" s="1"/>
  <c r="H65" i="5"/>
  <c r="H47" i="6" s="1"/>
  <c r="U9" i="5" l="1"/>
  <c r="T38" i="6"/>
  <c r="S62" i="5"/>
  <c r="S20" i="6" s="1"/>
  <c r="E40" i="6"/>
  <c r="E41" i="6" s="1"/>
  <c r="C35" i="5"/>
  <c r="C44" i="10"/>
  <c r="D13" i="5"/>
  <c r="D82" i="6"/>
  <c r="D88" i="5"/>
  <c r="F32" i="4"/>
  <c r="F68" i="5"/>
  <c r="F69" i="5" s="1"/>
  <c r="T6" i="5"/>
  <c r="T7" i="5" s="1"/>
  <c r="T62" i="5" s="1"/>
  <c r="E28" i="5"/>
  <c r="F15" i="5" s="1"/>
  <c r="D73" i="5"/>
  <c r="D74" i="5" s="1"/>
  <c r="C15" i="3"/>
  <c r="C14" i="3"/>
  <c r="C12" i="3"/>
  <c r="D45" i="10" s="1"/>
  <c r="D7" i="6"/>
  <c r="Q13" i="5"/>
  <c r="Y13" i="5"/>
  <c r="I13" i="5"/>
  <c r="R13" i="5"/>
  <c r="Z13" i="5"/>
  <c r="J13" i="5"/>
  <c r="S13" i="5"/>
  <c r="AA13" i="5"/>
  <c r="K13" i="5"/>
  <c r="T13" i="5"/>
  <c r="AB13" i="5"/>
  <c r="L13" i="5"/>
  <c r="U13" i="5"/>
  <c r="E13" i="5"/>
  <c r="M13" i="5"/>
  <c r="W13" i="5"/>
  <c r="G13" i="5"/>
  <c r="X13" i="5"/>
  <c r="V13" i="5"/>
  <c r="F13" i="5"/>
  <c r="N13" i="5"/>
  <c r="O13" i="5"/>
  <c r="P13" i="5"/>
  <c r="H13" i="5"/>
  <c r="C22" i="3"/>
  <c r="C29" i="3"/>
  <c r="C25" i="3"/>
  <c r="C27" i="3"/>
  <c r="C30" i="3"/>
  <c r="C33" i="3"/>
  <c r="C31" i="3"/>
  <c r="C32" i="3"/>
  <c r="C35" i="3"/>
  <c r="C28" i="3"/>
  <c r="C26" i="3"/>
  <c r="C34" i="3"/>
  <c r="C36" i="3"/>
  <c r="C8" i="3"/>
  <c r="H11" i="3" s="1"/>
  <c r="D72" i="5"/>
  <c r="E70" i="5" s="1"/>
  <c r="D84" i="5"/>
  <c r="E83" i="5" s="1"/>
  <c r="D63" i="6"/>
  <c r="C19" i="3"/>
  <c r="C18" i="3"/>
  <c r="C13" i="3"/>
  <c r="C20" i="3"/>
  <c r="C24" i="3"/>
  <c r="C17" i="3"/>
  <c r="C21" i="3"/>
  <c r="C23" i="3"/>
  <c r="C16" i="3"/>
  <c r="E88" i="5" l="1"/>
  <c r="V9" i="5"/>
  <c r="U38" i="6"/>
  <c r="F28" i="5"/>
  <c r="G15" i="5" s="1"/>
  <c r="T20" i="6"/>
  <c r="G67" i="5"/>
  <c r="G68" i="5" s="1"/>
  <c r="U6" i="5"/>
  <c r="U7" i="5" s="1"/>
  <c r="U62" i="5" s="1"/>
  <c r="S75" i="5"/>
  <c r="S32" i="6"/>
  <c r="S33" i="6" s="1"/>
  <c r="O75" i="5"/>
  <c r="O32" i="6"/>
  <c r="O33" i="6" s="1"/>
  <c r="G75" i="5"/>
  <c r="G32" i="6"/>
  <c r="G33" i="6" s="1"/>
  <c r="P75" i="5"/>
  <c r="P32" i="6"/>
  <c r="P33" i="6" s="1"/>
  <c r="D32" i="6"/>
  <c r="D33" i="6" s="1"/>
  <c r="D45" i="6" s="1"/>
  <c r="D51" i="6" s="1"/>
  <c r="J75" i="5"/>
  <c r="J32" i="6"/>
  <c r="J33" i="6" s="1"/>
  <c r="Q75" i="5"/>
  <c r="Q32" i="6"/>
  <c r="Q33" i="6" s="1"/>
  <c r="M75" i="5"/>
  <c r="M32" i="6"/>
  <c r="M33" i="6" s="1"/>
  <c r="F75" i="5"/>
  <c r="F32" i="6"/>
  <c r="F33" i="6" s="1"/>
  <c r="E32" i="6"/>
  <c r="E33" i="6" s="1"/>
  <c r="E45" i="6" s="1"/>
  <c r="E51" i="6" s="1"/>
  <c r="R75" i="5"/>
  <c r="R32" i="6"/>
  <c r="R33" i="6" s="1"/>
  <c r="K75" i="5"/>
  <c r="K32" i="6"/>
  <c r="K33" i="6" s="1"/>
  <c r="I75" i="5"/>
  <c r="I32" i="6"/>
  <c r="I33" i="6" s="1"/>
  <c r="H75" i="5"/>
  <c r="H32" i="6"/>
  <c r="H33" i="6" s="1"/>
  <c r="N75" i="5"/>
  <c r="N32" i="6"/>
  <c r="N33" i="6" s="1"/>
  <c r="L75" i="5"/>
  <c r="L32" i="6"/>
  <c r="L33" i="6" s="1"/>
  <c r="P45" i="10"/>
  <c r="F45" i="10"/>
  <c r="K45" i="10"/>
  <c r="J45" i="10"/>
  <c r="I45" i="10"/>
  <c r="E45" i="10"/>
  <c r="G45" i="10"/>
  <c r="L45" i="10"/>
  <c r="N45" i="10"/>
  <c r="H45" i="10"/>
  <c r="M45" i="10"/>
  <c r="O45" i="10"/>
  <c r="F31" i="4"/>
  <c r="F34" i="4" s="1"/>
  <c r="D89" i="5"/>
  <c r="E72" i="5"/>
  <c r="F70" i="5" s="1"/>
  <c r="F73" i="5" s="1"/>
  <c r="F74" i="5" s="1"/>
  <c r="D33" i="5"/>
  <c r="C49" i="10"/>
  <c r="C50" i="10" s="1"/>
  <c r="C68" i="10"/>
  <c r="C69" i="10" s="1"/>
  <c r="C58" i="10"/>
  <c r="C59" i="10" s="1"/>
  <c r="C60" i="10" s="1"/>
  <c r="G69" i="5"/>
  <c r="E63" i="6"/>
  <c r="B13" i="3"/>
  <c r="D12" i="3"/>
  <c r="E12" i="3" s="1"/>
  <c r="W9" i="5" l="1"/>
  <c r="V38" i="6"/>
  <c r="F40" i="6"/>
  <c r="F41" i="6" s="1"/>
  <c r="F45" i="6" s="1"/>
  <c r="F51" i="6" s="1"/>
  <c r="D35" i="5"/>
  <c r="G40" i="6"/>
  <c r="G41" i="6" s="1"/>
  <c r="G45" i="6" s="1"/>
  <c r="G51" i="6" s="1"/>
  <c r="E35" i="5"/>
  <c r="G28" i="5"/>
  <c r="H15" i="5" s="1"/>
  <c r="U20" i="6"/>
  <c r="U32" i="6" s="1"/>
  <c r="U33" i="6" s="1"/>
  <c r="V6" i="5"/>
  <c r="V7" i="5" s="1"/>
  <c r="V62" i="5" s="1"/>
  <c r="U75" i="5"/>
  <c r="T75" i="5"/>
  <c r="T32" i="6"/>
  <c r="T33" i="6" s="1"/>
  <c r="B14" i="3"/>
  <c r="B15" i="3" s="1"/>
  <c r="D90" i="5"/>
  <c r="E82" i="6"/>
  <c r="E73" i="5"/>
  <c r="E74" i="5" s="1"/>
  <c r="D24" i="10"/>
  <c r="E33" i="5"/>
  <c r="H67" i="5"/>
  <c r="H68" i="5" s="1"/>
  <c r="B4" i="3"/>
  <c r="D11" i="5" s="1"/>
  <c r="E89" i="5"/>
  <c r="D13" i="3"/>
  <c r="E13" i="3" s="1"/>
  <c r="F82" i="6"/>
  <c r="E84" i="5"/>
  <c r="F83" i="5" s="1"/>
  <c r="F88" i="5" s="1"/>
  <c r="F89" i="5" s="1"/>
  <c r="F72" i="5"/>
  <c r="G70" i="5" s="1"/>
  <c r="G73" i="5" s="1"/>
  <c r="G74" i="5" s="1"/>
  <c r="X9" i="5" l="1"/>
  <c r="W38" i="6"/>
  <c r="H40" i="6"/>
  <c r="H41" i="6" s="1"/>
  <c r="H45" i="6" s="1"/>
  <c r="H51" i="6" s="1"/>
  <c r="F35" i="5"/>
  <c r="H28" i="5"/>
  <c r="I15" i="5" s="1"/>
  <c r="V20" i="6"/>
  <c r="B49" i="5"/>
  <c r="C2" i="10"/>
  <c r="D53" i="6"/>
  <c r="W6" i="5"/>
  <c r="W7" i="5" s="1"/>
  <c r="W62" i="5" s="1"/>
  <c r="B16" i="3"/>
  <c r="B17" i="3" s="1"/>
  <c r="D14" i="3"/>
  <c r="E14" i="3" s="1"/>
  <c r="D4" i="3" s="1"/>
  <c r="F11" i="5" s="1"/>
  <c r="F33" i="5"/>
  <c r="H69" i="5"/>
  <c r="I67" i="5"/>
  <c r="I68" i="5" s="1"/>
  <c r="C4" i="3"/>
  <c r="E11" i="5" s="1"/>
  <c r="F24" i="10"/>
  <c r="F90" i="5"/>
  <c r="E24" i="10"/>
  <c r="E90" i="5"/>
  <c r="D15" i="3"/>
  <c r="E15" i="3" s="1"/>
  <c r="F84" i="5"/>
  <c r="F63" i="6"/>
  <c r="G82" i="6"/>
  <c r="G72" i="5"/>
  <c r="H70" i="5" s="1"/>
  <c r="G20" i="5" l="1"/>
  <c r="G76" i="5" s="1"/>
  <c r="F20" i="5"/>
  <c r="E20" i="5"/>
  <c r="F77" i="5"/>
  <c r="N77" i="5"/>
  <c r="V77" i="5"/>
  <c r="F76" i="5"/>
  <c r="N20" i="5"/>
  <c r="N76" i="5" s="1"/>
  <c r="V20" i="5"/>
  <c r="V76" i="5" s="1"/>
  <c r="G77" i="5"/>
  <c r="O77" i="5"/>
  <c r="W77" i="5"/>
  <c r="O20" i="5"/>
  <c r="O76" i="5" s="1"/>
  <c r="W20" i="5"/>
  <c r="W76" i="5" s="1"/>
  <c r="AA77" i="5"/>
  <c r="S20" i="5"/>
  <c r="S76" i="5" s="1"/>
  <c r="AA20" i="5"/>
  <c r="AA76" i="5" s="1"/>
  <c r="L77" i="5"/>
  <c r="AB77" i="5"/>
  <c r="L20" i="5"/>
  <c r="L76" i="5" s="1"/>
  <c r="AB20" i="5"/>
  <c r="AB76" i="5" s="1"/>
  <c r="M77" i="5"/>
  <c r="U77" i="5"/>
  <c r="M20" i="5"/>
  <c r="M76" i="5" s="1"/>
  <c r="U20" i="5"/>
  <c r="U76" i="5" s="1"/>
  <c r="E76" i="5"/>
  <c r="H77" i="5"/>
  <c r="P77" i="5"/>
  <c r="X77" i="5"/>
  <c r="H20" i="5"/>
  <c r="H76" i="5" s="1"/>
  <c r="P20" i="5"/>
  <c r="P76" i="5" s="1"/>
  <c r="X20" i="5"/>
  <c r="X76" i="5" s="1"/>
  <c r="I77" i="5"/>
  <c r="Q77" i="5"/>
  <c r="Y77" i="5"/>
  <c r="I20" i="5"/>
  <c r="I76" i="5" s="1"/>
  <c r="Q20" i="5"/>
  <c r="Q76" i="5" s="1"/>
  <c r="Y20" i="5"/>
  <c r="Y76" i="5" s="1"/>
  <c r="J77" i="5"/>
  <c r="R77" i="5"/>
  <c r="Z77" i="5"/>
  <c r="J20" i="5"/>
  <c r="J76" i="5" s="1"/>
  <c r="R20" i="5"/>
  <c r="R76" i="5" s="1"/>
  <c r="Z20" i="5"/>
  <c r="Z76" i="5" s="1"/>
  <c r="K77" i="5"/>
  <c r="S77" i="5"/>
  <c r="K20" i="5"/>
  <c r="K76" i="5" s="1"/>
  <c r="T77" i="5"/>
  <c r="T20" i="5"/>
  <c r="T76" i="5" s="1"/>
  <c r="E77" i="5"/>
  <c r="Y9" i="5"/>
  <c r="X38" i="6"/>
  <c r="I28" i="5"/>
  <c r="J15" i="5" s="1"/>
  <c r="J40" i="6" s="1"/>
  <c r="J41" i="6" s="1"/>
  <c r="J45" i="6" s="1"/>
  <c r="J51" i="6" s="1"/>
  <c r="I40" i="6"/>
  <c r="I41" i="6" s="1"/>
  <c r="I45" i="6" s="1"/>
  <c r="I51" i="6" s="1"/>
  <c r="G35" i="5"/>
  <c r="W20" i="6"/>
  <c r="E53" i="6"/>
  <c r="F53" i="6"/>
  <c r="V75" i="5"/>
  <c r="V32" i="6"/>
  <c r="V33" i="6" s="1"/>
  <c r="X6" i="5"/>
  <c r="X7" i="5" s="1"/>
  <c r="X62" i="5" s="1"/>
  <c r="D16" i="3"/>
  <c r="E16" i="3" s="1"/>
  <c r="F4" i="3" s="1"/>
  <c r="H11" i="5" s="1"/>
  <c r="G33" i="5"/>
  <c r="I69" i="5"/>
  <c r="J67" i="5"/>
  <c r="J68" i="5" s="1"/>
  <c r="E4" i="3"/>
  <c r="G11" i="5" s="1"/>
  <c r="G83" i="5"/>
  <c r="H72" i="5"/>
  <c r="I70" i="5" s="1"/>
  <c r="H82" i="6"/>
  <c r="H73" i="5"/>
  <c r="H74" i="5" s="1"/>
  <c r="D17" i="3"/>
  <c r="E17" i="3" s="1"/>
  <c r="B18" i="3"/>
  <c r="Z9" i="5" l="1"/>
  <c r="Y38" i="6"/>
  <c r="J28" i="5"/>
  <c r="K15" i="5" s="1"/>
  <c r="K40" i="6" s="1"/>
  <c r="K41" i="6" s="1"/>
  <c r="K45" i="6" s="1"/>
  <c r="K51" i="6" s="1"/>
  <c r="H35" i="5"/>
  <c r="X20" i="6"/>
  <c r="G53" i="6"/>
  <c r="H53" i="6"/>
  <c r="W32" i="6"/>
  <c r="W33" i="6" s="1"/>
  <c r="W75" i="5"/>
  <c r="Y6" i="5"/>
  <c r="Y7" i="5" s="1"/>
  <c r="Y62" i="5" s="1"/>
  <c r="H33" i="5"/>
  <c r="K67" i="5"/>
  <c r="K68" i="5" s="1"/>
  <c r="G4" i="3"/>
  <c r="I11" i="5" s="1"/>
  <c r="G63" i="6"/>
  <c r="G88" i="5"/>
  <c r="G89" i="5" s="1"/>
  <c r="I73" i="5"/>
  <c r="I74" i="5" s="1"/>
  <c r="I82" i="6"/>
  <c r="G84" i="5"/>
  <c r="H83" i="5" s="1"/>
  <c r="H88" i="5" s="1"/>
  <c r="H89" i="5" s="1"/>
  <c r="I72" i="5"/>
  <c r="D18" i="3"/>
  <c r="E18" i="3" s="1"/>
  <c r="B19" i="3"/>
  <c r="AA9" i="5" l="1"/>
  <c r="Z38" i="6"/>
  <c r="K28" i="5"/>
  <c r="L15" i="5" s="1"/>
  <c r="J35" i="5" s="1"/>
  <c r="I35" i="5"/>
  <c r="Y20" i="6"/>
  <c r="I53" i="6"/>
  <c r="X75" i="5"/>
  <c r="X32" i="6"/>
  <c r="X33" i="6" s="1"/>
  <c r="Z6" i="5"/>
  <c r="Z7" i="5" s="1"/>
  <c r="Z62" i="5" s="1"/>
  <c r="I33" i="5"/>
  <c r="J69" i="5"/>
  <c r="L67" i="5"/>
  <c r="H4" i="3"/>
  <c r="J11" i="5" s="1"/>
  <c r="G24" i="10"/>
  <c r="G90" i="5"/>
  <c r="H24" i="10"/>
  <c r="H90" i="5"/>
  <c r="H84" i="5"/>
  <c r="I83" i="5" s="1"/>
  <c r="I88" i="5" s="1"/>
  <c r="I89" i="5" s="1"/>
  <c r="H63" i="6"/>
  <c r="J70" i="5"/>
  <c r="B20" i="3"/>
  <c r="D19" i="3"/>
  <c r="E19" i="3" s="1"/>
  <c r="AB9" i="5" l="1"/>
  <c r="AB38" i="6" s="1"/>
  <c r="AA38" i="6"/>
  <c r="L28" i="5"/>
  <c r="M15" i="5" s="1"/>
  <c r="K35" i="5" s="1"/>
  <c r="L40" i="6"/>
  <c r="L41" i="6" s="1"/>
  <c r="L45" i="6" s="1"/>
  <c r="L51" i="6" s="1"/>
  <c r="Z20" i="6"/>
  <c r="J53" i="6"/>
  <c r="AA6" i="5"/>
  <c r="AA7" i="5" s="1"/>
  <c r="AA62" i="5" s="1"/>
  <c r="Y75" i="5"/>
  <c r="Y32" i="6"/>
  <c r="Y33" i="6" s="1"/>
  <c r="J33" i="5"/>
  <c r="L68" i="5"/>
  <c r="L69" i="5" s="1"/>
  <c r="K69" i="5"/>
  <c r="I4" i="3"/>
  <c r="K11" i="5" s="1"/>
  <c r="I24" i="10"/>
  <c r="I90" i="5"/>
  <c r="I84" i="5"/>
  <c r="J83" i="5" s="1"/>
  <c r="J88" i="5" s="1"/>
  <c r="J89" i="5" s="1"/>
  <c r="I63" i="6"/>
  <c r="J73" i="5"/>
  <c r="J74" i="5" s="1"/>
  <c r="J82" i="6"/>
  <c r="J72" i="5"/>
  <c r="B21" i="3"/>
  <c r="D20" i="3"/>
  <c r="E20" i="3" s="1"/>
  <c r="M40" i="6" l="1"/>
  <c r="M41" i="6" s="1"/>
  <c r="M45" i="6" s="1"/>
  <c r="M51" i="6" s="1"/>
  <c r="M28" i="5"/>
  <c r="N15" i="5" s="1"/>
  <c r="N40" i="6" s="1"/>
  <c r="N41" i="6" s="1"/>
  <c r="N45" i="6" s="1"/>
  <c r="N51" i="6" s="1"/>
  <c r="M67" i="5"/>
  <c r="M68" i="5" s="1"/>
  <c r="AA20" i="6"/>
  <c r="K53" i="6"/>
  <c r="Z75" i="5"/>
  <c r="Z32" i="6"/>
  <c r="Z33" i="6" s="1"/>
  <c r="AB6" i="5"/>
  <c r="AB7" i="5" s="1"/>
  <c r="AB62" i="5" s="1"/>
  <c r="AB20" i="6" s="1"/>
  <c r="K33" i="5"/>
  <c r="J4" i="3"/>
  <c r="L11" i="5" s="1"/>
  <c r="J90" i="5"/>
  <c r="J24" i="10"/>
  <c r="J84" i="5"/>
  <c r="K83" i="5" s="1"/>
  <c r="J63" i="6"/>
  <c r="K70" i="5"/>
  <c r="D21" i="3"/>
  <c r="E21" i="3" s="1"/>
  <c r="B22" i="3"/>
  <c r="M69" i="5" l="1"/>
  <c r="N28" i="5"/>
  <c r="O15" i="5" s="1"/>
  <c r="M35" i="5" s="1"/>
  <c r="L35" i="5"/>
  <c r="L53" i="6"/>
  <c r="AA75" i="5"/>
  <c r="AA32" i="6"/>
  <c r="AA33" i="6" s="1"/>
  <c r="L33" i="5"/>
  <c r="N67" i="5"/>
  <c r="N68" i="5" s="1"/>
  <c r="K4" i="3"/>
  <c r="M11" i="5" s="1"/>
  <c r="K88" i="5"/>
  <c r="K89" i="5" s="1"/>
  <c r="K84" i="5"/>
  <c r="L83" i="5" s="1"/>
  <c r="K63" i="6"/>
  <c r="K73" i="5"/>
  <c r="K74" i="5" s="1"/>
  <c r="K82" i="6"/>
  <c r="K72" i="5"/>
  <c r="D22" i="3"/>
  <c r="E22" i="3" s="1"/>
  <c r="B23" i="3"/>
  <c r="O28" i="5" l="1"/>
  <c r="P15" i="5" s="1"/>
  <c r="P40" i="6" s="1"/>
  <c r="P41" i="6" s="1"/>
  <c r="P45" i="6" s="1"/>
  <c r="P51" i="6" s="1"/>
  <c r="O40" i="6"/>
  <c r="O41" i="6" s="1"/>
  <c r="O45" i="6" s="1"/>
  <c r="O51" i="6" s="1"/>
  <c r="M53" i="6"/>
  <c r="AB75" i="5"/>
  <c r="AB32" i="6"/>
  <c r="AB33" i="6" s="1"/>
  <c r="M33" i="5"/>
  <c r="N69" i="5"/>
  <c r="O67" i="5"/>
  <c r="O68" i="5" s="1"/>
  <c r="L4" i="3"/>
  <c r="N11" i="5" s="1"/>
  <c r="K24" i="10"/>
  <c r="K90" i="5"/>
  <c r="L84" i="5"/>
  <c r="M83" i="5" s="1"/>
  <c r="L63" i="6"/>
  <c r="L70" i="5"/>
  <c r="L88" i="5" s="1"/>
  <c r="L89" i="5" s="1"/>
  <c r="B24" i="3"/>
  <c r="D23" i="3"/>
  <c r="E23" i="3" s="1"/>
  <c r="P28" i="5" l="1"/>
  <c r="Q15" i="5" s="1"/>
  <c r="O35" i="5" s="1"/>
  <c r="N35" i="5"/>
  <c r="N53" i="6"/>
  <c r="N33" i="5"/>
  <c r="P67" i="5"/>
  <c r="P68" i="5" s="1"/>
  <c r="O69" i="5"/>
  <c r="M4" i="3"/>
  <c r="O11" i="5" s="1"/>
  <c r="B25" i="3"/>
  <c r="L24" i="10"/>
  <c r="L90" i="5"/>
  <c r="L73" i="5"/>
  <c r="L74" i="5" s="1"/>
  <c r="L82" i="6"/>
  <c r="M84" i="5"/>
  <c r="N83" i="5" s="1"/>
  <c r="M63" i="6"/>
  <c r="L72" i="5"/>
  <c r="D24" i="3"/>
  <c r="Q40" i="6" l="1"/>
  <c r="Q41" i="6" s="1"/>
  <c r="Q45" i="6" s="1"/>
  <c r="Q51" i="6" s="1"/>
  <c r="Q28" i="5"/>
  <c r="R15" i="5" s="1"/>
  <c r="R40" i="6" s="1"/>
  <c r="R41" i="6" s="1"/>
  <c r="R45" i="6" s="1"/>
  <c r="R51" i="6" s="1"/>
  <c r="O53" i="6"/>
  <c r="O33" i="5"/>
  <c r="Q67" i="5"/>
  <c r="Q68" i="5" s="1"/>
  <c r="E24" i="3"/>
  <c r="D25" i="3"/>
  <c r="E25" i="3" s="1"/>
  <c r="O4" i="3" s="1"/>
  <c r="B26" i="3"/>
  <c r="N84" i="5"/>
  <c r="O83" i="5" s="1"/>
  <c r="N63" i="6"/>
  <c r="M70" i="5"/>
  <c r="M88" i="5" s="1"/>
  <c r="M89" i="5" s="1"/>
  <c r="P35" i="5" l="1"/>
  <c r="R28" i="5"/>
  <c r="S15" i="5" s="1"/>
  <c r="S40" i="6" s="1"/>
  <c r="S41" i="6" s="1"/>
  <c r="S45" i="6" s="1"/>
  <c r="S51" i="6" s="1"/>
  <c r="N4" i="3"/>
  <c r="P11" i="5" s="1"/>
  <c r="H14" i="3"/>
  <c r="H15" i="3" s="1"/>
  <c r="H16" i="3" s="1"/>
  <c r="P33" i="5"/>
  <c r="P69" i="5"/>
  <c r="R67" i="5"/>
  <c r="R68" i="5" s="1"/>
  <c r="B27" i="3"/>
  <c r="D26" i="3"/>
  <c r="E26" i="3" s="1"/>
  <c r="P4" i="3" s="1"/>
  <c r="M24" i="10"/>
  <c r="M90" i="5"/>
  <c r="M73" i="5"/>
  <c r="M74" i="5" s="1"/>
  <c r="M82" i="6"/>
  <c r="O84" i="5"/>
  <c r="O63" i="6"/>
  <c r="M72" i="5"/>
  <c r="N70" i="5" s="1"/>
  <c r="N88" i="5" s="1"/>
  <c r="N89" i="5" s="1"/>
  <c r="S28" i="5" l="1"/>
  <c r="T15" i="5" s="1"/>
  <c r="T40" i="6" s="1"/>
  <c r="T41" i="6" s="1"/>
  <c r="T45" i="6" s="1"/>
  <c r="T51" i="6" s="1"/>
  <c r="Q35" i="5"/>
  <c r="P53" i="6"/>
  <c r="Q33" i="5"/>
  <c r="S67" i="5"/>
  <c r="S68" i="5" s="1"/>
  <c r="Q69" i="5"/>
  <c r="B28" i="3"/>
  <c r="D27" i="3"/>
  <c r="E27" i="3" s="1"/>
  <c r="Q4" i="3" s="1"/>
  <c r="N24" i="10"/>
  <c r="N90" i="5"/>
  <c r="P83" i="5"/>
  <c r="P63" i="6" s="1"/>
  <c r="N73" i="5"/>
  <c r="N74" i="5" s="1"/>
  <c r="N82" i="6"/>
  <c r="N72" i="5"/>
  <c r="O70" i="5" s="1"/>
  <c r="O88" i="5" s="1"/>
  <c r="O89" i="5" s="1"/>
  <c r="R35" i="5" l="1"/>
  <c r="T28" i="5"/>
  <c r="U15" i="5" s="1"/>
  <c r="U40" i="6" s="1"/>
  <c r="U41" i="6" s="1"/>
  <c r="U45" i="6" s="1"/>
  <c r="U51" i="6" s="1"/>
  <c r="R33" i="5"/>
  <c r="R69" i="5"/>
  <c r="S69" i="5"/>
  <c r="B29" i="3"/>
  <c r="D28" i="3"/>
  <c r="E28" i="3" s="1"/>
  <c r="R4" i="3" s="1"/>
  <c r="O90" i="5"/>
  <c r="O24" i="10"/>
  <c r="O73" i="5"/>
  <c r="O74" i="5" s="1"/>
  <c r="O82" i="6"/>
  <c r="P84" i="5"/>
  <c r="Q83" i="5" s="1"/>
  <c r="O72" i="5"/>
  <c r="S35" i="5" l="1"/>
  <c r="U28" i="5"/>
  <c r="V15" i="5" s="1"/>
  <c r="V40" i="6" s="1"/>
  <c r="V41" i="6" s="1"/>
  <c r="V45" i="6" s="1"/>
  <c r="V51" i="6" s="1"/>
  <c r="S33" i="5"/>
  <c r="T67" i="5"/>
  <c r="T68" i="5" s="1"/>
  <c r="B30" i="3"/>
  <c r="D29" i="3"/>
  <c r="E29" i="3" s="1"/>
  <c r="S4" i="3" s="1"/>
  <c r="Q84" i="5"/>
  <c r="R83" i="5" s="1"/>
  <c r="Q63" i="6"/>
  <c r="P70" i="5"/>
  <c r="P88" i="5" s="1"/>
  <c r="P89" i="5" s="1"/>
  <c r="V28" i="5" l="1"/>
  <c r="W15" i="5" s="1"/>
  <c r="W40" i="6" s="1"/>
  <c r="W41" i="6" s="1"/>
  <c r="W45" i="6" s="1"/>
  <c r="W51" i="6" s="1"/>
  <c r="T35" i="5"/>
  <c r="T33" i="5"/>
  <c r="T69" i="5"/>
  <c r="B31" i="3"/>
  <c r="D30" i="3"/>
  <c r="E30" i="3" s="1"/>
  <c r="T4" i="3" s="1"/>
  <c r="P24" i="10"/>
  <c r="P90" i="5"/>
  <c r="P73" i="5"/>
  <c r="P74" i="5" s="1"/>
  <c r="P82" i="6"/>
  <c r="R84" i="5"/>
  <c r="S83" i="5" s="1"/>
  <c r="R63" i="6"/>
  <c r="P72" i="5"/>
  <c r="Q70" i="5" s="1"/>
  <c r="Q88" i="5" s="1"/>
  <c r="Q89" i="5" s="1"/>
  <c r="W28" i="5" l="1"/>
  <c r="X15" i="5" s="1"/>
  <c r="X40" i="6" s="1"/>
  <c r="X41" i="6" s="1"/>
  <c r="X45" i="6" s="1"/>
  <c r="X51" i="6" s="1"/>
  <c r="U35" i="5"/>
  <c r="U33" i="5"/>
  <c r="U67" i="5"/>
  <c r="U68" i="5" s="1"/>
  <c r="B32" i="3"/>
  <c r="D31" i="3"/>
  <c r="E31" i="3" s="1"/>
  <c r="U4" i="3" s="1"/>
  <c r="Q24" i="10"/>
  <c r="Q90" i="5"/>
  <c r="Q73" i="5"/>
  <c r="Q74" i="5" s="1"/>
  <c r="Q82" i="6"/>
  <c r="S84" i="5"/>
  <c r="T83" i="5" s="1"/>
  <c r="S63" i="6"/>
  <c r="Q72" i="5"/>
  <c r="R70" i="5" s="1"/>
  <c r="R88" i="5" s="1"/>
  <c r="R89" i="5" s="1"/>
  <c r="X28" i="5" l="1"/>
  <c r="Y15" i="5" s="1"/>
  <c r="Y40" i="6" s="1"/>
  <c r="Y41" i="6" s="1"/>
  <c r="Y45" i="6" s="1"/>
  <c r="Y51" i="6" s="1"/>
  <c r="V35" i="5"/>
  <c r="V33" i="5"/>
  <c r="U69" i="5"/>
  <c r="B33" i="3"/>
  <c r="D32" i="3"/>
  <c r="E32" i="3" s="1"/>
  <c r="V4" i="3" s="1"/>
  <c r="R24" i="10"/>
  <c r="R90" i="5"/>
  <c r="R73" i="5"/>
  <c r="R74" i="5" s="1"/>
  <c r="R82" i="6"/>
  <c r="T84" i="5"/>
  <c r="U83" i="5" s="1"/>
  <c r="T63" i="6"/>
  <c r="R72" i="5"/>
  <c r="S70" i="5" s="1"/>
  <c r="S88" i="5" s="1"/>
  <c r="S89" i="5" s="1"/>
  <c r="W35" i="5" l="1"/>
  <c r="Y28" i="5"/>
  <c r="Z15" i="5" s="1"/>
  <c r="Z40" i="6" s="1"/>
  <c r="Z41" i="6" s="1"/>
  <c r="Z45" i="6" s="1"/>
  <c r="Z51" i="6" s="1"/>
  <c r="W33" i="5"/>
  <c r="V67" i="5"/>
  <c r="V68" i="5" s="1"/>
  <c r="B34" i="3"/>
  <c r="D33" i="3"/>
  <c r="E33" i="3" s="1"/>
  <c r="W4" i="3" s="1"/>
  <c r="S24" i="10"/>
  <c r="S90" i="5"/>
  <c r="S73" i="5"/>
  <c r="S74" i="5" s="1"/>
  <c r="S82" i="6"/>
  <c r="U84" i="5"/>
  <c r="V83" i="5" s="1"/>
  <c r="U63" i="6"/>
  <c r="S72" i="5"/>
  <c r="X35" i="5" l="1"/>
  <c r="Z28" i="5"/>
  <c r="AA15" i="5" s="1"/>
  <c r="AA40" i="6" s="1"/>
  <c r="AA41" i="6" s="1"/>
  <c r="AA45" i="6" s="1"/>
  <c r="AA51" i="6" s="1"/>
  <c r="X33" i="5"/>
  <c r="V69" i="5"/>
  <c r="W67" i="5"/>
  <c r="W68" i="5" s="1"/>
  <c r="B35" i="3"/>
  <c r="D34" i="3"/>
  <c r="E34" i="3" s="1"/>
  <c r="X4" i="3" s="1"/>
  <c r="V84" i="5"/>
  <c r="W83" i="5" s="1"/>
  <c r="V63" i="6"/>
  <c r="T70" i="5"/>
  <c r="T88" i="5" s="1"/>
  <c r="T89" i="5" s="1"/>
  <c r="AA28" i="5" l="1"/>
  <c r="AB15" i="5" s="1"/>
  <c r="AB40" i="6" s="1"/>
  <c r="AB41" i="6" s="1"/>
  <c r="AB45" i="6" s="1"/>
  <c r="AB51" i="6" s="1"/>
  <c r="Y35" i="5"/>
  <c r="Z33" i="5"/>
  <c r="Y33" i="5"/>
  <c r="W69" i="5"/>
  <c r="B36" i="3"/>
  <c r="D35" i="3"/>
  <c r="E35" i="3" s="1"/>
  <c r="Y4" i="3" s="1"/>
  <c r="T24" i="10"/>
  <c r="T90" i="5"/>
  <c r="T73" i="5"/>
  <c r="T74" i="5" s="1"/>
  <c r="T82" i="6"/>
  <c r="W84" i="5"/>
  <c r="W63" i="6"/>
  <c r="T72" i="5"/>
  <c r="AB28" i="5" l="1"/>
  <c r="Z35" i="5"/>
  <c r="X67" i="5"/>
  <c r="X68" i="5" s="1"/>
  <c r="D36" i="3"/>
  <c r="E36" i="3" s="1"/>
  <c r="Z4" i="3" s="1"/>
  <c r="X83" i="5"/>
  <c r="X63" i="6" s="1"/>
  <c r="U70" i="5"/>
  <c r="U88" i="5" s="1"/>
  <c r="U89" i="5" s="1"/>
  <c r="Y67" i="5" l="1"/>
  <c r="Y68" i="5" s="1"/>
  <c r="X69" i="5"/>
  <c r="U24" i="10"/>
  <c r="U90" i="5"/>
  <c r="U73" i="5"/>
  <c r="U74" i="5" s="1"/>
  <c r="U82" i="6"/>
  <c r="X84" i="5"/>
  <c r="U72" i="5"/>
  <c r="Y69" i="5" l="1"/>
  <c r="Z67" i="5"/>
  <c r="Z68" i="5" s="1"/>
  <c r="AA67" i="5" s="1"/>
  <c r="AA68" i="5" s="1"/>
  <c r="Y83" i="5"/>
  <c r="Y63" i="6" s="1"/>
  <c r="V70" i="5"/>
  <c r="V88" i="5" s="1"/>
  <c r="V89" i="5" s="1"/>
  <c r="Z69" i="5" l="1"/>
  <c r="AB67" i="5"/>
  <c r="AB68" i="5" s="1"/>
  <c r="AA69" i="5"/>
  <c r="V24" i="10"/>
  <c r="V90" i="5"/>
  <c r="Y84" i="5"/>
  <c r="Z83" i="5" s="1"/>
  <c r="Z63" i="6" s="1"/>
  <c r="V73" i="5"/>
  <c r="V74" i="5" s="1"/>
  <c r="V82" i="6"/>
  <c r="V72" i="5"/>
  <c r="AB69" i="5" l="1"/>
  <c r="Z84" i="5"/>
  <c r="AA83" i="5" s="1"/>
  <c r="AA84" i="5" s="1"/>
  <c r="AB83" i="5" s="1"/>
  <c r="W70" i="5"/>
  <c r="W88" i="5" s="1"/>
  <c r="W89" i="5" s="1"/>
  <c r="W24" i="10" l="1"/>
  <c r="W90" i="5"/>
  <c r="AA63" i="6"/>
  <c r="W73" i="5"/>
  <c r="W74" i="5" s="1"/>
  <c r="W82" i="6"/>
  <c r="AB84" i="5"/>
  <c r="AB63" i="6"/>
  <c r="W72" i="5"/>
  <c r="X70" i="5" s="1"/>
  <c r="X88" i="5" s="1"/>
  <c r="X89" i="5" s="1"/>
  <c r="X24" i="10" l="1"/>
  <c r="X90" i="5"/>
  <c r="X73" i="5"/>
  <c r="X74" i="5" s="1"/>
  <c r="X82" i="6"/>
  <c r="X72" i="5"/>
  <c r="Y70" i="5" s="1"/>
  <c r="Y88" i="5" s="1"/>
  <c r="Y89" i="5" s="1"/>
  <c r="Y24" i="10" l="1"/>
  <c r="Y90" i="5"/>
  <c r="Y73" i="5"/>
  <c r="Y74" i="5" s="1"/>
  <c r="Y82" i="6"/>
  <c r="Y72" i="5"/>
  <c r="Z70" i="5" l="1"/>
  <c r="Z88" i="5" s="1"/>
  <c r="Z89" i="5" s="1"/>
  <c r="Z24" i="10" l="1"/>
  <c r="Z90" i="5"/>
  <c r="Z73" i="5"/>
  <c r="Z74" i="5" s="1"/>
  <c r="Z82" i="6"/>
  <c r="Z72" i="5"/>
  <c r="AA70" i="5" l="1"/>
  <c r="AA88" i="5" s="1"/>
  <c r="AA89" i="5" s="1"/>
  <c r="AA24" i="10" l="1"/>
  <c r="AA90" i="5"/>
  <c r="AA73" i="5"/>
  <c r="AA74" i="5" s="1"/>
  <c r="AA82" i="6"/>
  <c r="AA72" i="5"/>
  <c r="AB70" i="5" s="1"/>
  <c r="AB88" i="5" s="1"/>
  <c r="AB89" i="5" s="1"/>
  <c r="AB24" i="10" l="1"/>
  <c r="AB90" i="5"/>
  <c r="B91" i="5" s="1"/>
  <c r="AB73" i="5"/>
  <c r="AB82" i="6"/>
  <c r="AB72" i="5"/>
  <c r="AB74" i="5" l="1"/>
  <c r="C74" i="5" s="1"/>
  <c r="B80" i="5" s="1"/>
  <c r="C36" i="10"/>
  <c r="D67" i="4"/>
  <c r="D68" i="4"/>
  <c r="D92" i="4"/>
  <c r="E92" i="4"/>
  <c r="D12" i="5"/>
  <c r="E12" i="5"/>
  <c r="F12" i="5"/>
  <c r="G12" i="5"/>
  <c r="H12" i="5"/>
  <c r="I12" i="5"/>
  <c r="J12" i="5"/>
  <c r="K12" i="5"/>
  <c r="L12" i="5"/>
  <c r="M12" i="5"/>
  <c r="N12" i="5"/>
  <c r="O12" i="5"/>
  <c r="P12" i="5"/>
  <c r="Q12" i="5"/>
  <c r="R12" i="5"/>
  <c r="S12" i="5"/>
  <c r="T12" i="5"/>
  <c r="U12" i="5"/>
  <c r="V12" i="5"/>
  <c r="W12" i="5"/>
  <c r="X12" i="5"/>
  <c r="Y12" i="5"/>
  <c r="Z12" i="5"/>
  <c r="AA12" i="5"/>
  <c r="AB12" i="5"/>
  <c r="D16" i="5"/>
  <c r="E16" i="5"/>
  <c r="F16" i="5"/>
  <c r="G16" i="5"/>
  <c r="H16" i="5"/>
  <c r="I16" i="5"/>
  <c r="J16" i="5"/>
  <c r="K16" i="5"/>
  <c r="L16" i="5"/>
  <c r="M16" i="5"/>
  <c r="N16" i="5"/>
  <c r="O16" i="5"/>
  <c r="P16" i="5"/>
  <c r="Q16" i="5"/>
  <c r="R16" i="5"/>
  <c r="S16" i="5"/>
  <c r="T16" i="5"/>
  <c r="U16" i="5"/>
  <c r="V16" i="5"/>
  <c r="W16" i="5"/>
  <c r="X16" i="5"/>
  <c r="Y16" i="5"/>
  <c r="Z16" i="5"/>
  <c r="AA16" i="5"/>
  <c r="AB16" i="5"/>
  <c r="C19" i="5"/>
  <c r="D19" i="5"/>
  <c r="E19" i="5"/>
  <c r="F19" i="5"/>
  <c r="G19" i="5"/>
  <c r="H19" i="5"/>
  <c r="I19" i="5"/>
  <c r="J19" i="5"/>
  <c r="K19" i="5"/>
  <c r="L19" i="5"/>
  <c r="M19" i="5"/>
  <c r="N19" i="5"/>
  <c r="O19" i="5"/>
  <c r="P19" i="5"/>
  <c r="Q19" i="5"/>
  <c r="R19" i="5"/>
  <c r="S19" i="5"/>
  <c r="T19" i="5"/>
  <c r="U19" i="5"/>
  <c r="V19" i="5"/>
  <c r="W19" i="5"/>
  <c r="X19" i="5"/>
  <c r="Y19" i="5"/>
  <c r="Z19" i="5"/>
  <c r="AA19" i="5"/>
  <c r="AB19" i="5"/>
  <c r="B22" i="5"/>
  <c r="B23" i="5"/>
  <c r="B25" i="5"/>
  <c r="B26" i="5"/>
  <c r="B36" i="5"/>
  <c r="C36" i="5"/>
  <c r="D36" i="5"/>
  <c r="E36" i="5"/>
  <c r="F36" i="5"/>
  <c r="G36" i="5"/>
  <c r="H36" i="5"/>
  <c r="I36" i="5"/>
  <c r="J36" i="5"/>
  <c r="K36" i="5"/>
  <c r="L36" i="5"/>
  <c r="M36" i="5"/>
  <c r="N36" i="5"/>
  <c r="O36" i="5"/>
  <c r="P36" i="5"/>
  <c r="Q36" i="5"/>
  <c r="R36" i="5"/>
  <c r="S36" i="5"/>
  <c r="T36" i="5"/>
  <c r="U36" i="5"/>
  <c r="V36" i="5"/>
  <c r="W36" i="5"/>
  <c r="X36" i="5"/>
  <c r="Y36" i="5"/>
  <c r="Z36" i="5"/>
  <c r="B37" i="5"/>
  <c r="C37" i="5"/>
  <c r="D37" i="5"/>
  <c r="E37" i="5"/>
  <c r="F37" i="5"/>
  <c r="G37" i="5"/>
  <c r="H37" i="5"/>
  <c r="I37" i="5"/>
  <c r="J37" i="5"/>
  <c r="K37" i="5"/>
  <c r="L37" i="5"/>
  <c r="M37" i="5"/>
  <c r="N37" i="5"/>
  <c r="O37" i="5"/>
  <c r="P37" i="5"/>
  <c r="Q37" i="5"/>
  <c r="R37" i="5"/>
  <c r="S37" i="5"/>
  <c r="T37" i="5"/>
  <c r="U37" i="5"/>
  <c r="V37" i="5"/>
  <c r="W37" i="5"/>
  <c r="X37" i="5"/>
  <c r="Y37" i="5"/>
  <c r="Z37" i="5"/>
  <c r="D30" i="14"/>
  <c r="D31" i="14"/>
  <c r="D32" i="14"/>
  <c r="D33" i="14"/>
  <c r="D37" i="14"/>
  <c r="E37" i="14"/>
  <c r="D38" i="14"/>
  <c r="E38" i="14"/>
  <c r="D23" i="6"/>
  <c r="E23" i="6"/>
  <c r="F23" i="6"/>
  <c r="G23" i="6"/>
  <c r="H23" i="6"/>
  <c r="I23" i="6"/>
  <c r="J23" i="6"/>
  <c r="K23" i="6"/>
  <c r="L23" i="6"/>
  <c r="M23" i="6"/>
  <c r="N23" i="6"/>
  <c r="O23" i="6"/>
  <c r="P23" i="6"/>
  <c r="Q23" i="6"/>
  <c r="R23" i="6"/>
  <c r="S23" i="6"/>
  <c r="T23" i="6"/>
  <c r="U23" i="6"/>
  <c r="V23" i="6"/>
  <c r="W23" i="6"/>
  <c r="X23" i="6"/>
  <c r="Y23" i="6"/>
  <c r="Z23" i="6"/>
  <c r="AA23" i="6"/>
  <c r="AB23" i="6"/>
  <c r="D24" i="6"/>
  <c r="E24" i="6"/>
  <c r="F24" i="6"/>
  <c r="G24" i="6"/>
  <c r="H24" i="6"/>
  <c r="I24" i="6"/>
  <c r="J24" i="6"/>
  <c r="K24" i="6"/>
  <c r="L24" i="6"/>
  <c r="M24" i="6"/>
  <c r="N24" i="6"/>
  <c r="O24" i="6"/>
  <c r="P24" i="6"/>
  <c r="Q24" i="6"/>
  <c r="R24" i="6"/>
  <c r="S24" i="6"/>
  <c r="T24" i="6"/>
  <c r="U24" i="6"/>
  <c r="V24" i="6"/>
  <c r="W24" i="6"/>
  <c r="X24" i="6"/>
  <c r="Y24" i="6"/>
  <c r="Z24" i="6"/>
  <c r="AA24" i="6"/>
  <c r="AB24" i="6"/>
  <c r="D25" i="6"/>
  <c r="E25" i="6"/>
  <c r="F25" i="6"/>
  <c r="G25" i="6"/>
  <c r="H25" i="6"/>
  <c r="I25" i="6"/>
  <c r="J25" i="6"/>
  <c r="K25" i="6"/>
  <c r="L25" i="6"/>
  <c r="M25" i="6"/>
  <c r="N25" i="6"/>
  <c r="O25" i="6"/>
  <c r="P25" i="6"/>
  <c r="Q25" i="6"/>
  <c r="R25" i="6"/>
  <c r="S25" i="6"/>
  <c r="T25" i="6"/>
  <c r="U25" i="6"/>
  <c r="V25" i="6"/>
  <c r="W25" i="6"/>
  <c r="X25" i="6"/>
  <c r="Y25" i="6"/>
  <c r="Z25" i="6"/>
  <c r="AA25" i="6"/>
  <c r="AB25" i="6"/>
  <c r="D27" i="6"/>
  <c r="E27" i="6"/>
  <c r="F27" i="6"/>
  <c r="G27" i="6"/>
  <c r="H27" i="6"/>
  <c r="I27" i="6"/>
  <c r="J27" i="6"/>
  <c r="K27" i="6"/>
  <c r="L27" i="6"/>
  <c r="M27" i="6"/>
  <c r="N27" i="6"/>
  <c r="O27" i="6"/>
  <c r="P27" i="6"/>
  <c r="Q27" i="6"/>
  <c r="R27" i="6"/>
  <c r="S27" i="6"/>
  <c r="T27" i="6"/>
  <c r="U27" i="6"/>
  <c r="V27" i="6"/>
  <c r="W27" i="6"/>
  <c r="X27" i="6"/>
  <c r="Y27" i="6"/>
  <c r="Z27" i="6"/>
  <c r="AA27" i="6"/>
  <c r="AB27" i="6"/>
  <c r="D28" i="6"/>
  <c r="E28" i="6"/>
  <c r="F28" i="6"/>
  <c r="G28" i="6"/>
  <c r="H28" i="6"/>
  <c r="I28" i="6"/>
  <c r="J28" i="6"/>
  <c r="K28" i="6"/>
  <c r="L28" i="6"/>
  <c r="M28" i="6"/>
  <c r="N28" i="6"/>
  <c r="O28" i="6"/>
  <c r="P28" i="6"/>
  <c r="Q28" i="6"/>
  <c r="R28" i="6"/>
  <c r="S28" i="6"/>
  <c r="T28" i="6"/>
  <c r="U28" i="6"/>
  <c r="V28" i="6"/>
  <c r="W28" i="6"/>
  <c r="X28" i="6"/>
  <c r="Y28" i="6"/>
  <c r="Z28" i="6"/>
  <c r="AA28" i="6"/>
  <c r="AB28" i="6"/>
  <c r="D29" i="6"/>
  <c r="E29" i="6"/>
  <c r="F29" i="6"/>
  <c r="G29" i="6"/>
  <c r="H29" i="6"/>
  <c r="I29" i="6"/>
  <c r="J29" i="6"/>
  <c r="K29" i="6"/>
  <c r="L29" i="6"/>
  <c r="M29" i="6"/>
  <c r="N29" i="6"/>
  <c r="O29" i="6"/>
  <c r="P29" i="6"/>
  <c r="Q29" i="6"/>
  <c r="R29" i="6"/>
  <c r="S29" i="6"/>
  <c r="T29" i="6"/>
  <c r="U29" i="6"/>
  <c r="V29" i="6"/>
  <c r="W29" i="6"/>
  <c r="X29" i="6"/>
  <c r="Y29" i="6"/>
  <c r="Z29" i="6"/>
  <c r="AA29" i="6"/>
  <c r="AB29" i="6"/>
  <c r="D43" i="6"/>
  <c r="E43" i="6"/>
  <c r="F43" i="6"/>
  <c r="G43" i="6"/>
  <c r="H43" i="6"/>
  <c r="I43" i="6"/>
  <c r="J43" i="6"/>
  <c r="K43" i="6"/>
  <c r="L43" i="6"/>
  <c r="M43" i="6"/>
  <c r="N43" i="6"/>
  <c r="O43" i="6"/>
  <c r="P43" i="6"/>
  <c r="Q43" i="6"/>
  <c r="R43" i="6"/>
  <c r="S43" i="6"/>
  <c r="T43" i="6"/>
  <c r="U43" i="6"/>
  <c r="V43" i="6"/>
  <c r="W43" i="6"/>
  <c r="X43" i="6"/>
  <c r="Y43" i="6"/>
  <c r="Z43" i="6"/>
  <c r="AA43" i="6"/>
  <c r="AB43" i="6"/>
  <c r="D44" i="6"/>
  <c r="E44" i="6"/>
  <c r="F44" i="6"/>
  <c r="G44" i="6"/>
  <c r="H44" i="6"/>
  <c r="I44" i="6"/>
  <c r="J44" i="6"/>
  <c r="K44" i="6"/>
  <c r="L44" i="6"/>
  <c r="M44" i="6"/>
  <c r="N44" i="6"/>
  <c r="O44" i="6"/>
  <c r="P44" i="6"/>
  <c r="Q44" i="6"/>
  <c r="R44" i="6"/>
  <c r="S44" i="6"/>
  <c r="T44" i="6"/>
  <c r="U44" i="6"/>
  <c r="V44" i="6"/>
  <c r="W44" i="6"/>
  <c r="X44" i="6"/>
  <c r="Y44" i="6"/>
  <c r="Z44" i="6"/>
  <c r="AA44" i="6"/>
  <c r="AB44" i="6"/>
  <c r="D49" i="6"/>
  <c r="E49" i="6"/>
  <c r="F49" i="6"/>
  <c r="G49" i="6"/>
  <c r="H49" i="6"/>
  <c r="I49" i="6"/>
  <c r="J49" i="6"/>
  <c r="K49" i="6"/>
  <c r="L49" i="6"/>
  <c r="M49" i="6"/>
  <c r="N49" i="6"/>
  <c r="O49" i="6"/>
  <c r="P49" i="6"/>
  <c r="Q49" i="6"/>
  <c r="R49" i="6"/>
  <c r="S49" i="6"/>
  <c r="T49" i="6"/>
  <c r="U49" i="6"/>
  <c r="V49" i="6"/>
  <c r="W49" i="6"/>
  <c r="X49" i="6"/>
  <c r="Y49" i="6"/>
  <c r="Z49" i="6"/>
  <c r="AA49" i="6"/>
  <c r="AB49" i="6"/>
  <c r="D50" i="6"/>
  <c r="E50" i="6"/>
  <c r="F50" i="6"/>
  <c r="G50" i="6"/>
  <c r="H50" i="6"/>
  <c r="I50" i="6"/>
  <c r="J50" i="6"/>
  <c r="K50" i="6"/>
  <c r="L50" i="6"/>
  <c r="M50" i="6"/>
  <c r="N50" i="6"/>
  <c r="O50" i="6"/>
  <c r="P50" i="6"/>
  <c r="Q50" i="6"/>
  <c r="R50" i="6"/>
  <c r="S50" i="6"/>
  <c r="T50" i="6"/>
  <c r="U50" i="6"/>
  <c r="V50" i="6"/>
  <c r="W50" i="6"/>
  <c r="X50" i="6"/>
  <c r="Y50" i="6"/>
  <c r="Z50" i="6"/>
  <c r="AA50" i="6"/>
  <c r="AB50" i="6"/>
  <c r="D54" i="6"/>
  <c r="E54" i="6"/>
  <c r="F54" i="6"/>
  <c r="G54" i="6"/>
  <c r="H54" i="6"/>
  <c r="I54" i="6"/>
  <c r="J54" i="6"/>
  <c r="K54" i="6"/>
  <c r="L54" i="6"/>
  <c r="M54" i="6"/>
  <c r="N54" i="6"/>
  <c r="O54" i="6"/>
  <c r="P54" i="6"/>
  <c r="Q54" i="6"/>
  <c r="R54" i="6"/>
  <c r="S54" i="6"/>
  <c r="T54" i="6"/>
  <c r="U54" i="6"/>
  <c r="V54" i="6"/>
  <c r="W54" i="6"/>
  <c r="X54" i="6"/>
  <c r="Y54" i="6"/>
  <c r="Z54" i="6"/>
  <c r="AA54" i="6"/>
  <c r="AB54" i="6"/>
  <c r="D56" i="6"/>
  <c r="E56" i="6"/>
  <c r="F56" i="6"/>
  <c r="G56" i="6"/>
  <c r="H56" i="6"/>
  <c r="I56" i="6"/>
  <c r="J56" i="6"/>
  <c r="K56" i="6"/>
  <c r="L56" i="6"/>
  <c r="M56" i="6"/>
  <c r="N56" i="6"/>
  <c r="O56" i="6"/>
  <c r="P56" i="6"/>
  <c r="Q56" i="6"/>
  <c r="R56" i="6"/>
  <c r="S56" i="6"/>
  <c r="T56" i="6"/>
  <c r="U56" i="6"/>
  <c r="V56" i="6"/>
  <c r="W56" i="6"/>
  <c r="X56" i="6"/>
  <c r="Y56" i="6"/>
  <c r="Z56" i="6"/>
  <c r="AA56" i="6"/>
  <c r="AB56" i="6"/>
  <c r="D57" i="6"/>
  <c r="E57" i="6"/>
  <c r="F57" i="6"/>
  <c r="G57" i="6"/>
  <c r="H57" i="6"/>
  <c r="I57" i="6"/>
  <c r="J57" i="6"/>
  <c r="K57" i="6"/>
  <c r="L57" i="6"/>
  <c r="M57" i="6"/>
  <c r="N57" i="6"/>
  <c r="O57" i="6"/>
  <c r="P57" i="6"/>
  <c r="Q57" i="6"/>
  <c r="R57" i="6"/>
  <c r="S57" i="6"/>
  <c r="T57" i="6"/>
  <c r="U57" i="6"/>
  <c r="V57" i="6"/>
  <c r="W57" i="6"/>
  <c r="X57" i="6"/>
  <c r="Y57" i="6"/>
  <c r="Z57" i="6"/>
  <c r="AA57" i="6"/>
  <c r="AB57" i="6"/>
  <c r="D58" i="6"/>
  <c r="E58" i="6"/>
  <c r="F58" i="6"/>
  <c r="G58" i="6"/>
  <c r="H58" i="6"/>
  <c r="I58" i="6"/>
  <c r="J58" i="6"/>
  <c r="K58" i="6"/>
  <c r="L58" i="6"/>
  <c r="M58" i="6"/>
  <c r="N58" i="6"/>
  <c r="O58" i="6"/>
  <c r="P58" i="6"/>
  <c r="Q58" i="6"/>
  <c r="R58" i="6"/>
  <c r="S58" i="6"/>
  <c r="T58" i="6"/>
  <c r="U58" i="6"/>
  <c r="V58" i="6"/>
  <c r="W58" i="6"/>
  <c r="X58" i="6"/>
  <c r="Y58" i="6"/>
  <c r="Z58" i="6"/>
  <c r="AA58" i="6"/>
  <c r="AB58" i="6"/>
  <c r="D67" i="6"/>
  <c r="E67" i="6"/>
  <c r="F67" i="6"/>
  <c r="G67" i="6"/>
  <c r="H67" i="6"/>
  <c r="I67" i="6"/>
  <c r="J67" i="6"/>
  <c r="K67" i="6"/>
  <c r="L67" i="6"/>
  <c r="M67" i="6"/>
  <c r="N67" i="6"/>
  <c r="O67" i="6"/>
  <c r="P67" i="6"/>
  <c r="Q67" i="6"/>
  <c r="R67" i="6"/>
  <c r="S67" i="6"/>
  <c r="T67" i="6"/>
  <c r="U67" i="6"/>
  <c r="V67" i="6"/>
  <c r="W67" i="6"/>
  <c r="X67" i="6"/>
  <c r="Y67" i="6"/>
  <c r="Z67" i="6"/>
  <c r="AA67" i="6"/>
  <c r="AB67" i="6"/>
  <c r="D68" i="6"/>
  <c r="E68" i="6"/>
  <c r="F68" i="6"/>
  <c r="G68" i="6"/>
  <c r="H68" i="6"/>
  <c r="I68" i="6"/>
  <c r="J68" i="6"/>
  <c r="K68" i="6"/>
  <c r="L68" i="6"/>
  <c r="M68" i="6"/>
  <c r="N68" i="6"/>
  <c r="O68" i="6"/>
  <c r="P68" i="6"/>
  <c r="Q68" i="6"/>
  <c r="R68" i="6"/>
  <c r="S68" i="6"/>
  <c r="T68" i="6"/>
  <c r="U68" i="6"/>
  <c r="V68" i="6"/>
  <c r="W68" i="6"/>
  <c r="X68" i="6"/>
  <c r="Y68" i="6"/>
  <c r="Z68" i="6"/>
  <c r="AA68" i="6"/>
  <c r="AB68" i="6"/>
  <c r="D69" i="6"/>
  <c r="E69" i="6"/>
  <c r="F69" i="6"/>
  <c r="G69" i="6"/>
  <c r="H69" i="6"/>
  <c r="I69" i="6"/>
  <c r="J69" i="6"/>
  <c r="K69" i="6"/>
  <c r="L69" i="6"/>
  <c r="M69" i="6"/>
  <c r="N69" i="6"/>
  <c r="O69" i="6"/>
  <c r="P69" i="6"/>
  <c r="Q69" i="6"/>
  <c r="R69" i="6"/>
  <c r="S69" i="6"/>
  <c r="T69" i="6"/>
  <c r="U69" i="6"/>
  <c r="V69" i="6"/>
  <c r="W69" i="6"/>
  <c r="X69" i="6"/>
  <c r="Y69" i="6"/>
  <c r="Z69" i="6"/>
  <c r="AA69" i="6"/>
  <c r="AB69" i="6"/>
  <c r="D70" i="6"/>
  <c r="E70" i="6"/>
  <c r="F70" i="6"/>
  <c r="G70" i="6"/>
  <c r="H70" i="6"/>
  <c r="I70" i="6"/>
  <c r="J70" i="6"/>
  <c r="K70" i="6"/>
  <c r="L70" i="6"/>
  <c r="M70" i="6"/>
  <c r="N70" i="6"/>
  <c r="O70" i="6"/>
  <c r="P70" i="6"/>
  <c r="Q70" i="6"/>
  <c r="R70" i="6"/>
  <c r="S70" i="6"/>
  <c r="T70" i="6"/>
  <c r="U70" i="6"/>
  <c r="V70" i="6"/>
  <c r="W70" i="6"/>
  <c r="X70" i="6"/>
  <c r="Y70" i="6"/>
  <c r="Z70" i="6"/>
  <c r="AA70" i="6"/>
  <c r="AB70" i="6"/>
  <c r="D71" i="6"/>
  <c r="E71" i="6"/>
  <c r="F71" i="6"/>
  <c r="G71" i="6"/>
  <c r="H71" i="6"/>
  <c r="I71" i="6"/>
  <c r="J71" i="6"/>
  <c r="K71" i="6"/>
  <c r="L71" i="6"/>
  <c r="M71" i="6"/>
  <c r="N71" i="6"/>
  <c r="O71" i="6"/>
  <c r="P71" i="6"/>
  <c r="Q71" i="6"/>
  <c r="R71" i="6"/>
  <c r="S71" i="6"/>
  <c r="T71" i="6"/>
  <c r="U71" i="6"/>
  <c r="V71" i="6"/>
  <c r="W71" i="6"/>
  <c r="X71" i="6"/>
  <c r="Y71" i="6"/>
  <c r="Z71" i="6"/>
  <c r="AA71" i="6"/>
  <c r="AB71" i="6"/>
  <c r="S72" i="6"/>
  <c r="T72" i="6"/>
  <c r="U72" i="6"/>
  <c r="V72" i="6"/>
  <c r="W72" i="6"/>
  <c r="R73" i="6"/>
  <c r="S73" i="6"/>
  <c r="T73" i="6"/>
  <c r="U73" i="6"/>
  <c r="V73" i="6"/>
  <c r="W73" i="6"/>
  <c r="D74" i="6"/>
  <c r="E74" i="6"/>
  <c r="F74" i="6"/>
  <c r="G74" i="6"/>
  <c r="H74" i="6"/>
  <c r="I74" i="6"/>
  <c r="J74" i="6"/>
  <c r="K74" i="6"/>
  <c r="L74" i="6"/>
  <c r="M74" i="6"/>
  <c r="N74" i="6"/>
  <c r="O74" i="6"/>
  <c r="P74" i="6"/>
  <c r="Q74" i="6"/>
  <c r="R74" i="6"/>
  <c r="S74" i="6"/>
  <c r="T74" i="6"/>
  <c r="U74" i="6"/>
  <c r="V74" i="6"/>
  <c r="W74" i="6"/>
  <c r="X74" i="6"/>
  <c r="Y74" i="6"/>
  <c r="Z74" i="6"/>
  <c r="AA74" i="6"/>
  <c r="AB74" i="6"/>
  <c r="D75" i="6"/>
  <c r="E75" i="6"/>
  <c r="F75" i="6"/>
  <c r="G75" i="6"/>
  <c r="H75" i="6"/>
  <c r="I75" i="6"/>
  <c r="J75" i="6"/>
  <c r="K75" i="6"/>
  <c r="L75" i="6"/>
  <c r="M75" i="6"/>
  <c r="N75" i="6"/>
  <c r="O75" i="6"/>
  <c r="P75" i="6"/>
  <c r="Q75" i="6"/>
  <c r="R75" i="6"/>
  <c r="S75" i="6"/>
  <c r="T75" i="6"/>
  <c r="U75" i="6"/>
  <c r="V75" i="6"/>
  <c r="W75" i="6"/>
  <c r="X75" i="6"/>
  <c r="Y75" i="6"/>
  <c r="Z75" i="6"/>
  <c r="AA75" i="6"/>
  <c r="AB75" i="6"/>
  <c r="D76" i="6"/>
  <c r="E76" i="6"/>
  <c r="F76" i="6"/>
  <c r="G76" i="6"/>
  <c r="H76" i="6"/>
  <c r="I76" i="6"/>
  <c r="J76" i="6"/>
  <c r="K76" i="6"/>
  <c r="L76" i="6"/>
  <c r="M76" i="6"/>
  <c r="N76" i="6"/>
  <c r="O76" i="6"/>
  <c r="P76" i="6"/>
  <c r="Q76" i="6"/>
  <c r="R76" i="6"/>
  <c r="S76" i="6"/>
  <c r="T76" i="6"/>
  <c r="U76" i="6"/>
  <c r="V76" i="6"/>
  <c r="W76" i="6"/>
  <c r="X76" i="6"/>
  <c r="Y76" i="6"/>
  <c r="Z76" i="6"/>
  <c r="AA76" i="6"/>
  <c r="AB76" i="6"/>
  <c r="D77" i="6"/>
  <c r="E77" i="6"/>
  <c r="F77" i="6"/>
  <c r="G77" i="6"/>
  <c r="H77" i="6"/>
  <c r="I77" i="6"/>
  <c r="J77" i="6"/>
  <c r="K77" i="6"/>
  <c r="L77" i="6"/>
  <c r="M77" i="6"/>
  <c r="N77" i="6"/>
  <c r="O77" i="6"/>
  <c r="P77" i="6"/>
  <c r="Q77" i="6"/>
  <c r="R77" i="6"/>
  <c r="S77" i="6"/>
  <c r="T77" i="6"/>
  <c r="U77" i="6"/>
  <c r="V77" i="6"/>
  <c r="W77" i="6"/>
  <c r="X77" i="6"/>
  <c r="Y77" i="6"/>
  <c r="Z77" i="6"/>
  <c r="AA77" i="6"/>
  <c r="AB77" i="6"/>
  <c r="D83" i="6"/>
  <c r="E83" i="6"/>
  <c r="F83" i="6"/>
  <c r="G83" i="6"/>
  <c r="H83" i="6"/>
  <c r="I83" i="6"/>
  <c r="J83" i="6"/>
  <c r="K83" i="6"/>
  <c r="L83" i="6"/>
  <c r="M83" i="6"/>
  <c r="N83" i="6"/>
  <c r="O83" i="6"/>
  <c r="P83" i="6"/>
  <c r="Q83" i="6"/>
  <c r="R83" i="6"/>
  <c r="S83" i="6"/>
  <c r="T83" i="6"/>
  <c r="U83" i="6"/>
  <c r="V83" i="6"/>
  <c r="W83" i="6"/>
  <c r="X83" i="6"/>
  <c r="Y83" i="6"/>
  <c r="Z83" i="6"/>
  <c r="AA83" i="6"/>
  <c r="AB83" i="6"/>
  <c r="D84" i="6"/>
  <c r="E84" i="6"/>
  <c r="F84" i="6"/>
  <c r="G84" i="6"/>
  <c r="H84" i="6"/>
  <c r="I84" i="6"/>
  <c r="J84" i="6"/>
  <c r="K84" i="6"/>
  <c r="L84" i="6"/>
  <c r="M84" i="6"/>
  <c r="N84" i="6"/>
  <c r="O84" i="6"/>
  <c r="P84" i="6"/>
  <c r="Q84" i="6"/>
  <c r="R84" i="6"/>
  <c r="S84" i="6"/>
  <c r="T84" i="6"/>
  <c r="U84" i="6"/>
  <c r="V84" i="6"/>
  <c r="W84" i="6"/>
  <c r="X84" i="6"/>
  <c r="Y84" i="6"/>
  <c r="Z84" i="6"/>
  <c r="AA84" i="6"/>
  <c r="AB84" i="6"/>
  <c r="D85" i="6"/>
  <c r="E85" i="6"/>
  <c r="F85" i="6"/>
  <c r="G85" i="6"/>
  <c r="H85" i="6"/>
  <c r="I85" i="6"/>
  <c r="J85" i="6"/>
  <c r="K85" i="6"/>
  <c r="L85" i="6"/>
  <c r="M85" i="6"/>
  <c r="N85" i="6"/>
  <c r="O85" i="6"/>
  <c r="P85" i="6"/>
  <c r="Q85" i="6"/>
  <c r="R85" i="6"/>
  <c r="S85" i="6"/>
  <c r="T85" i="6"/>
  <c r="U85" i="6"/>
  <c r="V85" i="6"/>
  <c r="W85" i="6"/>
  <c r="X85" i="6"/>
  <c r="Y85" i="6"/>
  <c r="Z85" i="6"/>
  <c r="AA85" i="6"/>
  <c r="AB85" i="6"/>
  <c r="D86" i="6"/>
  <c r="E86" i="6"/>
  <c r="F86" i="6"/>
  <c r="G86" i="6"/>
  <c r="H86" i="6"/>
  <c r="I86" i="6"/>
  <c r="J86" i="6"/>
  <c r="K86" i="6"/>
  <c r="L86" i="6"/>
  <c r="M86" i="6"/>
  <c r="N86" i="6"/>
  <c r="O86" i="6"/>
  <c r="P86" i="6"/>
  <c r="Q86" i="6"/>
  <c r="R86" i="6"/>
  <c r="S86" i="6"/>
  <c r="T86" i="6"/>
  <c r="U86" i="6"/>
  <c r="V86" i="6"/>
  <c r="W86" i="6"/>
  <c r="X86" i="6"/>
  <c r="Y86" i="6"/>
  <c r="Z86" i="6"/>
  <c r="AA86" i="6"/>
  <c r="AB86" i="6"/>
  <c r="D87" i="6"/>
  <c r="E87" i="6"/>
  <c r="F87" i="6"/>
  <c r="G87" i="6"/>
  <c r="H87" i="6"/>
  <c r="I87" i="6"/>
  <c r="J87" i="6"/>
  <c r="K87" i="6"/>
  <c r="L87" i="6"/>
  <c r="M87" i="6"/>
  <c r="N87" i="6"/>
  <c r="O87" i="6"/>
  <c r="P87" i="6"/>
  <c r="Q87" i="6"/>
  <c r="R87" i="6"/>
  <c r="S87" i="6"/>
  <c r="T87" i="6"/>
  <c r="U87" i="6"/>
  <c r="V87" i="6"/>
  <c r="W87" i="6"/>
  <c r="X87" i="6"/>
  <c r="Y87" i="6"/>
  <c r="Z87" i="6"/>
  <c r="AA87" i="6"/>
  <c r="AB87" i="6"/>
  <c r="S88" i="6"/>
  <c r="T88" i="6"/>
  <c r="U88" i="6"/>
  <c r="V88" i="6"/>
  <c r="W88" i="6"/>
  <c r="R89" i="6"/>
  <c r="S89" i="6"/>
  <c r="T89" i="6"/>
  <c r="U89" i="6"/>
  <c r="V89" i="6"/>
  <c r="W89" i="6"/>
  <c r="D90" i="6"/>
  <c r="E90" i="6"/>
  <c r="F90" i="6"/>
  <c r="G90" i="6"/>
  <c r="H90" i="6"/>
  <c r="I90" i="6"/>
  <c r="J90" i="6"/>
  <c r="K90" i="6"/>
  <c r="L90" i="6"/>
  <c r="M90" i="6"/>
  <c r="N90" i="6"/>
  <c r="O90" i="6"/>
  <c r="P90" i="6"/>
  <c r="Q90" i="6"/>
  <c r="R90" i="6"/>
  <c r="S90" i="6"/>
  <c r="T90" i="6"/>
  <c r="U90" i="6"/>
  <c r="V90" i="6"/>
  <c r="W90" i="6"/>
  <c r="X90" i="6"/>
  <c r="Y90" i="6"/>
  <c r="Z90" i="6"/>
  <c r="AA90" i="6"/>
  <c r="AB90" i="6"/>
  <c r="D91" i="6"/>
  <c r="E91" i="6"/>
  <c r="F91" i="6"/>
  <c r="G91" i="6"/>
  <c r="H91" i="6"/>
  <c r="I91" i="6"/>
  <c r="J91" i="6"/>
  <c r="K91" i="6"/>
  <c r="L91" i="6"/>
  <c r="M91" i="6"/>
  <c r="N91" i="6"/>
  <c r="O91" i="6"/>
  <c r="P91" i="6"/>
  <c r="Q91" i="6"/>
  <c r="R91" i="6"/>
  <c r="S91" i="6"/>
  <c r="T91" i="6"/>
  <c r="U91" i="6"/>
  <c r="V91" i="6"/>
  <c r="W91" i="6"/>
  <c r="X91" i="6"/>
  <c r="Y91" i="6"/>
  <c r="Z91" i="6"/>
  <c r="AA91" i="6"/>
  <c r="AB91" i="6"/>
  <c r="D92" i="6"/>
  <c r="E92" i="6"/>
  <c r="F92" i="6"/>
  <c r="G92" i="6"/>
  <c r="H92" i="6"/>
  <c r="I92" i="6"/>
  <c r="J92" i="6"/>
  <c r="K92" i="6"/>
  <c r="L92" i="6"/>
  <c r="M92" i="6"/>
  <c r="N92" i="6"/>
  <c r="O92" i="6"/>
  <c r="P92" i="6"/>
  <c r="Q92" i="6"/>
  <c r="R92" i="6"/>
  <c r="S92" i="6"/>
  <c r="T92" i="6"/>
  <c r="U92" i="6"/>
  <c r="V92" i="6"/>
  <c r="W92" i="6"/>
  <c r="X92" i="6"/>
  <c r="Y92" i="6"/>
  <c r="Z92" i="6"/>
  <c r="AA92" i="6"/>
  <c r="AB92" i="6"/>
  <c r="D97" i="6"/>
  <c r="E97" i="6"/>
  <c r="F97" i="6"/>
  <c r="G97" i="6"/>
  <c r="H97" i="6"/>
  <c r="I97" i="6"/>
  <c r="J97" i="6"/>
  <c r="K97" i="6"/>
  <c r="L97" i="6"/>
  <c r="M97" i="6"/>
  <c r="N97" i="6"/>
  <c r="O97" i="6"/>
  <c r="P97" i="6"/>
  <c r="Q97" i="6"/>
  <c r="R97" i="6"/>
  <c r="S97" i="6"/>
  <c r="T97" i="6"/>
  <c r="U97" i="6"/>
  <c r="V97" i="6"/>
  <c r="W97" i="6"/>
  <c r="X97" i="6"/>
  <c r="Y97" i="6"/>
  <c r="Z97" i="6"/>
  <c r="AA97" i="6"/>
  <c r="AB97" i="6"/>
  <c r="D98" i="6"/>
  <c r="E98" i="6"/>
  <c r="F98" i="6"/>
  <c r="G98" i="6"/>
  <c r="H98" i="6"/>
  <c r="I98" i="6"/>
  <c r="J98" i="6"/>
  <c r="K98" i="6"/>
  <c r="L98" i="6"/>
  <c r="M98" i="6"/>
  <c r="N98" i="6"/>
  <c r="O98" i="6"/>
  <c r="P98" i="6"/>
  <c r="Q98" i="6"/>
  <c r="R98" i="6"/>
  <c r="S98" i="6"/>
  <c r="T98" i="6"/>
  <c r="U98" i="6"/>
  <c r="V98" i="6"/>
  <c r="W98" i="6"/>
  <c r="X98" i="6"/>
  <c r="Y98" i="6"/>
  <c r="Z98" i="6"/>
  <c r="AA98" i="6"/>
  <c r="AB98" i="6"/>
  <c r="D99" i="6"/>
  <c r="E99" i="6"/>
  <c r="F99" i="6"/>
  <c r="G99" i="6"/>
  <c r="H99" i="6"/>
  <c r="I99" i="6"/>
  <c r="J99" i="6"/>
  <c r="K99" i="6"/>
  <c r="L99" i="6"/>
  <c r="M99" i="6"/>
  <c r="N99" i="6"/>
  <c r="O99" i="6"/>
  <c r="P99" i="6"/>
  <c r="Q99" i="6"/>
  <c r="R99" i="6"/>
  <c r="S99" i="6"/>
  <c r="T99" i="6"/>
  <c r="U99" i="6"/>
  <c r="V99" i="6"/>
  <c r="W99" i="6"/>
  <c r="X99" i="6"/>
  <c r="Y99" i="6"/>
  <c r="Z99" i="6"/>
  <c r="AA99" i="6"/>
  <c r="AB99" i="6"/>
  <c r="D100" i="6"/>
  <c r="E100" i="6"/>
  <c r="F100" i="6"/>
  <c r="G100" i="6"/>
  <c r="H100" i="6"/>
  <c r="I100" i="6"/>
  <c r="J100" i="6"/>
  <c r="K100" i="6"/>
  <c r="L100" i="6"/>
  <c r="M100" i="6"/>
  <c r="N100" i="6"/>
  <c r="O100" i="6"/>
  <c r="P100" i="6"/>
  <c r="Q100" i="6"/>
  <c r="R100" i="6"/>
  <c r="S100" i="6"/>
  <c r="T100" i="6"/>
  <c r="U100" i="6"/>
  <c r="V100" i="6"/>
  <c r="W100" i="6"/>
  <c r="X100" i="6"/>
  <c r="Y100" i="6"/>
  <c r="Z100" i="6"/>
  <c r="AA100" i="6"/>
  <c r="AB100" i="6"/>
  <c r="D101" i="6"/>
  <c r="E101" i="6"/>
  <c r="F101" i="6"/>
  <c r="G101" i="6"/>
  <c r="H101" i="6"/>
  <c r="I101" i="6"/>
  <c r="J101" i="6"/>
  <c r="K101" i="6"/>
  <c r="L101" i="6"/>
  <c r="M101" i="6"/>
  <c r="N101" i="6"/>
  <c r="O101" i="6"/>
  <c r="P101" i="6"/>
  <c r="Q101" i="6"/>
  <c r="R101" i="6"/>
  <c r="S101" i="6"/>
  <c r="T101" i="6"/>
  <c r="U101" i="6"/>
  <c r="V101" i="6"/>
  <c r="W101" i="6"/>
  <c r="X101" i="6"/>
  <c r="Y101" i="6"/>
  <c r="Z101" i="6"/>
  <c r="AA101" i="6"/>
  <c r="AB101" i="6"/>
  <c r="S102" i="6"/>
  <c r="T102" i="6"/>
  <c r="U102" i="6"/>
  <c r="V102" i="6"/>
  <c r="W102" i="6"/>
  <c r="R103" i="6"/>
  <c r="S103" i="6"/>
  <c r="T103" i="6"/>
  <c r="U103" i="6"/>
  <c r="V103" i="6"/>
  <c r="W103" i="6"/>
  <c r="D104" i="6"/>
  <c r="E104" i="6"/>
  <c r="F104" i="6"/>
  <c r="G104" i="6"/>
  <c r="H104" i="6"/>
  <c r="I104" i="6"/>
  <c r="J104" i="6"/>
  <c r="K104" i="6"/>
  <c r="L104" i="6"/>
  <c r="M104" i="6"/>
  <c r="N104" i="6"/>
  <c r="O104" i="6"/>
  <c r="P104" i="6"/>
  <c r="Q104" i="6"/>
  <c r="R104" i="6"/>
  <c r="S104" i="6"/>
  <c r="T104" i="6"/>
  <c r="U104" i="6"/>
  <c r="V104" i="6"/>
  <c r="W104" i="6"/>
  <c r="X104" i="6"/>
  <c r="Y104" i="6"/>
  <c r="Z104" i="6"/>
  <c r="AA104" i="6"/>
  <c r="AB104" i="6"/>
  <c r="D105" i="6"/>
  <c r="E105" i="6"/>
  <c r="F105" i="6"/>
  <c r="G105" i="6"/>
  <c r="H105" i="6"/>
  <c r="I105" i="6"/>
  <c r="J105" i="6"/>
  <c r="K105" i="6"/>
  <c r="L105" i="6"/>
  <c r="M105" i="6"/>
  <c r="N105" i="6"/>
  <c r="O105" i="6"/>
  <c r="P105" i="6"/>
  <c r="Q105" i="6"/>
  <c r="R105" i="6"/>
  <c r="S105" i="6"/>
  <c r="T105" i="6"/>
  <c r="U105" i="6"/>
  <c r="V105" i="6"/>
  <c r="W105" i="6"/>
  <c r="X105" i="6"/>
  <c r="Y105" i="6"/>
  <c r="Z105" i="6"/>
  <c r="AA105" i="6"/>
  <c r="AB105" i="6"/>
  <c r="D106" i="6"/>
  <c r="E106" i="6"/>
  <c r="F106" i="6"/>
  <c r="G106" i="6"/>
  <c r="H106" i="6"/>
  <c r="I106" i="6"/>
  <c r="J106" i="6"/>
  <c r="K106" i="6"/>
  <c r="L106" i="6"/>
  <c r="M106" i="6"/>
  <c r="N106" i="6"/>
  <c r="O106" i="6"/>
  <c r="P106" i="6"/>
  <c r="Q106" i="6"/>
  <c r="R106" i="6"/>
  <c r="S106" i="6"/>
  <c r="T106" i="6"/>
  <c r="U106" i="6"/>
  <c r="V106" i="6"/>
  <c r="W106" i="6"/>
  <c r="X106" i="6"/>
  <c r="Y106" i="6"/>
  <c r="Z106" i="6"/>
  <c r="AA106" i="6"/>
  <c r="AB106" i="6"/>
  <c r="D10" i="10"/>
  <c r="E10" i="10"/>
  <c r="F10" i="10"/>
  <c r="G10" i="10"/>
  <c r="H10" i="10"/>
  <c r="I10" i="10"/>
  <c r="J10" i="10"/>
  <c r="K10" i="10"/>
  <c r="L10" i="10"/>
  <c r="M10" i="10"/>
  <c r="N10" i="10"/>
  <c r="O10" i="10"/>
  <c r="P10" i="10"/>
  <c r="Q10" i="10"/>
  <c r="R10" i="10"/>
  <c r="S10" i="10"/>
  <c r="T10" i="10"/>
  <c r="U10" i="10"/>
  <c r="V10" i="10"/>
  <c r="W10" i="10"/>
  <c r="X10" i="10"/>
  <c r="Y10" i="10"/>
  <c r="Z10" i="10"/>
  <c r="AA10" i="10"/>
  <c r="AB10" i="10"/>
  <c r="D11" i="10"/>
  <c r="E11" i="10"/>
  <c r="F11" i="10"/>
  <c r="G11" i="10"/>
  <c r="H11" i="10"/>
  <c r="I11" i="10"/>
  <c r="J11" i="10"/>
  <c r="K11" i="10"/>
  <c r="L11" i="10"/>
  <c r="M11" i="10"/>
  <c r="N11" i="10"/>
  <c r="O11" i="10"/>
  <c r="P11" i="10"/>
  <c r="Q11" i="10"/>
  <c r="R11" i="10"/>
  <c r="S11" i="10"/>
  <c r="T11" i="10"/>
  <c r="U11" i="10"/>
  <c r="V11" i="10"/>
  <c r="W11" i="10"/>
  <c r="X11" i="10"/>
  <c r="Y11" i="10"/>
  <c r="Z11" i="10"/>
  <c r="AA11" i="10"/>
  <c r="AB11" i="10"/>
  <c r="D12" i="10"/>
  <c r="E12" i="10"/>
  <c r="F12" i="10"/>
  <c r="G12" i="10"/>
  <c r="H12" i="10"/>
  <c r="I12" i="10"/>
  <c r="J12" i="10"/>
  <c r="K12" i="10"/>
  <c r="L12" i="10"/>
  <c r="M12" i="10"/>
  <c r="N12" i="10"/>
  <c r="O12" i="10"/>
  <c r="P12" i="10"/>
  <c r="Q12" i="10"/>
  <c r="R12" i="10"/>
  <c r="S12" i="10"/>
  <c r="T12" i="10"/>
  <c r="U12" i="10"/>
  <c r="V12" i="10"/>
  <c r="W12" i="10"/>
  <c r="X12" i="10"/>
  <c r="Y12" i="10"/>
  <c r="Z12" i="10"/>
  <c r="AA12" i="10"/>
  <c r="AB12" i="10"/>
  <c r="D13" i="10"/>
  <c r="E13" i="10"/>
  <c r="F13" i="10"/>
  <c r="G13" i="10"/>
  <c r="H13" i="10"/>
  <c r="I13" i="10"/>
  <c r="J13" i="10"/>
  <c r="K13" i="10"/>
  <c r="L13" i="10"/>
  <c r="M13" i="10"/>
  <c r="N13" i="10"/>
  <c r="O13" i="10"/>
  <c r="P13" i="10"/>
  <c r="Q13" i="10"/>
  <c r="R13" i="10"/>
  <c r="S13" i="10"/>
  <c r="T13" i="10"/>
  <c r="U13" i="10"/>
  <c r="V13" i="10"/>
  <c r="W13" i="10"/>
  <c r="X13" i="10"/>
  <c r="Y13" i="10"/>
  <c r="Z13" i="10"/>
  <c r="AA13" i="10"/>
  <c r="AB13" i="10"/>
  <c r="D14" i="10"/>
  <c r="E14" i="10"/>
  <c r="F14" i="10"/>
  <c r="G14" i="10"/>
  <c r="H14" i="10"/>
  <c r="I14" i="10"/>
  <c r="J14" i="10"/>
  <c r="K14" i="10"/>
  <c r="L14" i="10"/>
  <c r="M14" i="10"/>
  <c r="N14" i="10"/>
  <c r="O14" i="10"/>
  <c r="P14" i="10"/>
  <c r="Q14" i="10"/>
  <c r="R14" i="10"/>
  <c r="S14" i="10"/>
  <c r="T14" i="10"/>
  <c r="U14" i="10"/>
  <c r="V14" i="10"/>
  <c r="W14" i="10"/>
  <c r="X14" i="10"/>
  <c r="Y14" i="10"/>
  <c r="Z14" i="10"/>
  <c r="AA14" i="10"/>
  <c r="AB14" i="10"/>
  <c r="C15" i="10"/>
  <c r="D15" i="10"/>
  <c r="E15" i="10"/>
  <c r="F15" i="10"/>
  <c r="G15" i="10"/>
  <c r="H15" i="10"/>
  <c r="I15" i="10"/>
  <c r="J15" i="10"/>
  <c r="K15" i="10"/>
  <c r="L15" i="10"/>
  <c r="M15" i="10"/>
  <c r="N15" i="10"/>
  <c r="O15" i="10"/>
  <c r="P15" i="10"/>
  <c r="Q15" i="10"/>
  <c r="R15" i="10"/>
  <c r="S15" i="10"/>
  <c r="T15" i="10"/>
  <c r="U15" i="10"/>
  <c r="V15" i="10"/>
  <c r="W15" i="10"/>
  <c r="X15" i="10"/>
  <c r="Y15" i="10"/>
  <c r="Z15" i="10"/>
  <c r="AA15" i="10"/>
  <c r="AB15" i="10"/>
  <c r="C16" i="10"/>
  <c r="C17" i="10"/>
  <c r="E17" i="10"/>
  <c r="C18" i="10"/>
  <c r="E18" i="10"/>
  <c r="D20" i="10"/>
  <c r="E20" i="10"/>
  <c r="F20" i="10"/>
  <c r="G20" i="10"/>
  <c r="H20" i="10"/>
  <c r="I20" i="10"/>
  <c r="J20" i="10"/>
  <c r="K20" i="10"/>
  <c r="L20" i="10"/>
  <c r="M20" i="10"/>
  <c r="N20" i="10"/>
  <c r="O20" i="10"/>
  <c r="P20" i="10"/>
  <c r="Q20" i="10"/>
  <c r="R20" i="10"/>
  <c r="S20" i="10"/>
  <c r="T20" i="10"/>
  <c r="U20" i="10"/>
  <c r="V20" i="10"/>
  <c r="W20" i="10"/>
  <c r="X20" i="10"/>
  <c r="Y20" i="10"/>
  <c r="Z20" i="10"/>
  <c r="AA20" i="10"/>
  <c r="AB20" i="10"/>
  <c r="D21" i="10"/>
  <c r="E21" i="10"/>
  <c r="F21" i="10"/>
  <c r="G21" i="10"/>
  <c r="H21" i="10"/>
  <c r="I21" i="10"/>
  <c r="J21" i="10"/>
  <c r="K21" i="10"/>
  <c r="L21" i="10"/>
  <c r="M21" i="10"/>
  <c r="N21" i="10"/>
  <c r="O21" i="10"/>
  <c r="P21" i="10"/>
  <c r="Q21" i="10"/>
  <c r="R21" i="10"/>
  <c r="S21" i="10"/>
  <c r="T21" i="10"/>
  <c r="U21" i="10"/>
  <c r="V21" i="10"/>
  <c r="W21" i="10"/>
  <c r="X21" i="10"/>
  <c r="Y21" i="10"/>
  <c r="Z21" i="10"/>
  <c r="AA21" i="10"/>
  <c r="AB21" i="10"/>
  <c r="D22" i="10"/>
  <c r="E22" i="10"/>
  <c r="F22" i="10"/>
  <c r="G22" i="10"/>
  <c r="H22" i="10"/>
  <c r="I22" i="10"/>
  <c r="J22" i="10"/>
  <c r="K22" i="10"/>
  <c r="L22" i="10"/>
  <c r="M22" i="10"/>
  <c r="N22" i="10"/>
  <c r="O22" i="10"/>
  <c r="P22" i="10"/>
  <c r="Q22" i="10"/>
  <c r="R22" i="10"/>
  <c r="S22" i="10"/>
  <c r="T22" i="10"/>
  <c r="U22" i="10"/>
  <c r="V22" i="10"/>
  <c r="W22" i="10"/>
  <c r="X22" i="10"/>
  <c r="Y22" i="10"/>
  <c r="Z22" i="10"/>
  <c r="AA22" i="10"/>
  <c r="AB22" i="10"/>
  <c r="D23" i="10"/>
  <c r="E23" i="10"/>
  <c r="F23" i="10"/>
  <c r="G23" i="10"/>
  <c r="H23" i="10"/>
  <c r="I23" i="10"/>
  <c r="J23" i="10"/>
  <c r="K23" i="10"/>
  <c r="L23" i="10"/>
  <c r="M23" i="10"/>
  <c r="N23" i="10"/>
  <c r="O23" i="10"/>
  <c r="P23" i="10"/>
  <c r="Q23" i="10"/>
  <c r="R23" i="10"/>
  <c r="S23" i="10"/>
  <c r="T23" i="10"/>
  <c r="U23" i="10"/>
  <c r="V23" i="10"/>
  <c r="W23" i="10"/>
  <c r="X23" i="10"/>
  <c r="Y23" i="10"/>
  <c r="Z23" i="10"/>
  <c r="AA23" i="10"/>
  <c r="AB23" i="10"/>
  <c r="D25" i="10"/>
  <c r="E25" i="10"/>
  <c r="F25" i="10"/>
  <c r="G25" i="10"/>
  <c r="H25" i="10"/>
  <c r="I25" i="10"/>
  <c r="J25" i="10"/>
  <c r="K25" i="10"/>
  <c r="L25" i="10"/>
  <c r="M25" i="10"/>
  <c r="N25" i="10"/>
  <c r="O25" i="10"/>
  <c r="P25" i="10"/>
  <c r="Q25" i="10"/>
  <c r="R25" i="10"/>
  <c r="S25" i="10"/>
  <c r="T25" i="10"/>
  <c r="U25" i="10"/>
  <c r="V25" i="10"/>
  <c r="W25" i="10"/>
  <c r="X25" i="10"/>
  <c r="Y25" i="10"/>
  <c r="Z25" i="10"/>
  <c r="AA25" i="10"/>
  <c r="AB25" i="10"/>
  <c r="D26" i="10"/>
  <c r="E26" i="10"/>
  <c r="F26" i="10"/>
  <c r="G26" i="10"/>
  <c r="H26" i="10"/>
  <c r="I26" i="10"/>
  <c r="J26" i="10"/>
  <c r="K26" i="10"/>
  <c r="L26" i="10"/>
  <c r="M26" i="10"/>
  <c r="N26" i="10"/>
  <c r="O26" i="10"/>
  <c r="P26" i="10"/>
  <c r="Q26" i="10"/>
  <c r="R26" i="10"/>
  <c r="S26" i="10"/>
  <c r="T26" i="10"/>
  <c r="U26" i="10"/>
  <c r="V26" i="10"/>
  <c r="W26" i="10"/>
  <c r="X26" i="10"/>
  <c r="Y26" i="10"/>
  <c r="Z26" i="10"/>
  <c r="AA26" i="10"/>
  <c r="AB26" i="10"/>
  <c r="C27" i="10"/>
  <c r="D27" i="10"/>
  <c r="E27" i="10"/>
  <c r="F27" i="10"/>
  <c r="G27" i="10"/>
  <c r="H27" i="10"/>
  <c r="I27" i="10"/>
  <c r="J27" i="10"/>
  <c r="K27" i="10"/>
  <c r="L27" i="10"/>
  <c r="M27" i="10"/>
  <c r="N27" i="10"/>
  <c r="O27" i="10"/>
  <c r="P27" i="10"/>
  <c r="Q27" i="10"/>
  <c r="R27" i="10"/>
  <c r="S27" i="10"/>
  <c r="T27" i="10"/>
  <c r="U27" i="10"/>
  <c r="V27" i="10"/>
  <c r="W27" i="10"/>
  <c r="X27" i="10"/>
  <c r="Y27" i="10"/>
  <c r="Z27" i="10"/>
  <c r="AA27" i="10"/>
  <c r="AB27" i="10"/>
  <c r="C28" i="10"/>
  <c r="C29" i="10"/>
  <c r="E29" i="10"/>
  <c r="C30" i="10"/>
  <c r="E30" i="10"/>
  <c r="D32" i="10"/>
  <c r="E32" i="10"/>
  <c r="F32" i="10"/>
  <c r="G32" i="10"/>
  <c r="H32" i="10"/>
  <c r="I32" i="10"/>
  <c r="J32" i="10"/>
  <c r="K32" i="10"/>
  <c r="L32" i="10"/>
  <c r="M32" i="10"/>
  <c r="N32" i="10"/>
  <c r="O32" i="10"/>
  <c r="P32" i="10"/>
  <c r="Q32" i="10"/>
  <c r="R32" i="10"/>
  <c r="S32" i="10"/>
  <c r="T32" i="10"/>
  <c r="U32" i="10"/>
  <c r="V32" i="10"/>
  <c r="W32" i="10"/>
  <c r="X32" i="10"/>
  <c r="Y32" i="10"/>
  <c r="Z32" i="10"/>
  <c r="AA32" i="10"/>
  <c r="AB32" i="10"/>
  <c r="D33" i="10"/>
  <c r="E33" i="10"/>
  <c r="F33" i="10"/>
  <c r="G33" i="10"/>
  <c r="H33" i="10"/>
  <c r="I33" i="10"/>
  <c r="J33" i="10"/>
  <c r="K33" i="10"/>
  <c r="L33" i="10"/>
  <c r="M33" i="10"/>
  <c r="N33" i="10"/>
  <c r="O33" i="10"/>
  <c r="P33" i="10"/>
  <c r="Q33" i="10"/>
  <c r="R33" i="10"/>
  <c r="S33" i="10"/>
  <c r="T33" i="10"/>
  <c r="U33" i="10"/>
  <c r="V33" i="10"/>
  <c r="W33" i="10"/>
  <c r="X33" i="10"/>
  <c r="Y33" i="10"/>
  <c r="Z33" i="10"/>
  <c r="AA33" i="10"/>
  <c r="AB33" i="10"/>
  <c r="D34" i="10"/>
  <c r="E34" i="10"/>
  <c r="F34" i="10"/>
  <c r="G34" i="10"/>
  <c r="H34" i="10"/>
  <c r="I34" i="10"/>
  <c r="J34" i="10"/>
  <c r="K34" i="10"/>
  <c r="L34" i="10"/>
  <c r="M34" i="10"/>
  <c r="N34" i="10"/>
  <c r="O34" i="10"/>
  <c r="P34" i="10"/>
  <c r="Q34" i="10"/>
  <c r="R34" i="10"/>
  <c r="S34" i="10"/>
  <c r="T34" i="10"/>
  <c r="U34" i="10"/>
  <c r="V34" i="10"/>
  <c r="W34" i="10"/>
  <c r="X34" i="10"/>
  <c r="Y34" i="10"/>
  <c r="Z34" i="10"/>
  <c r="AA34" i="10"/>
  <c r="AB34" i="10"/>
  <c r="D35" i="10"/>
  <c r="E35" i="10"/>
  <c r="F35" i="10"/>
  <c r="G35" i="10"/>
  <c r="H35" i="10"/>
  <c r="I35" i="10"/>
  <c r="J35" i="10"/>
  <c r="K35" i="10"/>
  <c r="L35" i="10"/>
  <c r="M35" i="10"/>
  <c r="N35" i="10"/>
  <c r="O35" i="10"/>
  <c r="P35" i="10"/>
  <c r="Q35" i="10"/>
  <c r="R35" i="10"/>
  <c r="S35" i="10"/>
  <c r="T35" i="10"/>
  <c r="U35" i="10"/>
  <c r="V35" i="10"/>
  <c r="W35" i="10"/>
  <c r="X35" i="10"/>
  <c r="Y35" i="10"/>
  <c r="Z35" i="10"/>
  <c r="AA35" i="10"/>
  <c r="AB35" i="10"/>
  <c r="D36" i="10"/>
  <c r="E36" i="10"/>
  <c r="F36" i="10"/>
  <c r="G36" i="10"/>
  <c r="H36" i="10"/>
  <c r="I36" i="10"/>
  <c r="J36" i="10"/>
  <c r="K36" i="10"/>
  <c r="L36" i="10"/>
  <c r="M36" i="10"/>
  <c r="N36" i="10"/>
  <c r="O36" i="10"/>
  <c r="P36" i="10"/>
  <c r="Q36" i="10"/>
  <c r="R36" i="10"/>
  <c r="S36" i="10"/>
  <c r="T36" i="10"/>
  <c r="U36" i="10"/>
  <c r="V36" i="10"/>
  <c r="W36" i="10"/>
  <c r="X36" i="10"/>
  <c r="Y36" i="10"/>
  <c r="Z36" i="10"/>
  <c r="AA36" i="10"/>
  <c r="AB36" i="10"/>
  <c r="C37" i="10"/>
  <c r="D37" i="10"/>
  <c r="E37" i="10"/>
  <c r="F37" i="10"/>
  <c r="G37" i="10"/>
  <c r="H37" i="10"/>
  <c r="I37" i="10"/>
  <c r="J37" i="10"/>
  <c r="K37" i="10"/>
  <c r="L37" i="10"/>
  <c r="M37" i="10"/>
  <c r="N37" i="10"/>
  <c r="O37" i="10"/>
  <c r="P37" i="10"/>
  <c r="Q37" i="10"/>
  <c r="R37" i="10"/>
  <c r="S37" i="10"/>
  <c r="T37" i="10"/>
  <c r="U37" i="10"/>
  <c r="V37" i="10"/>
  <c r="W37" i="10"/>
  <c r="X37" i="10"/>
  <c r="Y37" i="10"/>
  <c r="Z37" i="10"/>
  <c r="AA37" i="10"/>
  <c r="AB37" i="10"/>
  <c r="C38" i="10"/>
  <c r="C39" i="10"/>
  <c r="E39" i="10"/>
  <c r="C40" i="10"/>
  <c r="E40" i="10"/>
  <c r="D47" i="10"/>
  <c r="E47" i="10"/>
  <c r="F47" i="10"/>
  <c r="G47" i="10"/>
  <c r="H47" i="10"/>
  <c r="I47" i="10"/>
  <c r="J47" i="10"/>
  <c r="K47" i="10"/>
  <c r="L47" i="10"/>
  <c r="M47" i="10"/>
  <c r="N47" i="10"/>
  <c r="O47" i="10"/>
  <c r="P47" i="10"/>
  <c r="Q47" i="10"/>
  <c r="R47" i="10"/>
  <c r="S47" i="10"/>
  <c r="T47" i="10"/>
  <c r="U47" i="10"/>
  <c r="V47" i="10"/>
  <c r="W47" i="10"/>
  <c r="X47" i="10"/>
  <c r="Y47" i="10"/>
  <c r="Z47" i="10"/>
  <c r="AA47" i="10"/>
  <c r="AB47" i="10"/>
  <c r="D48" i="10"/>
  <c r="E48" i="10"/>
  <c r="F48" i="10"/>
  <c r="G48" i="10"/>
  <c r="H48" i="10"/>
  <c r="I48" i="10"/>
  <c r="J48" i="10"/>
  <c r="K48" i="10"/>
  <c r="L48" i="10"/>
  <c r="M48" i="10"/>
  <c r="N48" i="10"/>
  <c r="O48" i="10"/>
  <c r="P48" i="10"/>
  <c r="Q48" i="10"/>
  <c r="R48" i="10"/>
  <c r="S48" i="10"/>
  <c r="T48" i="10"/>
  <c r="U48" i="10"/>
  <c r="V48" i="10"/>
  <c r="W48" i="10"/>
  <c r="X48" i="10"/>
  <c r="Y48" i="10"/>
  <c r="Z48" i="10"/>
  <c r="AA48" i="10"/>
  <c r="AB48" i="10"/>
  <c r="D49" i="10"/>
  <c r="E49" i="10"/>
  <c r="F49" i="10"/>
  <c r="G49" i="10"/>
  <c r="H49" i="10"/>
  <c r="I49" i="10"/>
  <c r="J49" i="10"/>
  <c r="K49" i="10"/>
  <c r="L49" i="10"/>
  <c r="M49" i="10"/>
  <c r="N49" i="10"/>
  <c r="O49" i="10"/>
  <c r="P49" i="10"/>
  <c r="Q49" i="10"/>
  <c r="R49" i="10"/>
  <c r="S49" i="10"/>
  <c r="T49" i="10"/>
  <c r="U49" i="10"/>
  <c r="V49" i="10"/>
  <c r="W49" i="10"/>
  <c r="X49" i="10"/>
  <c r="Y49" i="10"/>
  <c r="Z49" i="10"/>
  <c r="AA49" i="10"/>
  <c r="AB49" i="10"/>
  <c r="D50" i="10"/>
  <c r="E50" i="10"/>
  <c r="F50" i="10"/>
  <c r="G50" i="10"/>
  <c r="H50" i="10"/>
  <c r="I50" i="10"/>
  <c r="J50" i="10"/>
  <c r="K50" i="10"/>
  <c r="L50" i="10"/>
  <c r="M50" i="10"/>
  <c r="N50" i="10"/>
  <c r="O50" i="10"/>
  <c r="P50" i="10"/>
  <c r="Q50" i="10"/>
  <c r="R50" i="10"/>
  <c r="S50" i="10"/>
  <c r="T50" i="10"/>
  <c r="U50" i="10"/>
  <c r="V50" i="10"/>
  <c r="W50" i="10"/>
  <c r="X50" i="10"/>
  <c r="Y50" i="10"/>
  <c r="Z50" i="10"/>
  <c r="AA50" i="10"/>
  <c r="AB50" i="10"/>
  <c r="C51" i="10"/>
  <c r="D51" i="10"/>
  <c r="E51" i="10"/>
  <c r="F51" i="10"/>
  <c r="G51" i="10"/>
  <c r="H51" i="10"/>
  <c r="I51" i="10"/>
  <c r="J51" i="10"/>
  <c r="K51" i="10"/>
  <c r="L51" i="10"/>
  <c r="M51" i="10"/>
  <c r="N51" i="10"/>
  <c r="O51" i="10"/>
  <c r="P51" i="10"/>
  <c r="Q51" i="10"/>
  <c r="R51" i="10"/>
  <c r="S51" i="10"/>
  <c r="T51" i="10"/>
  <c r="U51" i="10"/>
  <c r="V51" i="10"/>
  <c r="W51" i="10"/>
  <c r="X51" i="10"/>
  <c r="Y51" i="10"/>
  <c r="Z51" i="10"/>
  <c r="AA51" i="10"/>
  <c r="AB51" i="10"/>
  <c r="C52" i="10"/>
  <c r="C53" i="10"/>
  <c r="C54" i="10"/>
  <c r="E54" i="10"/>
  <c r="D56" i="10"/>
  <c r="E56" i="10"/>
  <c r="F56" i="10"/>
  <c r="G56" i="10"/>
  <c r="H56" i="10"/>
  <c r="I56" i="10"/>
  <c r="J56" i="10"/>
  <c r="K56" i="10"/>
  <c r="L56" i="10"/>
  <c r="M56" i="10"/>
  <c r="N56" i="10"/>
  <c r="O56" i="10"/>
  <c r="P56" i="10"/>
  <c r="Q56" i="10"/>
  <c r="R56" i="10"/>
  <c r="S56" i="10"/>
  <c r="T56" i="10"/>
  <c r="U56" i="10"/>
  <c r="V56" i="10"/>
  <c r="W56" i="10"/>
  <c r="X56" i="10"/>
  <c r="Y56" i="10"/>
  <c r="Z56" i="10"/>
  <c r="AA56" i="10"/>
  <c r="AB56" i="10"/>
  <c r="D57" i="10"/>
  <c r="E57" i="10"/>
  <c r="F57" i="10"/>
  <c r="G57" i="10"/>
  <c r="H57" i="10"/>
  <c r="I57" i="10"/>
  <c r="J57" i="10"/>
  <c r="K57" i="10"/>
  <c r="L57" i="10"/>
  <c r="M57" i="10"/>
  <c r="N57" i="10"/>
  <c r="O57" i="10"/>
  <c r="P57" i="10"/>
  <c r="Q57" i="10"/>
  <c r="R57" i="10"/>
  <c r="S57" i="10"/>
  <c r="T57" i="10"/>
  <c r="U57" i="10"/>
  <c r="V57" i="10"/>
  <c r="W57" i="10"/>
  <c r="X57" i="10"/>
  <c r="Y57" i="10"/>
  <c r="Z57" i="10"/>
  <c r="AA57" i="10"/>
  <c r="AB57" i="10"/>
  <c r="D58" i="10"/>
  <c r="E58" i="10"/>
  <c r="F58" i="10"/>
  <c r="G58" i="10"/>
  <c r="H58" i="10"/>
  <c r="I58" i="10"/>
  <c r="J58" i="10"/>
  <c r="K58" i="10"/>
  <c r="L58" i="10"/>
  <c r="M58" i="10"/>
  <c r="N58" i="10"/>
  <c r="O58" i="10"/>
  <c r="P58" i="10"/>
  <c r="Q58" i="10"/>
  <c r="R58" i="10"/>
  <c r="S58" i="10"/>
  <c r="T58" i="10"/>
  <c r="U58" i="10"/>
  <c r="V58" i="10"/>
  <c r="W58" i="10"/>
  <c r="X58" i="10"/>
  <c r="Y58" i="10"/>
  <c r="Z58" i="10"/>
  <c r="AA58" i="10"/>
  <c r="AB58" i="10"/>
  <c r="D59" i="10"/>
  <c r="E59" i="10"/>
  <c r="F59" i="10"/>
  <c r="G59" i="10"/>
  <c r="H59" i="10"/>
  <c r="I59" i="10"/>
  <c r="J59" i="10"/>
  <c r="K59" i="10"/>
  <c r="L59" i="10"/>
  <c r="M59" i="10"/>
  <c r="N59" i="10"/>
  <c r="O59" i="10"/>
  <c r="P59" i="10"/>
  <c r="Q59" i="10"/>
  <c r="R59" i="10"/>
  <c r="S59" i="10"/>
  <c r="T59" i="10"/>
  <c r="U59" i="10"/>
  <c r="V59" i="10"/>
  <c r="W59" i="10"/>
  <c r="X59" i="10"/>
  <c r="Y59" i="10"/>
  <c r="Z59" i="10"/>
  <c r="AA59" i="10"/>
  <c r="AB59" i="10"/>
  <c r="D60" i="10"/>
  <c r="E60" i="10"/>
  <c r="F60" i="10"/>
  <c r="G60" i="10"/>
  <c r="H60" i="10"/>
  <c r="I60" i="10"/>
  <c r="J60" i="10"/>
  <c r="K60" i="10"/>
  <c r="L60" i="10"/>
  <c r="M60" i="10"/>
  <c r="N60" i="10"/>
  <c r="O60" i="10"/>
  <c r="P60" i="10"/>
  <c r="Q60" i="10"/>
  <c r="R60" i="10"/>
  <c r="S60" i="10"/>
  <c r="T60" i="10"/>
  <c r="U60" i="10"/>
  <c r="V60" i="10"/>
  <c r="W60" i="10"/>
  <c r="X60" i="10"/>
  <c r="Y60" i="10"/>
  <c r="Z60" i="10"/>
  <c r="AA60" i="10"/>
  <c r="AB60" i="10"/>
  <c r="C61" i="10"/>
  <c r="D61" i="10"/>
  <c r="E61" i="10"/>
  <c r="F61" i="10"/>
  <c r="G61" i="10"/>
  <c r="H61" i="10"/>
  <c r="I61" i="10"/>
  <c r="J61" i="10"/>
  <c r="K61" i="10"/>
  <c r="L61" i="10"/>
  <c r="M61" i="10"/>
  <c r="N61" i="10"/>
  <c r="O61" i="10"/>
  <c r="P61" i="10"/>
  <c r="Q61" i="10"/>
  <c r="R61" i="10"/>
  <c r="S61" i="10"/>
  <c r="T61" i="10"/>
  <c r="U61" i="10"/>
  <c r="V61" i="10"/>
  <c r="W61" i="10"/>
  <c r="X61" i="10"/>
  <c r="Y61" i="10"/>
  <c r="Z61" i="10"/>
  <c r="AA61" i="10"/>
  <c r="AB61" i="10"/>
  <c r="C62" i="10"/>
  <c r="C63" i="10"/>
  <c r="C64" i="10"/>
  <c r="E64" i="10"/>
  <c r="D66" i="10"/>
  <c r="E66" i="10"/>
  <c r="F66" i="10"/>
  <c r="G66" i="10"/>
  <c r="H66" i="10"/>
  <c r="I66" i="10"/>
  <c r="J66" i="10"/>
  <c r="K66" i="10"/>
  <c r="L66" i="10"/>
  <c r="M66" i="10"/>
  <c r="N66" i="10"/>
  <c r="O66" i="10"/>
  <c r="P66" i="10"/>
  <c r="Q66" i="10"/>
  <c r="R66" i="10"/>
  <c r="S66" i="10"/>
  <c r="T66" i="10"/>
  <c r="U66" i="10"/>
  <c r="V66" i="10"/>
  <c r="W66" i="10"/>
  <c r="X66" i="10"/>
  <c r="Y66" i="10"/>
  <c r="Z66" i="10"/>
  <c r="AA66" i="10"/>
  <c r="AB66" i="10"/>
  <c r="D67" i="10"/>
  <c r="E67" i="10"/>
  <c r="F67" i="10"/>
  <c r="G67" i="10"/>
  <c r="H67" i="10"/>
  <c r="I67" i="10"/>
  <c r="J67" i="10"/>
  <c r="K67" i="10"/>
  <c r="L67" i="10"/>
  <c r="M67" i="10"/>
  <c r="N67" i="10"/>
  <c r="O67" i="10"/>
  <c r="P67" i="10"/>
  <c r="Q67" i="10"/>
  <c r="R67" i="10"/>
  <c r="S67" i="10"/>
  <c r="T67" i="10"/>
  <c r="U67" i="10"/>
  <c r="V67" i="10"/>
  <c r="W67" i="10"/>
  <c r="X67" i="10"/>
  <c r="Y67" i="10"/>
  <c r="Z67" i="10"/>
  <c r="AA67" i="10"/>
  <c r="AB67" i="10"/>
  <c r="D68" i="10"/>
  <c r="E68" i="10"/>
  <c r="F68" i="10"/>
  <c r="G68" i="10"/>
  <c r="H68" i="10"/>
  <c r="I68" i="10"/>
  <c r="J68" i="10"/>
  <c r="K68" i="10"/>
  <c r="L68" i="10"/>
  <c r="M68" i="10"/>
  <c r="N68" i="10"/>
  <c r="O68" i="10"/>
  <c r="P68" i="10"/>
  <c r="Q68" i="10"/>
  <c r="R68" i="10"/>
  <c r="S68" i="10"/>
  <c r="T68" i="10"/>
  <c r="U68" i="10"/>
  <c r="V68" i="10"/>
  <c r="W68" i="10"/>
  <c r="X68" i="10"/>
  <c r="Y68" i="10"/>
  <c r="Z68" i="10"/>
  <c r="AA68" i="10"/>
  <c r="AB68" i="10"/>
  <c r="D69" i="10"/>
  <c r="E69" i="10"/>
  <c r="F69" i="10"/>
  <c r="G69" i="10"/>
  <c r="H69" i="10"/>
  <c r="I69" i="10"/>
  <c r="J69" i="10"/>
  <c r="K69" i="10"/>
  <c r="L69" i="10"/>
  <c r="M69" i="10"/>
  <c r="N69" i="10"/>
  <c r="O69" i="10"/>
  <c r="P69" i="10"/>
  <c r="Q69" i="10"/>
  <c r="R69" i="10"/>
  <c r="S69" i="10"/>
  <c r="T69" i="10"/>
  <c r="U69" i="10"/>
  <c r="V69" i="10"/>
  <c r="W69" i="10"/>
  <c r="X69" i="10"/>
  <c r="Y69" i="10"/>
  <c r="Z69" i="10"/>
  <c r="AA69" i="10"/>
  <c r="AB69" i="10"/>
  <c r="C70" i="10"/>
  <c r="D70" i="10"/>
  <c r="E70" i="10"/>
  <c r="F70" i="10"/>
  <c r="G70" i="10"/>
  <c r="H70" i="10"/>
  <c r="I70" i="10"/>
  <c r="J70" i="10"/>
  <c r="K70" i="10"/>
  <c r="L70" i="10"/>
  <c r="M70" i="10"/>
  <c r="N70" i="10"/>
  <c r="O70" i="10"/>
  <c r="P70" i="10"/>
  <c r="Q70" i="10"/>
  <c r="R70" i="10"/>
  <c r="S70" i="10"/>
  <c r="T70" i="10"/>
  <c r="U70" i="10"/>
  <c r="V70" i="10"/>
  <c r="W70" i="10"/>
  <c r="X70" i="10"/>
  <c r="Y70" i="10"/>
  <c r="Z70" i="10"/>
  <c r="AA70" i="10"/>
  <c r="AB70" i="10"/>
  <c r="C71" i="10"/>
  <c r="C72" i="10"/>
  <c r="C73" i="10"/>
  <c r="E73" i="10"/>
  <c r="C4" i="13"/>
  <c r="D4" i="13"/>
  <c r="E4" i="13"/>
  <c r="F4" i="13"/>
  <c r="G4" i="13"/>
  <c r="H4" i="13"/>
  <c r="I4" i="13"/>
  <c r="C5" i="13"/>
  <c r="D5" i="13"/>
  <c r="E5" i="13"/>
  <c r="F5" i="13"/>
  <c r="G5" i="13"/>
  <c r="H5" i="13"/>
  <c r="I5" i="13"/>
  <c r="D6" i="13"/>
  <c r="E6" i="13"/>
  <c r="F6" i="13"/>
  <c r="G6" i="13"/>
  <c r="H6" i="13"/>
  <c r="I6" i="1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D24" authorId="0" shapeId="0" xr:uid="{B451BEE8-F768-4175-AF74-DA367CA911E1}">
      <text>
        <r>
          <rPr>
            <b/>
            <sz val="9"/>
            <color indexed="81"/>
            <rFont val="Tahoma"/>
            <family val="2"/>
          </rPr>
          <t>Author:</t>
        </r>
        <r>
          <rPr>
            <sz val="9"/>
            <color indexed="81"/>
            <rFont val="Tahoma"/>
            <family val="2"/>
          </rPr>
          <t xml:space="preserve">
Years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F31" authorId="0" shapeId="0" xr:uid="{7BAF8E03-FC2A-4AC0-8BF2-329B061F5449}">
      <text>
        <r>
          <rPr>
            <b/>
            <sz val="9"/>
            <color indexed="81"/>
            <rFont val="Tahoma"/>
            <family val="2"/>
          </rPr>
          <t>Author:</t>
        </r>
        <r>
          <rPr>
            <sz val="9"/>
            <color indexed="81"/>
            <rFont val="Tahoma"/>
            <family val="2"/>
          </rPr>
          <t xml:space="preserve">
FROM NEXT PAGE TABLE</t>
        </r>
      </text>
    </comment>
    <comment ref="F34" authorId="0" shapeId="0" xr:uid="{E28070BD-4764-4ABA-B541-D2782E95EF42}">
      <text>
        <r>
          <rPr>
            <b/>
            <sz val="9"/>
            <color indexed="81"/>
            <rFont val="Tahoma"/>
            <family val="2"/>
          </rPr>
          <t>Author:</t>
        </r>
        <r>
          <rPr>
            <sz val="9"/>
            <color indexed="81"/>
            <rFont val="Tahoma"/>
            <family val="2"/>
          </rPr>
          <t xml:space="preserve">
(1+i)^n - 1 /  i*(1+i)^n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B69" authorId="0" shapeId="0" xr:uid="{D1527C41-B6EE-4AB3-9B75-BEC82E9B992E}">
      <text>
        <r>
          <rPr>
            <b/>
            <sz val="9"/>
            <color indexed="81"/>
            <rFont val="Tahoma"/>
            <family val="2"/>
          </rPr>
          <t>Author:</t>
        </r>
        <r>
          <rPr>
            <sz val="9"/>
            <color indexed="81"/>
            <rFont val="Tahoma"/>
            <family val="2"/>
          </rPr>
          <t xml:space="preserve">
Gross Income- Depreciation (IT-WDV)
</t>
        </r>
      </text>
    </comment>
    <comment ref="B72" authorId="0" shapeId="0" xr:uid="{40DB5B41-2EE1-435C-A2F4-6D58C00D35A5}">
      <text>
        <r>
          <rPr>
            <b/>
            <sz val="9"/>
            <color indexed="81"/>
            <rFont val="Tahoma"/>
            <family val="2"/>
          </rPr>
          <t>Author:</t>
        </r>
        <r>
          <rPr>
            <sz val="9"/>
            <color indexed="81"/>
            <rFont val="Tahoma"/>
            <family val="2"/>
          </rPr>
          <t xml:space="preserve">
Mat setoff tab krte hai jab se start year hota hai(yha 16th year hai)
</t>
        </r>
        <r>
          <rPr>
            <b/>
            <sz val="9"/>
            <color indexed="81"/>
            <rFont val="Tahoma"/>
            <family val="2"/>
          </rPr>
          <t xml:space="preserve">Isme (Incometax-Mat) hi allowed hota adjust krna 
</t>
        </r>
      </text>
    </comment>
    <comment ref="B73" authorId="0" shapeId="0" xr:uid="{69628ED5-060B-43F9-B710-F3BAE8464A9D}">
      <text>
        <r>
          <rPr>
            <b/>
            <sz val="9"/>
            <color indexed="81"/>
            <rFont val="Tahoma"/>
            <family val="2"/>
          </rPr>
          <t>Author:</t>
        </r>
        <r>
          <rPr>
            <sz val="9"/>
            <color indexed="81"/>
            <rFont val="Tahoma"/>
            <family val="2"/>
          </rPr>
          <t xml:space="preserve">
Balance hi carry forward hoga…</t>
        </r>
        <r>
          <rPr>
            <b/>
            <sz val="9"/>
            <color indexed="81"/>
            <rFont val="Tahoma"/>
            <family val="2"/>
          </rPr>
          <t xml:space="preserve">allowed adjustment ko subtract kr dete hai total mat jitna laga ah tab tak usme'
</t>
        </r>
      </text>
    </comment>
    <comment ref="B85" authorId="0" shapeId="0" xr:uid="{5B5C9A60-DA47-4628-8228-642D43DA4523}">
      <text>
        <r>
          <rPr>
            <b/>
            <sz val="9"/>
            <color indexed="81"/>
            <rFont val="Tahoma"/>
            <family val="2"/>
          </rPr>
          <t>Author:</t>
        </r>
        <r>
          <rPr>
            <sz val="9"/>
            <color indexed="81"/>
            <rFont val="Tahoma"/>
            <family val="2"/>
          </rPr>
          <t xml:space="preserve">
Author:
Gross Income- Depreciation (IT-WDV
</t>
        </r>
      </text>
    </comment>
    <comment ref="B88" authorId="0" shapeId="0" xr:uid="{CC9DB3C2-C8B8-4EF6-8404-CA00CBA8E56F}">
      <text>
        <r>
          <rPr>
            <b/>
            <sz val="9"/>
            <color indexed="81"/>
            <rFont val="Tahoma"/>
            <family val="2"/>
          </rPr>
          <t>Author:</t>
        </r>
        <r>
          <rPr>
            <sz val="9"/>
            <color indexed="81"/>
            <rFont val="Tahoma"/>
            <family val="2"/>
          </rPr>
          <t xml:space="preserve">
MAT setoff jab se allow hota hai(here its </t>
        </r>
      </text>
    </comment>
    <comment ref="B99" authorId="0" shapeId="0" xr:uid="{A9C4A759-A1D9-41F1-BB52-447786FE2EB5}">
      <text>
        <r>
          <rPr>
            <b/>
            <sz val="9"/>
            <color indexed="81"/>
            <rFont val="Tahoma"/>
            <family val="2"/>
          </rPr>
          <t>Author:</t>
        </r>
        <r>
          <rPr>
            <sz val="9"/>
            <color indexed="81"/>
            <rFont val="Tahoma"/>
            <family val="2"/>
          </rPr>
          <t xml:space="preserve">
Author:
Gross Income- Depreciation (IT-WDV</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B11" authorId="0" shapeId="0" xr:uid="{8B514150-5B01-4D15-9451-D8BCCDCCF084}">
      <text>
        <r>
          <rPr>
            <b/>
            <sz val="9"/>
            <color indexed="81"/>
            <rFont val="Tahoma"/>
            <family val="2"/>
          </rPr>
          <t>Author:</t>
        </r>
        <r>
          <rPr>
            <sz val="9"/>
            <color indexed="81"/>
            <rFont val="Tahoma"/>
            <family val="2"/>
          </rPr>
          <t xml:space="preserve">
Cashflow from operations-Post tax (avlbl for repayment)</t>
        </r>
      </text>
    </comment>
    <comment ref="B12" authorId="0" shapeId="0" xr:uid="{12D8733D-3DB5-4656-A8C0-3308330D7EDD}">
      <text>
        <r>
          <rPr>
            <b/>
            <sz val="9"/>
            <color indexed="81"/>
            <rFont val="Tahoma"/>
            <family val="2"/>
          </rPr>
          <t>Author:</t>
        </r>
        <r>
          <rPr>
            <sz val="9"/>
            <color indexed="81"/>
            <rFont val="Tahoma"/>
            <family val="2"/>
          </rPr>
          <t xml:space="preserve">
Total Inflow: Cashflow before debt service</t>
        </r>
      </text>
    </comment>
    <comment ref="B25" authorId="0" shapeId="0" xr:uid="{407169F7-708D-4C06-89A8-4846C1BB931C}">
      <text>
        <r>
          <rPr>
            <b/>
            <sz val="9"/>
            <color indexed="81"/>
            <rFont val="Tahoma"/>
            <family val="2"/>
          </rPr>
          <t>Author:</t>
        </r>
        <r>
          <rPr>
            <sz val="9"/>
            <color indexed="81"/>
            <rFont val="Tahoma"/>
            <family val="2"/>
          </rPr>
          <t xml:space="preserve">
Net Flow(Post Tax)+ Tax Shelter(AD)</t>
        </r>
      </text>
    </comment>
    <comment ref="B47" authorId="0" shapeId="0" xr:uid="{B1826166-210D-42CB-B39A-DE813865C310}">
      <text>
        <r>
          <rPr>
            <b/>
            <sz val="9"/>
            <color indexed="81"/>
            <rFont val="Tahoma"/>
            <family val="2"/>
          </rPr>
          <t>Author:</t>
        </r>
        <r>
          <rPr>
            <sz val="9"/>
            <color indexed="81"/>
            <rFont val="Tahoma"/>
            <family val="2"/>
          </rPr>
          <t xml:space="preserve">
PAT+BOOK DEPRECIATION
</t>
        </r>
      </text>
    </comment>
  </commentList>
</comments>
</file>

<file path=xl/sharedStrings.xml><?xml version="1.0" encoding="utf-8"?>
<sst xmlns="http://schemas.openxmlformats.org/spreadsheetml/2006/main" count="592" uniqueCount="326">
  <si>
    <t>Mounting Structure</t>
  </si>
  <si>
    <t>Civil and General Work</t>
  </si>
  <si>
    <t>Interest on debt</t>
  </si>
  <si>
    <t>Depreciation</t>
  </si>
  <si>
    <t>Return on Equity</t>
  </si>
  <si>
    <t>O&amp;M Expenses</t>
  </si>
  <si>
    <t>Assumption for solar PV Power Projects Parameters</t>
  </si>
  <si>
    <t>S.No</t>
  </si>
  <si>
    <t>Assumption Head</t>
  </si>
  <si>
    <t>Sub-Head</t>
  </si>
  <si>
    <t>Sub-Head(2)</t>
  </si>
  <si>
    <t>Unit</t>
  </si>
  <si>
    <t>Assumptions</t>
  </si>
  <si>
    <t>Power Generation</t>
  </si>
  <si>
    <t>Installed Power Generation Capacity</t>
  </si>
  <si>
    <t>MW</t>
  </si>
  <si>
    <t>Capacity</t>
  </si>
  <si>
    <t>Auxiliary Consumption</t>
  </si>
  <si>
    <t>Capacity Utilisation Factor</t>
  </si>
  <si>
    <t>%</t>
  </si>
  <si>
    <t>years</t>
  </si>
  <si>
    <t>Project Cost</t>
  </si>
  <si>
    <t>Capital Cost/MW</t>
  </si>
  <si>
    <t>Power Plant Cost</t>
  </si>
  <si>
    <t>Financial Assumptions</t>
  </si>
  <si>
    <t>Debt:Equity</t>
  </si>
  <si>
    <t>Years</t>
  </si>
  <si>
    <t>Debt</t>
  </si>
  <si>
    <t>Equity</t>
  </si>
  <si>
    <t>Total Debt Amount</t>
  </si>
  <si>
    <t>Rs Lacs</t>
  </si>
  <si>
    <t>Total Equity Amount</t>
  </si>
  <si>
    <t>Debt Compnent</t>
  </si>
  <si>
    <t>Loan Amount</t>
  </si>
  <si>
    <t>Moratorium Period</t>
  </si>
  <si>
    <t>Repayment Period(Including Moratorium)</t>
  </si>
  <si>
    <t>Interest Rate</t>
  </si>
  <si>
    <t>Equity Component</t>
  </si>
  <si>
    <t>Equity Amount</t>
  </si>
  <si>
    <t>Return on Equity for first 10 years</t>
  </si>
  <si>
    <t>Return on Equity 11th year onwards</t>
  </si>
  <si>
    <t>Weighted Average of ROE</t>
  </si>
  <si>
    <t>Discount Rate</t>
  </si>
  <si>
    <t>Fiscal Assumptions</t>
  </si>
  <si>
    <t>Income Tax</t>
  </si>
  <si>
    <t>80 IA benefits</t>
  </si>
  <si>
    <t>Working Capital</t>
  </si>
  <si>
    <t>For Fixed Charges</t>
  </si>
  <si>
    <t>%p.a</t>
  </si>
  <si>
    <t>% p.a</t>
  </si>
  <si>
    <t>Yes/No</t>
  </si>
  <si>
    <t>O&amp;M Charges</t>
  </si>
  <si>
    <t>Maintenace Spare</t>
  </si>
  <si>
    <t>( % of O&amp;M Expenses)</t>
  </si>
  <si>
    <t>Receivables for Debtors</t>
  </si>
  <si>
    <t xml:space="preserve">For Variable Charges </t>
  </si>
  <si>
    <t>Interest on working capital</t>
  </si>
  <si>
    <t>Months</t>
  </si>
  <si>
    <t>Operation &amp; Maintenance</t>
  </si>
  <si>
    <t>O&amp;M Expenses Escalation</t>
  </si>
  <si>
    <t>Determination of Tariff for Solar PV</t>
  </si>
  <si>
    <t>Units Generation</t>
  </si>
  <si>
    <t>Installed Capacity</t>
  </si>
  <si>
    <t>Gross Generation</t>
  </si>
  <si>
    <t>Fixed Cost</t>
  </si>
  <si>
    <t>Interest on term loan</t>
  </si>
  <si>
    <t>Total Fixed Cost</t>
  </si>
  <si>
    <t xml:space="preserve">Per Unit Cost of Generation </t>
  </si>
  <si>
    <t>Total COG</t>
  </si>
  <si>
    <t>Discount Factor</t>
  </si>
  <si>
    <t>Levellised Tariff</t>
  </si>
  <si>
    <t>Year</t>
  </si>
  <si>
    <t>Levellised</t>
  </si>
  <si>
    <t>MU</t>
  </si>
  <si>
    <t>Rs Lakh</t>
  </si>
  <si>
    <t>Rs/kWh</t>
  </si>
  <si>
    <t>Rs/Unit</t>
  </si>
  <si>
    <t>Interest</t>
  </si>
  <si>
    <t>Repayment</t>
  </si>
  <si>
    <t>Initial Payment</t>
  </si>
  <si>
    <t>Remaining Payment</t>
  </si>
  <si>
    <t>lakhs</t>
  </si>
  <si>
    <t>Term</t>
  </si>
  <si>
    <t>Working capital requirement</t>
  </si>
  <si>
    <t>O&amp;M Expense for 1 month</t>
  </si>
  <si>
    <t>Maintenance spare at 15% of O&amp;M Expenses</t>
  </si>
  <si>
    <t>Receivables equivalent to 2 months of energy charges for sale of electricity calculated on the normative CUF</t>
  </si>
  <si>
    <t>Discount rate</t>
  </si>
  <si>
    <t>Income tax rate</t>
  </si>
  <si>
    <t>DIVISION OF YEARS</t>
  </si>
  <si>
    <t>NOTE:- DATA IN THE PEACH COLOURED CELLS ARE EDITABLE</t>
  </si>
  <si>
    <t>Determination of Accelerated Depreciation Benefit for Solar PV Power Projects</t>
  </si>
  <si>
    <t xml:space="preserve">Depreciation amount </t>
  </si>
  <si>
    <t>Book Depreciation rate</t>
  </si>
  <si>
    <t xml:space="preserve">Tax Depreciation rate </t>
  </si>
  <si>
    <t xml:space="preserve">Additional Depriciation </t>
  </si>
  <si>
    <t xml:space="preserve">Income Tax (Normal Rates) </t>
  </si>
  <si>
    <t xml:space="preserve">Capital Cost </t>
  </si>
  <si>
    <t xml:space="preserve">Depreciation </t>
  </si>
  <si>
    <t>(Salvage Value 10 percent)</t>
  </si>
  <si>
    <t>Accelerated Depreciation</t>
  </si>
  <si>
    <t xml:space="preserve">Years -----------------&gt; </t>
  </si>
  <si>
    <t xml:space="preserve">Opening </t>
  </si>
  <si>
    <t>Allowed during the year</t>
  </si>
  <si>
    <t xml:space="preserve">Closing </t>
  </si>
  <si>
    <t xml:space="preserve">Accelrated Deprn. </t>
  </si>
  <si>
    <t xml:space="preserve">Net Depreciation Benefit </t>
  </si>
  <si>
    <t xml:space="preserve">Tax Benefit </t>
  </si>
  <si>
    <t xml:space="preserve">Energy generation </t>
  </si>
  <si>
    <t xml:space="preserve">Discounting Factor </t>
  </si>
  <si>
    <t xml:space="preserve">Levellised benefit </t>
  </si>
  <si>
    <t xml:space="preserve"> Rs/Unit</t>
  </si>
  <si>
    <t>Depreciation for the 1st year</t>
  </si>
  <si>
    <t>1st Half</t>
  </si>
  <si>
    <t>2nd Half</t>
  </si>
  <si>
    <t>Adjusted AD 1st Year</t>
  </si>
  <si>
    <t>Adjusted AD 2nd Year</t>
  </si>
  <si>
    <t>Accelerated Depreciation (AD) first year</t>
  </si>
  <si>
    <t>AD from second year</t>
  </si>
  <si>
    <t>Cummulative Acc. Dep</t>
  </si>
  <si>
    <t xml:space="preserve">Levelized </t>
  </si>
  <si>
    <t xml:space="preserve">Annuity factor for plants life </t>
  </si>
  <si>
    <t>CERC FIT</t>
  </si>
  <si>
    <t>Tariff set via bidding process</t>
  </si>
  <si>
    <t>UP</t>
  </si>
  <si>
    <t>Feed in Tariff for Solar</t>
  </si>
  <si>
    <t>Levelized FIT</t>
  </si>
  <si>
    <t>For Uttar Pradesh</t>
  </si>
  <si>
    <t>INR/KWH</t>
  </si>
  <si>
    <t xml:space="preserve">  MW </t>
  </si>
  <si>
    <t>more than 5</t>
  </si>
  <si>
    <t>For Uttar Pradesh (MW)</t>
  </si>
  <si>
    <t>CERC Tariff</t>
  </si>
  <si>
    <t>CERC Tariff with AD</t>
  </si>
  <si>
    <t>User Provided FIT</t>
  </si>
  <si>
    <t>Inputs</t>
  </si>
  <si>
    <t>Value</t>
  </si>
  <si>
    <t>Units</t>
  </si>
  <si>
    <t>State</t>
  </si>
  <si>
    <t>Income</t>
  </si>
  <si>
    <t>Total Income based on Generation Cost</t>
  </si>
  <si>
    <t>Total Income based on FIT</t>
  </si>
  <si>
    <t>Expenditure</t>
  </si>
  <si>
    <t>Tax</t>
  </si>
  <si>
    <t>Years for Tax Holiday</t>
  </si>
  <si>
    <t>Depreciation (IT-Written Down Value)</t>
  </si>
  <si>
    <t>Taxable Income after loss carried over</t>
  </si>
  <si>
    <t>MAT</t>
  </si>
  <si>
    <t>Set off under MAT</t>
  </si>
  <si>
    <t>MAT set off remaining at the end of each year</t>
  </si>
  <si>
    <t>Life of Plant and Machinery / Project Life</t>
  </si>
  <si>
    <t>Corporate Tax Rate</t>
  </si>
  <si>
    <t>Tax Holiday Start Year</t>
  </si>
  <si>
    <t>Tax Holiday Duration</t>
  </si>
  <si>
    <t>MAT Setoff Start Year</t>
  </si>
  <si>
    <t>MAT set off allowed u/s 115JAA (3A)</t>
  </si>
  <si>
    <t>MAT Setoff Duration</t>
  </si>
  <si>
    <t xml:space="preserve">Net Energy sold </t>
  </si>
  <si>
    <t>lakh kWhs</t>
  </si>
  <si>
    <t xml:space="preserve">Tariff based on Generation Cost </t>
  </si>
  <si>
    <t>(Rs/kWh)</t>
  </si>
  <si>
    <t>Income From Sale of Electricity</t>
  </si>
  <si>
    <t xml:space="preserve">Income From Sale of Electricity </t>
  </si>
  <si>
    <t>Tariff based on Generation Cost</t>
  </si>
  <si>
    <t xml:space="preserve">Given Feed-in Tariff </t>
  </si>
  <si>
    <t>Rs Lakhs</t>
  </si>
  <si>
    <t>O&amp;M</t>
  </si>
  <si>
    <t>Plant&amp;Machinery Income Tax Depreciation</t>
  </si>
  <si>
    <t>Cumulative Plant &amp; Machinery Depreciation</t>
  </si>
  <si>
    <t>Plant &amp; Machinery</t>
  </si>
  <si>
    <r>
      <t xml:space="preserve">Gross Income </t>
    </r>
    <r>
      <rPr>
        <sz val="11"/>
        <color theme="4"/>
        <rFont val="Calibri"/>
        <family val="2"/>
        <scheme val="minor"/>
      </rPr>
      <t>(i.e PBT+Book Depr.</t>
    </r>
    <r>
      <rPr>
        <sz val="11"/>
        <color theme="1"/>
        <rFont val="Calibri"/>
        <family val="2"/>
        <scheme val="minor"/>
      </rPr>
      <t>)</t>
    </r>
  </si>
  <si>
    <t>4(i)</t>
  </si>
  <si>
    <t>(ii)</t>
  </si>
  <si>
    <r>
      <t xml:space="preserve">Gross Income </t>
    </r>
    <r>
      <rPr>
        <sz val="11"/>
        <color theme="4"/>
        <rFont val="Calibri"/>
        <family val="2"/>
        <scheme val="minor"/>
      </rPr>
      <t>(i.e PBT+Book Depr.)</t>
    </r>
  </si>
  <si>
    <r>
      <t>Reference :-</t>
    </r>
    <r>
      <rPr>
        <b/>
        <i/>
        <sz val="11"/>
        <color theme="4"/>
        <rFont val="Calibri"/>
        <family val="2"/>
        <scheme val="minor"/>
      </rPr>
      <t xml:space="preserve"> http://www.indiansolarmarket.com/union-budget-solar-energy-industry/</t>
    </r>
  </si>
  <si>
    <t>https://cleartax.in/s/tax-planning-under-mat</t>
  </si>
  <si>
    <r>
      <t xml:space="preserve">PAT </t>
    </r>
    <r>
      <rPr>
        <sz val="11"/>
        <color theme="4"/>
        <rFont val="Calibri"/>
        <family val="2"/>
        <scheme val="minor"/>
      </rPr>
      <t>(PBT-TAX PAID)</t>
    </r>
  </si>
  <si>
    <r>
      <t xml:space="preserve">Post-Tax ROE </t>
    </r>
    <r>
      <rPr>
        <sz val="11"/>
        <color theme="4"/>
        <rFont val="Calibri"/>
        <family val="2"/>
        <scheme val="minor"/>
      </rPr>
      <t>(PAT/ROE)</t>
    </r>
  </si>
  <si>
    <r>
      <t>Post-Tax ROE</t>
    </r>
    <r>
      <rPr>
        <sz val="11"/>
        <color theme="4"/>
        <rFont val="Calibri"/>
        <family val="2"/>
        <scheme val="minor"/>
      </rPr>
      <t xml:space="preserve"> (PAT/ROE)</t>
    </r>
  </si>
  <si>
    <r>
      <t xml:space="preserve">TAX Paid (MAT or IT) </t>
    </r>
    <r>
      <rPr>
        <sz val="11"/>
        <color theme="4"/>
        <rFont val="Calibri"/>
        <family val="2"/>
        <scheme val="minor"/>
      </rPr>
      <t>(MAX(IT-SetoffMAT,MAT))</t>
    </r>
  </si>
  <si>
    <r>
      <t xml:space="preserve">MAT </t>
    </r>
    <r>
      <rPr>
        <sz val="11"/>
        <color theme="4"/>
        <rFont val="Calibri"/>
        <family val="2"/>
        <scheme val="minor"/>
      </rPr>
      <t>(PBT *MAT RATE)</t>
    </r>
  </si>
  <si>
    <r>
      <t>TAX Paid (MAT or IT)</t>
    </r>
    <r>
      <rPr>
        <sz val="11"/>
        <color theme="4"/>
        <rFont val="Calibri"/>
        <family val="2"/>
        <scheme val="minor"/>
      </rPr>
      <t xml:space="preserve"> (MAX(IT-SetoffMAT,MAT))</t>
    </r>
  </si>
  <si>
    <r>
      <t xml:space="preserve">Income Tax </t>
    </r>
    <r>
      <rPr>
        <sz val="11"/>
        <color theme="4"/>
        <rFont val="Calibri"/>
        <family val="2"/>
        <scheme val="minor"/>
      </rPr>
      <t>(Taxable Income*Corp tax )</t>
    </r>
  </si>
  <si>
    <t>Project Start Year</t>
  </si>
  <si>
    <t>INCOME</t>
  </si>
  <si>
    <t>EXPENDITURE</t>
  </si>
  <si>
    <t>TAX</t>
  </si>
  <si>
    <t>PRE TAX ROE</t>
  </si>
  <si>
    <t>Lakh KWhs</t>
  </si>
  <si>
    <t>Project IRR- Post Tax</t>
  </si>
  <si>
    <t>Profit After Tax (PAT)</t>
  </si>
  <si>
    <t>Cashflow from operations-Post tax (avlbl for repayment)</t>
  </si>
  <si>
    <t>Total Inflow: Cashflow before debt service</t>
  </si>
  <si>
    <t>Net Flow (Post Tax)</t>
  </si>
  <si>
    <t>NPV of Net Flow without Tax Shelter</t>
  </si>
  <si>
    <t>CERF Tariff with AD</t>
  </si>
  <si>
    <t>Tax Shelter (Accelerated Depreciation)</t>
  </si>
  <si>
    <t>Net Flows adjusted for tax savings</t>
  </si>
  <si>
    <t>Total Outflow-Capex</t>
  </si>
  <si>
    <t>Accelerated Depreciation Benefit considering tax depreciation instead of book depreciation (for comparison)</t>
  </si>
  <si>
    <t>Net depreciation benefit (AD-Tax Depreciation)</t>
  </si>
  <si>
    <t>Net tax benefit (AD-Tax Depreciation)</t>
  </si>
  <si>
    <t>Benefit (AD-Tax Depreciation)/kWh</t>
  </si>
  <si>
    <t>Levelized benefit-AD over Tax Depreciation</t>
  </si>
  <si>
    <t>Net Energy Sold(Lakh kWhs)</t>
  </si>
  <si>
    <r>
      <t>Book Depreciation (</t>
    </r>
    <r>
      <rPr>
        <b/>
        <sz val="11"/>
        <color theme="1"/>
        <rFont val="Calibri"/>
        <family val="2"/>
        <scheme val="minor"/>
      </rPr>
      <t>SLM</t>
    </r>
    <r>
      <rPr>
        <sz val="11"/>
        <color theme="1"/>
        <rFont val="Calibri"/>
        <family val="2"/>
        <scheme val="minor"/>
      </rPr>
      <t>)</t>
    </r>
  </si>
  <si>
    <t>Payback Period</t>
  </si>
  <si>
    <t>Cummulative Net Cash Flow</t>
  </si>
  <si>
    <t>Debt Fraction</t>
  </si>
  <si>
    <t>Interest Payment</t>
  </si>
  <si>
    <t>Levellised Tariff with AD</t>
  </si>
  <si>
    <t>MAT Rate</t>
  </si>
  <si>
    <t xml:space="preserve">Particulars </t>
  </si>
  <si>
    <t>% of total cost</t>
  </si>
  <si>
    <t>PV modules</t>
  </si>
  <si>
    <t>Power Conditioning Unit</t>
  </si>
  <si>
    <t>Evacuation Cost upto Interconnection Point (Cables and Transformers</t>
  </si>
  <si>
    <t>Preliminary and Pre-Operative Expenses including IDC and Contingency</t>
  </si>
  <si>
    <t>Total Capital Cost (Lakh/MW)</t>
  </si>
  <si>
    <t>O&amp;M cost (Lakh/MW)</t>
  </si>
  <si>
    <t>RESULTS</t>
  </si>
  <si>
    <t>Capital cost norm proposed for (Rs. Lakh/MW), for Solar PV projects</t>
  </si>
  <si>
    <r>
      <t>Reference-</t>
    </r>
    <r>
      <rPr>
        <b/>
        <i/>
        <sz val="11"/>
        <color theme="4"/>
        <rFont val="Calibri"/>
        <family val="2"/>
        <scheme val="minor"/>
      </rPr>
      <t xml:space="preserve"> https://taxguru.in/income-tax/carry-forward-set-off-mat-credit-where-the-ten-year-period-expired-before-ay-2016-17.html</t>
    </r>
  </si>
  <si>
    <t xml:space="preserve">Depreciation for the first year has been calculated at the rate of 50% of accelerated depreciation (40%) and 50% of additional depreciation (20%) (as project is capitalized during the second half of the financial year as per proviso to Regulation 23). </t>
  </si>
  <si>
    <t>http://www.cercind.gov.in/2019/orders/Draft%20RE%20Tariff%20Order%20for%20FY%202019-20.pdf</t>
  </si>
  <si>
    <t>(As per the regulation 3)</t>
  </si>
  <si>
    <t>From assessment year 2017-18 the same is also allowed to the assessee engaged in the business of transmission of power.</t>
  </si>
  <si>
    <t>https://cleartax.in/s/additional-depreciation-income-tax-act</t>
  </si>
  <si>
    <t>Pg.6 &amp; Pg. 12 . 20)</t>
  </si>
  <si>
    <t xml:space="preserve">http://www.cercind.gov.in/2019/orders/Draft%20RE%20Tariff%20Order%20for%20FY%202019-20.pdf </t>
  </si>
  <si>
    <t xml:space="preserve">Pg 13  </t>
  </si>
  <si>
    <t xml:space="preserve">https://ireda.in/forms/contentpage.aspx?lid=740 </t>
  </si>
  <si>
    <t xml:space="preserve">Pg.5 </t>
  </si>
  <si>
    <t>http://www.cercind.gov.in/2019/orders/1-SM-2019Suo-Motu.pdf</t>
  </si>
  <si>
    <r>
      <rPr>
        <b/>
        <sz val="11"/>
        <color theme="1"/>
        <rFont val="Calibri"/>
        <family val="2"/>
        <scheme val="minor"/>
      </rPr>
      <t>GENERIC TARIFF FOR SOLAR ROOF-TOP PV PROJECTS</t>
    </r>
    <r>
      <rPr>
        <sz val="11"/>
        <color theme="1"/>
        <rFont val="Calibri"/>
        <family val="2"/>
        <scheme val="minor"/>
      </rPr>
      <t xml:space="preserve"> The Solar Roof-top PV Projects covered in this Order under the RE Tariff Regulations, 2015 are distinct and separate from and do not include those covered under the MERC (Net Metering for Roof-top Solar PV Systems) Regulations, 2015. Regulation 72 of the RE Tariff Regulations specifies that the Tariff for Solar Roof-top PV Projects shall be Rs 0.50 per kWh higher than that of other Solar PV Projects. Accordingly, the Tariff for such Projects commissioning during FY 2019-20 shall be Rs. 3.79/kWh. </t>
    </r>
    <r>
      <rPr>
        <b/>
        <sz val="11"/>
        <color theme="1"/>
        <rFont val="Calibri"/>
        <family val="2"/>
        <scheme val="minor"/>
      </rPr>
      <t>Note: </t>
    </r>
    <r>
      <rPr>
        <sz val="11"/>
        <color theme="1"/>
        <rFont val="Calibri"/>
        <family val="2"/>
        <scheme val="minor"/>
      </rPr>
      <t xml:space="preserve"> If no safeguard duty is paid by solar PV Project in spite of import from China &amp; Malaysia, then Rs. 0.18/unit will be deducted from Generic Tariff towards impact of safeguard duty.</t>
    </r>
  </si>
  <si>
    <t>http://www.mercindia.org.in/pdf/Order%2058%2042/RE%20Draft%20Order-52%20of%202019.pdf</t>
  </si>
  <si>
    <t>Equity IRR</t>
  </si>
  <si>
    <t>Equity Outflow</t>
  </si>
  <si>
    <t>Cashflow available for repayment</t>
  </si>
  <si>
    <t>Inflow</t>
  </si>
  <si>
    <t>Net Flow</t>
  </si>
  <si>
    <t>Equity IRR (Post Tax)</t>
  </si>
  <si>
    <t>NPV @ Interest Rate</t>
  </si>
  <si>
    <t>Net Flow adjusted for tax savings</t>
  </si>
  <si>
    <t>Lakh/year</t>
  </si>
  <si>
    <t xml:space="preserve">DEPRECIABLE AMOUNT </t>
  </si>
  <si>
    <t>Rs Lakh/Year</t>
  </si>
  <si>
    <t>Power Plant Cost after subsidy</t>
  </si>
  <si>
    <t>Subsidy</t>
  </si>
  <si>
    <t>Tariff (Rs/Unit)</t>
  </si>
  <si>
    <t>Project IRR</t>
  </si>
  <si>
    <t>Equity IRR - post tax</t>
  </si>
  <si>
    <t>https://home.kpmg/content/dam/kpmg/xx/pdf/2018/10/india-2018-v2.pdf</t>
  </si>
  <si>
    <t>Degradation factor/year</t>
  </si>
  <si>
    <t>Rs Lacs/MW</t>
  </si>
  <si>
    <t>O&amp;M Expenses/MW</t>
  </si>
  <si>
    <t>INPUT PARAMETER</t>
  </si>
  <si>
    <t>Pre Tax ROE for first 10 years</t>
  </si>
  <si>
    <t>Pre Tax ROE from 11th year onwards</t>
  </si>
  <si>
    <t>Total project cost (Lakh/MW)</t>
  </si>
  <si>
    <t>Tender Participation+ Processing Cost</t>
  </si>
  <si>
    <t>BG Cost</t>
  </si>
  <si>
    <t xml:space="preserve"> </t>
  </si>
  <si>
    <t>Insurance Premium Cost</t>
  </si>
  <si>
    <t>% Of CAPEX</t>
  </si>
  <si>
    <t>https://www.quora.com/Which-type-of-insurance-products-are-available-for-solar-power-generation-projects-in-India</t>
  </si>
  <si>
    <t xml:space="preserve">INSURANCE </t>
  </si>
  <si>
    <t>Plant &amp; Machinery Depreciation (15%)</t>
  </si>
  <si>
    <t>Revenue/year</t>
  </si>
  <si>
    <t>Revenue/year with AD</t>
  </si>
  <si>
    <t>RANK</t>
  </si>
  <si>
    <t>Lakh Rs/Year</t>
  </si>
  <si>
    <t>Total Cost (Lakh/MW)</t>
  </si>
  <si>
    <t>Annual Revenue Collected for Levellised Tariff with AD</t>
  </si>
  <si>
    <r>
      <t xml:space="preserve">Cashflow available for repayment </t>
    </r>
    <r>
      <rPr>
        <b/>
        <sz val="11"/>
        <color theme="4" tint="-0.249977111117893"/>
        <rFont val="Calibri"/>
        <family val="2"/>
        <scheme val="minor"/>
      </rPr>
      <t>(PAT+Book dep.)</t>
    </r>
  </si>
  <si>
    <r>
      <t xml:space="preserve">Capital repayments </t>
    </r>
    <r>
      <rPr>
        <b/>
        <sz val="11"/>
        <color theme="4" tint="-0.249977111117893"/>
        <rFont val="Calibri"/>
        <family val="2"/>
        <scheme val="minor"/>
      </rPr>
      <t>(Loan Principal Amount Repayment)</t>
    </r>
  </si>
  <si>
    <t>https://www.caclubindia.com/experts/mat-adjustment-1920859.asp</t>
  </si>
  <si>
    <t>EMI</t>
  </si>
  <si>
    <t>Total Payment</t>
  </si>
  <si>
    <t>total payment Per Year</t>
  </si>
  <si>
    <t>total payment Per Month</t>
  </si>
  <si>
    <t>Lac</t>
  </si>
  <si>
    <t xml:space="preserve">Applicable Discounting Factor </t>
  </si>
  <si>
    <t>Period After Capitalization of plant</t>
  </si>
  <si>
    <t>http://www.solarmango.com/ask/2015/09/20/what-are-the-initial-investment-and-om-costs-required-for-a-mw-solar-plant-in-india-what-kind-of-financial-returns-can-we-expect-from-it/</t>
  </si>
  <si>
    <t>Insurance Insurance charges are typically 0.15% of Project Cost, modeled every year throughout the lifetime of the plant with no escalation.</t>
  </si>
  <si>
    <t>Read more at: http://www.solarmango.com/ask/2015/09/20/what-are-the-initial-investment-and-om-costs-required-for-a-mw-solar-plant-in-india-what-kind-of-financial-returns-can-we-expect-from-it/</t>
  </si>
  <si>
    <t>Technical Loss/Year</t>
  </si>
  <si>
    <t>Generation after Technical Losses</t>
  </si>
  <si>
    <t>Net Generation (After Technical loss and Degradation)</t>
  </si>
  <si>
    <t>Plant Capitalized in the 2nd half of the 1st Year(YES/NO)</t>
  </si>
  <si>
    <t>EBITDA</t>
  </si>
  <si>
    <t>EBIT</t>
  </si>
  <si>
    <t>PBT</t>
  </si>
  <si>
    <t>Total Expenditure</t>
  </si>
  <si>
    <t>EBIT=EBITDA-DEPRECIATION</t>
  </si>
  <si>
    <t>INTEREST ON WC</t>
  </si>
  <si>
    <t>INTEREST ON LOAN</t>
  </si>
  <si>
    <t>EBITDA= REVENUE-EXPENDITURE</t>
  </si>
  <si>
    <t>Avg. Annual Revenue Collected for Levellised Tariff</t>
  </si>
  <si>
    <t>Land Lease</t>
  </si>
  <si>
    <t>LAND LEASE</t>
  </si>
  <si>
    <t>BOOK VALUE AFTER DEPRECIATION (Using SLM) for Tariff Cal.</t>
  </si>
  <si>
    <t xml:space="preserve">PBT </t>
  </si>
  <si>
    <t>DEPRECIATION (BOOK ) SLM</t>
  </si>
  <si>
    <t>PBT=EBIT-INTEREST ON LOAN &amp; WC</t>
  </si>
  <si>
    <t>PAT+ Book Depreciation</t>
  </si>
  <si>
    <t>CF from operations-post tax + Interest payment(loan)</t>
  </si>
  <si>
    <r>
      <t xml:space="preserve">MARGINAL TAX RATE </t>
    </r>
    <r>
      <rPr>
        <b/>
        <sz val="11"/>
        <color theme="4" tint="-0.249977111117893"/>
        <rFont val="Calibri"/>
        <family val="2"/>
        <scheme val="minor"/>
      </rPr>
      <t>(TAX PAID/PAT)</t>
    </r>
  </si>
  <si>
    <t>Post TAX ROE (for 10 yrs)</t>
  </si>
  <si>
    <t>Post TAX ROE (for rest yrs)</t>
  </si>
  <si>
    <t>Discount rate for 10 yrs</t>
  </si>
  <si>
    <t>Discount rate for rest years</t>
  </si>
  <si>
    <t>Discount Rate for 10 years</t>
  </si>
  <si>
    <t>Discount Rate for rest of the years</t>
  </si>
  <si>
    <t>Weighted Average POST TAX ROE</t>
  </si>
  <si>
    <t>Weighted Average Discount Rate</t>
  </si>
  <si>
    <t>Weighted Average of Post Tax ROE</t>
  </si>
  <si>
    <t>Total Land Lease Payment/year</t>
  </si>
  <si>
    <t>INFLATION (For Land+O&amp;M+Insurance)</t>
  </si>
  <si>
    <r>
      <t xml:space="preserve">Depreciation Rate for first </t>
    </r>
    <r>
      <rPr>
        <sz val="11"/>
        <color theme="5" tint="-0.249977111117893"/>
        <rFont val="Calibri"/>
        <family val="2"/>
        <scheme val="minor"/>
      </rPr>
      <t>mentioned periods</t>
    </r>
  </si>
  <si>
    <r>
      <t xml:space="preserve">Depreciation Rate </t>
    </r>
    <r>
      <rPr>
        <sz val="11"/>
        <color theme="5" tint="-0.249977111117893"/>
        <rFont val="Calibri"/>
        <family val="2"/>
        <scheme val="minor"/>
      </rPr>
      <t xml:space="preserve"> year onwards</t>
    </r>
  </si>
  <si>
    <t>Useful Life or (Tariff Period)</t>
  </si>
  <si>
    <t>Capacity Installation</t>
  </si>
  <si>
    <t>Land Upfront Cost</t>
  </si>
  <si>
    <t>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</si>
</sst>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1">
    <numFmt numFmtId="8" formatCode="&quot;₹&quot;\ #,##0.00;[Red]&quot;₹&quot;\ \-#,##0.00"/>
    <numFmt numFmtId="44" formatCode="_ &quot;₹&quot;\ * #,##0.00_ ;_ &quot;₹&quot;\ * \-#,##0.00_ ;_ &quot;₹&quot;\ * &quot;-&quot;??_ ;_ @_ "/>
    <numFmt numFmtId="43" formatCode="_ * #,##0.00_ ;_ * \-#,##0.00_ ;_ * &quot;-&quot;??_ ;_ @_ "/>
    <numFmt numFmtId="164" formatCode="0.0%"/>
    <numFmt numFmtId="165" formatCode="0.0E+00"/>
    <numFmt numFmtId="166" formatCode="0E+00"/>
    <numFmt numFmtId="167" formatCode="0.0"/>
    <numFmt numFmtId="168" formatCode="0.000%"/>
    <numFmt numFmtId="169" formatCode="_ * #,##0_ ;_ * \-#,##0_ ;_ * &quot;-&quot;??_ ;_ @_ "/>
    <numFmt numFmtId="170" formatCode="_ * #,##0.0_ ;_ * \-#,##0.0_ ;_ * &quot;-&quot;??_ ;_ @_ "/>
    <numFmt numFmtId="171" formatCode="0.000"/>
  </numFmts>
  <fonts count="34" x14ac:knownFonts="1">
    <font>
      <sz val="11"/>
      <color theme="1"/>
      <name val="Calibri"/>
      <family val="2"/>
      <scheme val="minor"/>
    </font>
    <font>
      <b/>
      <sz val="11"/>
      <color theme="1"/>
      <name val="Calibri"/>
      <family val="2"/>
      <scheme val="minor"/>
    </font>
    <font>
      <b/>
      <sz val="11"/>
      <color rgb="FFFF0000"/>
      <name val="Calibri"/>
      <family val="2"/>
      <scheme val="minor"/>
    </font>
    <font>
      <sz val="11"/>
      <color rgb="FFFF0000"/>
      <name val="Calibri"/>
      <family val="2"/>
      <scheme val="minor"/>
    </font>
    <font>
      <b/>
      <u/>
      <sz val="11"/>
      <color theme="1"/>
      <name val="Calibri"/>
      <family val="2"/>
      <scheme val="minor"/>
    </font>
    <font>
      <sz val="11"/>
      <color theme="1"/>
      <name val="Calibri"/>
      <family val="2"/>
      <scheme val="minor"/>
    </font>
    <font>
      <u/>
      <sz val="11"/>
      <color theme="10"/>
      <name val="Calibri"/>
      <family val="2"/>
      <scheme val="minor"/>
    </font>
    <font>
      <b/>
      <sz val="11"/>
      <name val="Calibri"/>
      <family val="2"/>
      <scheme val="minor"/>
    </font>
    <font>
      <sz val="9"/>
      <color indexed="81"/>
      <name val="Tahoma"/>
      <family val="2"/>
    </font>
    <font>
      <b/>
      <sz val="9"/>
      <color indexed="81"/>
      <name val="Tahoma"/>
      <family val="2"/>
    </font>
    <font>
      <b/>
      <i/>
      <sz val="11"/>
      <color rgb="FFFF0000"/>
      <name val="Calibri"/>
      <family val="2"/>
      <scheme val="minor"/>
    </font>
    <font>
      <sz val="9"/>
      <name val="Calibri"/>
      <family val="2"/>
      <scheme val="minor"/>
    </font>
    <font>
      <sz val="10"/>
      <name val="Arial"/>
      <family val="2"/>
    </font>
    <font>
      <b/>
      <sz val="10"/>
      <name val="Calibri"/>
      <family val="2"/>
      <scheme val="minor"/>
    </font>
    <font>
      <b/>
      <sz val="10"/>
      <color theme="1"/>
      <name val="Calibri"/>
      <family val="2"/>
      <scheme val="minor"/>
    </font>
    <font>
      <u/>
      <sz val="11"/>
      <color theme="1"/>
      <name val="Calibri"/>
      <family val="2"/>
      <scheme val="minor"/>
    </font>
    <font>
      <sz val="9"/>
      <color rgb="FF0070C0"/>
      <name val="Calibri"/>
      <family val="2"/>
      <scheme val="minor"/>
    </font>
    <font>
      <sz val="11"/>
      <name val="Calibri"/>
      <family val="2"/>
      <scheme val="minor"/>
    </font>
    <font>
      <sz val="11"/>
      <color theme="4"/>
      <name val="Calibri"/>
      <family val="2"/>
      <scheme val="minor"/>
    </font>
    <font>
      <b/>
      <i/>
      <sz val="11"/>
      <color theme="1"/>
      <name val="Calibri"/>
      <family val="2"/>
      <scheme val="minor"/>
    </font>
    <font>
      <b/>
      <i/>
      <sz val="11"/>
      <color theme="4"/>
      <name val="Calibri"/>
      <family val="2"/>
      <scheme val="minor"/>
    </font>
    <font>
      <b/>
      <i/>
      <u/>
      <sz val="11"/>
      <color theme="4"/>
      <name val="Calibri"/>
      <family val="2"/>
      <scheme val="minor"/>
    </font>
    <font>
      <b/>
      <sz val="11"/>
      <color theme="4" tint="-0.499984740745262"/>
      <name val="Calibri"/>
      <family val="2"/>
      <scheme val="minor"/>
    </font>
    <font>
      <b/>
      <sz val="11"/>
      <color theme="4" tint="-0.249977111117893"/>
      <name val="Calibri"/>
      <family val="2"/>
      <scheme val="minor"/>
    </font>
    <font>
      <sz val="11"/>
      <color theme="5" tint="-0.249977111117893"/>
      <name val="Calibri"/>
      <family val="2"/>
      <scheme val="minor"/>
    </font>
    <font>
      <b/>
      <sz val="12"/>
      <color theme="1"/>
      <name val="Calibri"/>
      <family val="2"/>
      <scheme val="minor"/>
    </font>
    <font>
      <b/>
      <i/>
      <u/>
      <sz val="11"/>
      <color theme="1"/>
      <name val="Calibri"/>
      <family val="2"/>
      <scheme val="minor"/>
    </font>
    <font>
      <strike/>
      <sz val="11"/>
      <color theme="1"/>
      <name val="Calibri"/>
      <family val="2"/>
      <scheme val="minor"/>
    </font>
    <font>
      <b/>
      <sz val="12"/>
      <color rgb="FF00B0F0"/>
      <name val="Calibri"/>
      <family val="2"/>
      <scheme val="minor"/>
    </font>
    <font>
      <b/>
      <sz val="11"/>
      <color rgb="FFC00000"/>
      <name val="Calibri"/>
      <family val="2"/>
      <scheme val="minor"/>
    </font>
    <font>
      <b/>
      <sz val="8"/>
      <color rgb="FF000000"/>
      <name val="Arial"/>
      <family val="2"/>
    </font>
    <font>
      <sz val="11"/>
      <color theme="4" tint="-0.249977111117893"/>
      <name val="Calibri"/>
      <family val="2"/>
      <scheme val="minor"/>
    </font>
    <font>
      <b/>
      <sz val="11"/>
      <color rgb="FF7030A0"/>
      <name val="Calibri"/>
      <family val="2"/>
      <scheme val="minor"/>
    </font>
    <font>
      <sz val="11"/>
      <color rgb="FF7030A0"/>
      <name val="Calibri"/>
      <family val="2"/>
      <scheme val="minor"/>
    </font>
  </fonts>
  <fills count="19">
    <fill>
      <patternFill patternType="none"/>
    </fill>
    <fill>
      <patternFill patternType="gray125"/>
    </fill>
    <fill>
      <patternFill patternType="solid">
        <fgColor theme="4" tint="0.59999389629810485"/>
        <bgColor indexed="64"/>
      </patternFill>
    </fill>
    <fill>
      <patternFill patternType="solid">
        <fgColor theme="5" tint="0.79998168889431442"/>
        <bgColor indexed="64"/>
      </patternFill>
    </fill>
    <fill>
      <patternFill patternType="solid">
        <fgColor rgb="FFFFC000"/>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theme="9" tint="0.59999389629810485"/>
        <bgColor indexed="64"/>
      </patternFill>
    </fill>
    <fill>
      <patternFill patternType="solid">
        <fgColor theme="5" tint="0.59999389629810485"/>
        <bgColor indexed="64"/>
      </patternFill>
    </fill>
    <fill>
      <patternFill patternType="solid">
        <fgColor theme="6" tint="0.59999389629810485"/>
        <bgColor indexed="64"/>
      </patternFill>
    </fill>
    <fill>
      <patternFill patternType="solid">
        <fgColor theme="4" tint="0.79998168889431442"/>
        <bgColor indexed="64"/>
      </patternFill>
    </fill>
    <fill>
      <patternFill patternType="solid">
        <fgColor theme="7"/>
        <bgColor indexed="64"/>
      </patternFill>
    </fill>
    <fill>
      <patternFill patternType="solid">
        <fgColor theme="0"/>
        <bgColor indexed="64"/>
      </patternFill>
    </fill>
    <fill>
      <patternFill patternType="solid">
        <fgColor theme="4" tint="0.39997558519241921"/>
        <bgColor indexed="64"/>
      </patternFill>
    </fill>
    <fill>
      <patternFill patternType="solid">
        <fgColor theme="3" tint="0.59999389629810485"/>
        <bgColor indexed="64"/>
      </patternFill>
    </fill>
    <fill>
      <patternFill patternType="solid">
        <fgColor theme="5" tint="0.39997558519241921"/>
        <bgColor indexed="64"/>
      </patternFill>
    </fill>
    <fill>
      <patternFill patternType="solid">
        <fgColor theme="3" tint="0.79998168889431442"/>
        <bgColor indexed="64"/>
      </patternFill>
    </fill>
    <fill>
      <patternFill patternType="solid">
        <fgColor theme="7" tint="0.39997558519241921"/>
        <bgColor indexed="64"/>
      </patternFill>
    </fill>
    <fill>
      <patternFill patternType="solid">
        <fgColor theme="9" tint="0.39997558519241921"/>
        <bgColor indexed="64"/>
      </patternFill>
    </fill>
  </fills>
  <borders count="48">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style="medium">
        <color indexed="64"/>
      </right>
      <top/>
      <bottom/>
      <diagonal/>
    </border>
    <border>
      <left/>
      <right style="medium">
        <color indexed="64"/>
      </right>
      <top/>
      <bottom style="medium">
        <color indexed="64"/>
      </bottom>
      <diagonal/>
    </border>
    <border>
      <left/>
      <right style="medium">
        <color indexed="64"/>
      </right>
      <top style="medium">
        <color indexed="64"/>
      </top>
      <bottom/>
      <diagonal/>
    </border>
    <border>
      <left/>
      <right/>
      <top style="medium">
        <color indexed="64"/>
      </top>
      <bottom/>
      <diagonal/>
    </border>
    <border>
      <left/>
      <right style="medium">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thin">
        <color indexed="64"/>
      </right>
      <top style="medium">
        <color indexed="64"/>
      </top>
      <bottom/>
      <diagonal/>
    </border>
    <border>
      <left style="thin">
        <color indexed="64"/>
      </left>
      <right style="thin">
        <color indexed="64"/>
      </right>
      <top/>
      <bottom/>
      <diagonal/>
    </border>
    <border>
      <left style="thin">
        <color indexed="64"/>
      </left>
      <right style="thin">
        <color indexed="64"/>
      </right>
      <top/>
      <bottom style="medium">
        <color indexed="64"/>
      </bottom>
      <diagonal/>
    </border>
    <border>
      <left style="medium">
        <color indexed="64"/>
      </left>
      <right/>
      <top style="medium">
        <color indexed="64"/>
      </top>
      <bottom/>
      <diagonal/>
    </border>
    <border>
      <left style="medium">
        <color indexed="64"/>
      </left>
      <right/>
      <top/>
      <bottom/>
      <diagonal/>
    </border>
    <border>
      <left/>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medium">
        <color indexed="64"/>
      </left>
      <right/>
      <top/>
      <bottom style="medium">
        <color indexed="64"/>
      </bottom>
      <diagonal/>
    </border>
    <border>
      <left style="thin">
        <color indexed="64"/>
      </left>
      <right/>
      <top style="medium">
        <color indexed="64"/>
      </top>
      <bottom/>
      <diagonal/>
    </border>
    <border>
      <left style="thin">
        <color indexed="64"/>
      </left>
      <right/>
      <top/>
      <bottom/>
      <diagonal/>
    </border>
    <border>
      <left style="thin">
        <color indexed="64"/>
      </left>
      <right/>
      <top/>
      <bottom style="medium">
        <color indexed="64"/>
      </bottom>
      <diagonal/>
    </border>
    <border>
      <left/>
      <right style="thin">
        <color indexed="64"/>
      </right>
      <top style="medium">
        <color indexed="64"/>
      </top>
      <bottom style="medium">
        <color indexed="64"/>
      </bottom>
      <diagonal/>
    </border>
    <border>
      <left/>
      <right style="thin">
        <color indexed="64"/>
      </right>
      <top style="medium">
        <color indexed="64"/>
      </top>
      <bottom/>
      <diagonal/>
    </border>
    <border>
      <left/>
      <right style="thin">
        <color indexed="64"/>
      </right>
      <top/>
      <bottom/>
      <diagonal/>
    </border>
    <border>
      <left/>
      <right style="thin">
        <color indexed="64"/>
      </right>
      <top/>
      <bottom style="medium">
        <color indexed="64"/>
      </bottom>
      <diagonal/>
    </border>
    <border>
      <left style="medium">
        <color indexed="64"/>
      </left>
      <right style="medium">
        <color indexed="64"/>
      </right>
      <top/>
      <bottom style="thin">
        <color indexed="64"/>
      </bottom>
      <diagonal/>
    </border>
    <border>
      <left/>
      <right style="thin">
        <color rgb="FFFFC000"/>
      </right>
      <top/>
      <bottom/>
      <diagonal/>
    </border>
    <border>
      <left style="medium">
        <color rgb="FFFFC000"/>
      </left>
      <right/>
      <top style="medium">
        <color rgb="FFFFC000"/>
      </top>
      <bottom/>
      <diagonal/>
    </border>
    <border>
      <left/>
      <right/>
      <top style="medium">
        <color rgb="FFFFC000"/>
      </top>
      <bottom/>
      <diagonal/>
    </border>
    <border>
      <left/>
      <right style="medium">
        <color rgb="FFFFC000"/>
      </right>
      <top style="medium">
        <color rgb="FFFFC000"/>
      </top>
      <bottom/>
      <diagonal/>
    </border>
    <border>
      <left style="medium">
        <color rgb="FFFFC000"/>
      </left>
      <right/>
      <top/>
      <bottom/>
      <diagonal/>
    </border>
    <border>
      <left/>
      <right style="medium">
        <color rgb="FFFFC000"/>
      </right>
      <top/>
      <bottom/>
      <diagonal/>
    </border>
    <border>
      <left style="medium">
        <color rgb="FFFFC000"/>
      </left>
      <right/>
      <top style="medium">
        <color indexed="64"/>
      </top>
      <bottom/>
      <diagonal/>
    </border>
    <border>
      <left/>
      <right style="medium">
        <color rgb="FFFFC000"/>
      </right>
      <top style="medium">
        <color indexed="64"/>
      </top>
      <bottom/>
      <diagonal/>
    </border>
    <border>
      <left style="medium">
        <color rgb="FFFFC000"/>
      </left>
      <right/>
      <top/>
      <bottom style="medium">
        <color indexed="64"/>
      </bottom>
      <diagonal/>
    </border>
    <border>
      <left/>
      <right style="medium">
        <color rgb="FFFFC000"/>
      </right>
      <top/>
      <bottom style="medium">
        <color indexed="64"/>
      </bottom>
      <diagonal/>
    </border>
    <border>
      <left style="medium">
        <color rgb="FFFFC000"/>
      </left>
      <right/>
      <top/>
      <bottom style="medium">
        <color rgb="FFFFC000"/>
      </bottom>
      <diagonal/>
    </border>
    <border>
      <left/>
      <right/>
      <top/>
      <bottom style="medium">
        <color rgb="FFFFC000"/>
      </bottom>
      <diagonal/>
    </border>
    <border>
      <left/>
      <right style="medium">
        <color rgb="FFFFC000"/>
      </right>
      <top/>
      <bottom style="medium">
        <color rgb="FFFFC000"/>
      </bottom>
      <diagonal/>
    </border>
    <border>
      <left style="medium">
        <color indexed="64"/>
      </left>
      <right style="medium">
        <color indexed="64"/>
      </right>
      <top style="thin">
        <color indexed="64"/>
      </top>
      <bottom/>
      <diagonal/>
    </border>
    <border>
      <left/>
      <right/>
      <top/>
      <bottom style="thin">
        <color indexed="64"/>
      </bottom>
      <diagonal/>
    </border>
    <border>
      <left/>
      <right/>
      <top style="thin">
        <color indexed="64"/>
      </top>
      <bottom/>
      <diagonal/>
    </border>
    <border>
      <left/>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style="medium">
        <color indexed="64"/>
      </right>
      <top style="thin">
        <color indexed="64"/>
      </top>
      <bottom style="thin">
        <color indexed="64"/>
      </bottom>
      <diagonal/>
    </border>
  </borders>
  <cellStyleXfs count="6">
    <xf numFmtId="0" fontId="0" fillId="0" borderId="0"/>
    <xf numFmtId="9" fontId="5" fillId="0" borderId="0" applyFont="0" applyFill="0" applyBorder="0" applyAlignment="0" applyProtection="0"/>
    <xf numFmtId="44" fontId="5" fillId="0" borderId="0" applyFont="0" applyFill="0" applyBorder="0" applyAlignment="0" applyProtection="0"/>
    <xf numFmtId="0" fontId="6" fillId="0" borderId="0" applyNumberFormat="0" applyFill="0" applyBorder="0" applyAlignment="0" applyProtection="0"/>
    <xf numFmtId="0" fontId="12" fillId="0" borderId="0"/>
    <xf numFmtId="43" fontId="5" fillId="0" borderId="0" applyFont="0" applyFill="0" applyBorder="0" applyAlignment="0" applyProtection="0"/>
  </cellStyleXfs>
  <cellXfs count="394">
    <xf numFmtId="0" fontId="0" fillId="0" borderId="0" xfId="0"/>
    <xf numFmtId="0" fontId="1" fillId="0" borderId="0" xfId="0" applyFont="1"/>
    <xf numFmtId="0" fontId="0" fillId="0" borderId="6" xfId="0" applyBorder="1"/>
    <xf numFmtId="0" fontId="0" fillId="0" borderId="3" xfId="0" applyBorder="1"/>
    <xf numFmtId="0" fontId="0" fillId="0" borderId="4" xfId="0" applyBorder="1"/>
    <xf numFmtId="0" fontId="0" fillId="0" borderId="1" xfId="0" applyBorder="1"/>
    <xf numFmtId="0" fontId="0" fillId="0" borderId="2" xfId="0" applyBorder="1"/>
    <xf numFmtId="0" fontId="0" fillId="0" borderId="8" xfId="0" applyBorder="1"/>
    <xf numFmtId="0" fontId="0" fillId="3" borderId="0" xfId="0" applyFill="1"/>
    <xf numFmtId="0" fontId="1" fillId="2" borderId="0" xfId="0" applyFont="1" applyFill="1"/>
    <xf numFmtId="0" fontId="1" fillId="3" borderId="0" xfId="0" applyFont="1" applyFill="1"/>
    <xf numFmtId="0" fontId="1" fillId="4" borderId="0" xfId="0" applyFont="1" applyFill="1"/>
    <xf numFmtId="2" fontId="0" fillId="0" borderId="0" xfId="0" applyNumberFormat="1"/>
    <xf numFmtId="2" fontId="0" fillId="3" borderId="0" xfId="0" applyNumberFormat="1" applyFill="1"/>
    <xf numFmtId="0" fontId="0" fillId="0" borderId="0" xfId="0" applyAlignment="1">
      <alignment wrapText="1"/>
    </xf>
    <xf numFmtId="0" fontId="0" fillId="0" borderId="9" xfId="0" applyBorder="1"/>
    <xf numFmtId="0" fontId="0" fillId="0" borderId="7" xfId="0" applyBorder="1"/>
    <xf numFmtId="0" fontId="0" fillId="0" borderId="5" xfId="0" applyBorder="1"/>
    <xf numFmtId="0" fontId="0" fillId="0" borderId="14" xfId="0" applyBorder="1"/>
    <xf numFmtId="0" fontId="0" fillId="0" borderId="15" xfId="0" applyBorder="1"/>
    <xf numFmtId="10" fontId="0" fillId="0" borderId="0" xfId="0" applyNumberFormat="1"/>
    <xf numFmtId="0" fontId="6" fillId="0" borderId="0" xfId="3"/>
    <xf numFmtId="0" fontId="1" fillId="0" borderId="17" xfId="0" applyFont="1" applyBorder="1"/>
    <xf numFmtId="0" fontId="4" fillId="5" borderId="0" xfId="0" applyFont="1" applyFill="1"/>
    <xf numFmtId="0" fontId="1" fillId="5" borderId="0" xfId="0" applyFont="1" applyFill="1"/>
    <xf numFmtId="0" fontId="1" fillId="6" borderId="17" xfId="0" applyFont="1" applyFill="1" applyBorder="1"/>
    <xf numFmtId="0" fontId="1" fillId="7" borderId="1" xfId="0" applyFont="1" applyFill="1" applyBorder="1"/>
    <xf numFmtId="10" fontId="0" fillId="0" borderId="5" xfId="0" applyNumberFormat="1" applyBorder="1"/>
    <xf numFmtId="0" fontId="1" fillId="8" borderId="0" xfId="0" applyFont="1" applyFill="1"/>
    <xf numFmtId="0" fontId="10" fillId="0" borderId="8" xfId="0" applyFont="1" applyBorder="1"/>
    <xf numFmtId="0" fontId="0" fillId="0" borderId="19" xfId="0" applyBorder="1"/>
    <xf numFmtId="10" fontId="0" fillId="0" borderId="3" xfId="0" applyNumberFormat="1" applyBorder="1"/>
    <xf numFmtId="0" fontId="0" fillId="0" borderId="16" xfId="0" applyBorder="1"/>
    <xf numFmtId="1" fontId="0" fillId="0" borderId="0" xfId="0" applyNumberFormat="1"/>
    <xf numFmtId="0" fontId="4" fillId="0" borderId="0" xfId="0" applyFont="1"/>
    <xf numFmtId="0" fontId="15" fillId="0" borderId="0" xfId="0" applyFont="1"/>
    <xf numFmtId="2" fontId="0" fillId="6" borderId="18" xfId="0" applyNumberFormat="1" applyFill="1" applyBorder="1"/>
    <xf numFmtId="0" fontId="1" fillId="0" borderId="1" xfId="0" applyFont="1" applyBorder="1"/>
    <xf numFmtId="0" fontId="0" fillId="0" borderId="26" xfId="0" applyBorder="1"/>
    <xf numFmtId="0" fontId="1" fillId="0" borderId="14" xfId="0" applyFont="1" applyBorder="1"/>
    <xf numFmtId="2" fontId="0" fillId="0" borderId="5" xfId="0" applyNumberFormat="1" applyBorder="1"/>
    <xf numFmtId="2" fontId="0" fillId="0" borderId="16" xfId="0" applyNumberFormat="1" applyBorder="1"/>
    <xf numFmtId="2" fontId="0" fillId="0" borderId="6" xfId="0" applyNumberFormat="1" applyBorder="1"/>
    <xf numFmtId="0" fontId="1" fillId="3" borderId="15" xfId="0" applyFont="1" applyFill="1" applyBorder="1"/>
    <xf numFmtId="2" fontId="0" fillId="0" borderId="8" xfId="0" applyNumberFormat="1" applyBorder="1"/>
    <xf numFmtId="2" fontId="0" fillId="0" borderId="7" xfId="0" applyNumberFormat="1" applyBorder="1"/>
    <xf numFmtId="1" fontId="1" fillId="3" borderId="0" xfId="0" applyNumberFormat="1" applyFont="1" applyFill="1"/>
    <xf numFmtId="1" fontId="1" fillId="3" borderId="5" xfId="0" applyNumberFormat="1" applyFont="1" applyFill="1" applyBorder="1"/>
    <xf numFmtId="0" fontId="0" fillId="0" borderId="28" xfId="0" applyBorder="1"/>
    <xf numFmtId="0" fontId="1" fillId="0" borderId="29" xfId="0" applyFont="1" applyBorder="1"/>
    <xf numFmtId="0" fontId="0" fillId="0" borderId="30" xfId="0" applyBorder="1"/>
    <xf numFmtId="0" fontId="0" fillId="0" borderId="31" xfId="0" applyBorder="1"/>
    <xf numFmtId="0" fontId="1" fillId="3" borderId="32" xfId="0" applyFont="1" applyFill="1" applyBorder="1"/>
    <xf numFmtId="0" fontId="1" fillId="3" borderId="33" xfId="0" applyFont="1" applyFill="1" applyBorder="1"/>
    <xf numFmtId="0" fontId="0" fillId="0" borderId="32" xfId="0" applyBorder="1"/>
    <xf numFmtId="0" fontId="0" fillId="0" borderId="33" xfId="0" applyBorder="1"/>
    <xf numFmtId="0" fontId="1" fillId="0" borderId="34" xfId="0" applyFont="1" applyBorder="1"/>
    <xf numFmtId="0" fontId="0" fillId="0" borderId="35" xfId="0" applyBorder="1"/>
    <xf numFmtId="2" fontId="0" fillId="0" borderId="33" xfId="0" applyNumberFormat="1" applyBorder="1"/>
    <xf numFmtId="2" fontId="0" fillId="0" borderId="35" xfId="0" applyNumberFormat="1" applyBorder="1"/>
    <xf numFmtId="0" fontId="0" fillId="2" borderId="19" xfId="0" applyFill="1" applyBorder="1"/>
    <xf numFmtId="0" fontId="0" fillId="2" borderId="16" xfId="0" applyFill="1" applyBorder="1"/>
    <xf numFmtId="2" fontId="0" fillId="2" borderId="16" xfId="0" applyNumberFormat="1" applyFill="1" applyBorder="1"/>
    <xf numFmtId="0" fontId="0" fillId="2" borderId="38" xfId="0" applyFill="1" applyBorder="1"/>
    <xf numFmtId="0" fontId="0" fillId="2" borderId="39" xfId="0" applyFill="1" applyBorder="1"/>
    <xf numFmtId="2" fontId="0" fillId="2" borderId="39" xfId="0" applyNumberFormat="1" applyFill="1" applyBorder="1"/>
    <xf numFmtId="2" fontId="0" fillId="2" borderId="40" xfId="0" applyNumberFormat="1" applyFill="1" applyBorder="1"/>
    <xf numFmtId="0" fontId="0" fillId="2" borderId="36" xfId="0" applyFill="1" applyBorder="1"/>
    <xf numFmtId="2" fontId="0" fillId="2" borderId="37" xfId="0" applyNumberFormat="1" applyFill="1" applyBorder="1"/>
    <xf numFmtId="0" fontId="19" fillId="0" borderId="0" xfId="0" applyFont="1"/>
    <xf numFmtId="0" fontId="1" fillId="0" borderId="15" xfId="0" applyFont="1" applyBorder="1"/>
    <xf numFmtId="0" fontId="1" fillId="0" borderId="19" xfId="0" applyFont="1" applyBorder="1"/>
    <xf numFmtId="0" fontId="20" fillId="0" borderId="0" xfId="0" applyFont="1"/>
    <xf numFmtId="0" fontId="21" fillId="0" borderId="0" xfId="3" applyFont="1"/>
    <xf numFmtId="9" fontId="0" fillId="0" borderId="16" xfId="1" applyFont="1" applyBorder="1"/>
    <xf numFmtId="2" fontId="0" fillId="0" borderId="0" xfId="0" applyNumberFormat="1" applyAlignment="1">
      <alignment horizontal="right"/>
    </xf>
    <xf numFmtId="0" fontId="0" fillId="0" borderId="18" xfId="0" applyBorder="1"/>
    <xf numFmtId="9" fontId="0" fillId="0" borderId="0" xfId="1" applyFont="1" applyBorder="1"/>
    <xf numFmtId="0" fontId="22" fillId="0" borderId="15" xfId="0" applyFont="1" applyBorder="1"/>
    <xf numFmtId="1" fontId="22" fillId="0" borderId="0" xfId="0" applyNumberFormat="1" applyFont="1"/>
    <xf numFmtId="0" fontId="22" fillId="0" borderId="3" xfId="0" applyFont="1" applyBorder="1"/>
    <xf numFmtId="9" fontId="0" fillId="0" borderId="6" xfId="1" applyFont="1" applyBorder="1"/>
    <xf numFmtId="167" fontId="0" fillId="0" borderId="0" xfId="0" applyNumberFormat="1"/>
    <xf numFmtId="0" fontId="23" fillId="0" borderId="0" xfId="0" applyFont="1"/>
    <xf numFmtId="9" fontId="0" fillId="0" borderId="0" xfId="0" applyNumberFormat="1"/>
    <xf numFmtId="0" fontId="4" fillId="0" borderId="14" xfId="0" applyFont="1" applyBorder="1"/>
    <xf numFmtId="0" fontId="4" fillId="0" borderId="8" xfId="0" applyFont="1" applyBorder="1"/>
    <xf numFmtId="0" fontId="1" fillId="9" borderId="0" xfId="0" applyFont="1" applyFill="1"/>
    <xf numFmtId="0" fontId="1" fillId="2" borderId="15" xfId="0" applyFont="1" applyFill="1" applyBorder="1"/>
    <xf numFmtId="0" fontId="1" fillId="2" borderId="5" xfId="0" applyFont="1" applyFill="1" applyBorder="1"/>
    <xf numFmtId="9" fontId="0" fillId="0" borderId="5" xfId="0" applyNumberFormat="1" applyBorder="1"/>
    <xf numFmtId="1" fontId="0" fillId="0" borderId="5" xfId="0" applyNumberFormat="1" applyBorder="1"/>
    <xf numFmtId="0" fontId="0" fillId="3" borderId="15" xfId="0" applyFill="1" applyBorder="1"/>
    <xf numFmtId="164" fontId="0" fillId="0" borderId="0" xfId="0" applyNumberFormat="1"/>
    <xf numFmtId="166" fontId="0" fillId="0" borderId="0" xfId="0" applyNumberFormat="1"/>
    <xf numFmtId="165" fontId="0" fillId="0" borderId="0" xfId="0" applyNumberFormat="1"/>
    <xf numFmtId="165" fontId="0" fillId="0" borderId="5" xfId="0" applyNumberFormat="1" applyBorder="1"/>
    <xf numFmtId="0" fontId="1" fillId="4" borderId="15" xfId="0" applyFont="1" applyFill="1" applyBorder="1"/>
    <xf numFmtId="8" fontId="0" fillId="0" borderId="0" xfId="0" applyNumberFormat="1"/>
    <xf numFmtId="0" fontId="7" fillId="2" borderId="15" xfId="0" applyFont="1" applyFill="1" applyBorder="1"/>
    <xf numFmtId="0" fontId="7" fillId="2" borderId="0" xfId="0" applyFont="1" applyFill="1"/>
    <xf numFmtId="0" fontId="17" fillId="2" borderId="0" xfId="0" applyFont="1" applyFill="1"/>
    <xf numFmtId="9" fontId="1" fillId="8" borderId="1" xfId="0" applyNumberFormat="1" applyFont="1" applyFill="1" applyBorder="1"/>
    <xf numFmtId="9" fontId="1" fillId="8" borderId="9" xfId="0" applyNumberFormat="1" applyFont="1" applyFill="1" applyBorder="1"/>
    <xf numFmtId="9" fontId="14" fillId="8" borderId="4" xfId="1" applyFont="1" applyFill="1" applyBorder="1"/>
    <xf numFmtId="10" fontId="13" fillId="8" borderId="2" xfId="1" applyNumberFormat="1" applyFont="1" applyFill="1" applyBorder="1" applyAlignment="1" applyProtection="1">
      <alignment horizontal="right"/>
    </xf>
    <xf numFmtId="10" fontId="13" fillId="8" borderId="4" xfId="1" applyNumberFormat="1" applyFont="1" applyFill="1" applyBorder="1" applyAlignment="1" applyProtection="1">
      <alignment horizontal="right"/>
    </xf>
    <xf numFmtId="0" fontId="13" fillId="10" borderId="14" xfId="0" applyFont="1" applyFill="1" applyBorder="1"/>
    <xf numFmtId="0" fontId="1" fillId="10" borderId="8" xfId="0" applyFont="1" applyFill="1" applyBorder="1"/>
    <xf numFmtId="0" fontId="13" fillId="10" borderId="19" xfId="0" applyFont="1" applyFill="1" applyBorder="1"/>
    <xf numFmtId="0" fontId="1" fillId="10" borderId="16" xfId="0" applyFont="1" applyFill="1" applyBorder="1"/>
    <xf numFmtId="0" fontId="1" fillId="0" borderId="8" xfId="0" applyFont="1" applyBorder="1"/>
    <xf numFmtId="0" fontId="1" fillId="9" borderId="15" xfId="0" applyFont="1" applyFill="1" applyBorder="1"/>
    <xf numFmtId="0" fontId="0" fillId="8" borderId="5" xfId="0" applyFill="1" applyBorder="1"/>
    <xf numFmtId="0" fontId="0" fillId="8" borderId="6" xfId="0" applyFill="1" applyBorder="1"/>
    <xf numFmtId="0" fontId="0" fillId="8" borderId="3" xfId="0" applyFill="1" applyBorder="1"/>
    <xf numFmtId="9" fontId="0" fillId="8" borderId="5" xfId="0" applyNumberFormat="1" applyFill="1" applyBorder="1"/>
    <xf numFmtId="2" fontId="0" fillId="8" borderId="6" xfId="0" applyNumberFormat="1" applyFill="1" applyBorder="1"/>
    <xf numFmtId="0" fontId="0" fillId="8" borderId="1" xfId="0" applyFill="1" applyBorder="1"/>
    <xf numFmtId="0" fontId="0" fillId="8" borderId="4" xfId="0" applyFill="1" applyBorder="1"/>
    <xf numFmtId="0" fontId="17" fillId="0" borderId="17" xfId="0" applyFont="1" applyBorder="1"/>
    <xf numFmtId="0" fontId="1" fillId="3" borderId="17" xfId="0" applyFont="1" applyFill="1" applyBorder="1"/>
    <xf numFmtId="0" fontId="1" fillId="0" borderId="0" xfId="0" applyFont="1" applyAlignment="1">
      <alignment wrapText="1"/>
    </xf>
    <xf numFmtId="0" fontId="1" fillId="11" borderId="0" xfId="0" applyFont="1" applyFill="1"/>
    <xf numFmtId="9" fontId="0" fillId="2" borderId="0" xfId="0" applyNumberFormat="1" applyFill="1"/>
    <xf numFmtId="43" fontId="0" fillId="2" borderId="16" xfId="0" applyNumberFormat="1" applyFill="1" applyBorder="1"/>
    <xf numFmtId="0" fontId="2" fillId="0" borderId="0" xfId="0" applyFont="1"/>
    <xf numFmtId="0" fontId="1" fillId="3" borderId="18" xfId="0" applyFont="1" applyFill="1" applyBorder="1"/>
    <xf numFmtId="0" fontId="1" fillId="3" borderId="9" xfId="0" applyFont="1" applyFill="1" applyBorder="1"/>
    <xf numFmtId="0" fontId="2" fillId="0" borderId="16" xfId="0" applyFont="1" applyBorder="1"/>
    <xf numFmtId="43" fontId="0" fillId="2" borderId="0" xfId="0" applyNumberFormat="1" applyFill="1"/>
    <xf numFmtId="2" fontId="1" fillId="2" borderId="18" xfId="0" applyNumberFormat="1" applyFont="1" applyFill="1" applyBorder="1"/>
    <xf numFmtId="169" fontId="1" fillId="2" borderId="17" xfId="0" applyNumberFormat="1" applyFont="1" applyFill="1" applyBorder="1"/>
    <xf numFmtId="0" fontId="1" fillId="2" borderId="18" xfId="0" applyFont="1" applyFill="1" applyBorder="1"/>
    <xf numFmtId="0" fontId="1" fillId="2" borderId="9" xfId="0" applyFont="1" applyFill="1" applyBorder="1"/>
    <xf numFmtId="169" fontId="0" fillId="0" borderId="0" xfId="0" applyNumberFormat="1"/>
    <xf numFmtId="169" fontId="0" fillId="0" borderId="5" xfId="0" applyNumberFormat="1" applyBorder="1"/>
    <xf numFmtId="2" fontId="1" fillId="4" borderId="0" xfId="0" applyNumberFormat="1" applyFont="1" applyFill="1"/>
    <xf numFmtId="2" fontId="1" fillId="8" borderId="0" xfId="2" applyNumberFormat="1" applyFont="1" applyFill="1"/>
    <xf numFmtId="2" fontId="1" fillId="11" borderId="0" xfId="0" applyNumberFormat="1" applyFont="1" applyFill="1"/>
    <xf numFmtId="10" fontId="1" fillId="8" borderId="0" xfId="0" applyNumberFormat="1" applyFont="1" applyFill="1"/>
    <xf numFmtId="2" fontId="19" fillId="0" borderId="0" xfId="0" applyNumberFormat="1" applyFont="1"/>
    <xf numFmtId="167" fontId="0" fillId="0" borderId="2" xfId="0" applyNumberFormat="1" applyBorder="1"/>
    <xf numFmtId="167" fontId="0" fillId="0" borderId="3" xfId="0" applyNumberFormat="1" applyBorder="1"/>
    <xf numFmtId="167" fontId="0" fillId="0" borderId="4" xfId="0" applyNumberFormat="1" applyBorder="1"/>
    <xf numFmtId="167" fontId="0" fillId="0" borderId="16" xfId="0" applyNumberFormat="1" applyBorder="1"/>
    <xf numFmtId="10" fontId="0" fillId="2" borderId="0" xfId="0" applyNumberFormat="1" applyFill="1"/>
    <xf numFmtId="167" fontId="0" fillId="0" borderId="8" xfId="0" applyNumberFormat="1" applyBorder="1"/>
    <xf numFmtId="164" fontId="14" fillId="8" borderId="2" xfId="1" applyNumberFormat="1" applyFont="1" applyFill="1" applyBorder="1"/>
    <xf numFmtId="10" fontId="0" fillId="8" borderId="41" xfId="0" applyNumberFormat="1" applyFill="1" applyBorder="1"/>
    <xf numFmtId="9" fontId="1" fillId="2" borderId="9" xfId="1" applyFont="1" applyFill="1" applyBorder="1"/>
    <xf numFmtId="167" fontId="0" fillId="0" borderId="5" xfId="0" applyNumberFormat="1" applyBorder="1"/>
    <xf numFmtId="167" fontId="0" fillId="0" borderId="0" xfId="1" applyNumberFormat="1" applyFont="1" applyBorder="1"/>
    <xf numFmtId="170" fontId="0" fillId="0" borderId="0" xfId="0" applyNumberFormat="1"/>
    <xf numFmtId="0" fontId="25" fillId="3" borderId="17" xfId="0" applyFont="1" applyFill="1" applyBorder="1"/>
    <xf numFmtId="1" fontId="0" fillId="0" borderId="0" xfId="1" applyNumberFormat="1" applyFont="1" applyBorder="1"/>
    <xf numFmtId="169" fontId="17" fillId="0" borderId="1" xfId="5" applyNumberFormat="1" applyFont="1" applyFill="1" applyBorder="1" applyAlignment="1" applyProtection="1">
      <alignment horizontal="center"/>
    </xf>
    <xf numFmtId="169" fontId="0" fillId="0" borderId="16" xfId="0" applyNumberFormat="1" applyBorder="1"/>
    <xf numFmtId="9" fontId="1" fillId="8" borderId="21" xfId="0" applyNumberFormat="1" applyFont="1" applyFill="1" applyBorder="1"/>
    <xf numFmtId="164" fontId="0" fillId="2" borderId="0" xfId="0" applyNumberFormat="1" applyFill="1"/>
    <xf numFmtId="169" fontId="1" fillId="2" borderId="14" xfId="0" applyNumberFormat="1" applyFont="1" applyFill="1" applyBorder="1"/>
    <xf numFmtId="0" fontId="1" fillId="2" borderId="8" xfId="0" applyFont="1" applyFill="1" applyBorder="1"/>
    <xf numFmtId="2" fontId="1" fillId="2" borderId="8" xfId="0" applyNumberFormat="1" applyFont="1" applyFill="1" applyBorder="1"/>
    <xf numFmtId="0" fontId="1" fillId="2" borderId="7" xfId="0" applyFont="1" applyFill="1" applyBorder="1"/>
    <xf numFmtId="167" fontId="0" fillId="0" borderId="5" xfId="1" applyNumberFormat="1" applyFont="1" applyBorder="1"/>
    <xf numFmtId="170" fontId="0" fillId="0" borderId="5" xfId="0" applyNumberFormat="1" applyBorder="1"/>
    <xf numFmtId="169" fontId="0" fillId="0" borderId="8" xfId="0" applyNumberFormat="1" applyBorder="1"/>
    <xf numFmtId="169" fontId="0" fillId="0" borderId="7" xfId="0" applyNumberFormat="1" applyBorder="1"/>
    <xf numFmtId="0" fontId="19" fillId="2" borderId="15" xfId="0" applyFont="1" applyFill="1" applyBorder="1"/>
    <xf numFmtId="0" fontId="19" fillId="2" borderId="19" xfId="0" applyFont="1" applyFill="1" applyBorder="1"/>
    <xf numFmtId="0" fontId="26" fillId="2" borderId="15" xfId="0" applyFont="1" applyFill="1" applyBorder="1"/>
    <xf numFmtId="0" fontId="0" fillId="12" borderId="25" xfId="0" applyFill="1" applyBorder="1"/>
    <xf numFmtId="167" fontId="1" fillId="8" borderId="17" xfId="0" applyNumberFormat="1" applyFont="1" applyFill="1" applyBorder="1"/>
    <xf numFmtId="0" fontId="1" fillId="8" borderId="9" xfId="0" applyFont="1" applyFill="1" applyBorder="1"/>
    <xf numFmtId="167" fontId="1" fillId="8" borderId="19" xfId="0" applyNumberFormat="1" applyFont="1" applyFill="1" applyBorder="1"/>
    <xf numFmtId="0" fontId="0" fillId="0" borderId="0" xfId="1" applyNumberFormat="1" applyFont="1" applyBorder="1"/>
    <xf numFmtId="2" fontId="0" fillId="0" borderId="0" xfId="1" applyNumberFormat="1" applyFont="1" applyBorder="1"/>
    <xf numFmtId="167" fontId="0" fillId="0" borderId="0" xfId="0" applyNumberFormat="1" applyAlignment="1">
      <alignment horizontal="right"/>
    </xf>
    <xf numFmtId="0" fontId="0" fillId="2" borderId="5" xfId="0" applyFill="1" applyBorder="1"/>
    <xf numFmtId="0" fontId="0" fillId="8" borderId="9" xfId="0" applyFill="1" applyBorder="1"/>
    <xf numFmtId="0" fontId="1" fillId="2" borderId="1" xfId="0" applyFont="1" applyFill="1" applyBorder="1"/>
    <xf numFmtId="0" fontId="1" fillId="2" borderId="2" xfId="0" applyFont="1" applyFill="1" applyBorder="1"/>
    <xf numFmtId="0" fontId="1" fillId="2" borderId="3" xfId="0" applyFont="1" applyFill="1" applyBorder="1"/>
    <xf numFmtId="0" fontId="1" fillId="2" borderId="4" xfId="0" applyFont="1" applyFill="1" applyBorder="1"/>
    <xf numFmtId="0" fontId="0" fillId="8" borderId="0" xfId="0" applyFill="1"/>
    <xf numFmtId="0" fontId="0" fillId="12" borderId="0" xfId="0" applyFill="1"/>
    <xf numFmtId="0" fontId="1" fillId="13" borderId="2" xfId="0" applyFont="1" applyFill="1" applyBorder="1"/>
    <xf numFmtId="0" fontId="1" fillId="12" borderId="0" xfId="0" applyFont="1" applyFill="1"/>
    <xf numFmtId="9" fontId="5" fillId="12" borderId="0" xfId="1" applyFont="1" applyFill="1" applyBorder="1"/>
    <xf numFmtId="0" fontId="0" fillId="12" borderId="16" xfId="0" applyFill="1" applyBorder="1"/>
    <xf numFmtId="0" fontId="0" fillId="12" borderId="8" xfId="0" applyFill="1" applyBorder="1"/>
    <xf numFmtId="0" fontId="0" fillId="8" borderId="16" xfId="0" applyFill="1" applyBorder="1"/>
    <xf numFmtId="0" fontId="1" fillId="14" borderId="1" xfId="0" applyFont="1" applyFill="1" applyBorder="1"/>
    <xf numFmtId="0" fontId="0" fillId="12" borderId="18" xfId="0" applyFill="1" applyBorder="1"/>
    <xf numFmtId="0" fontId="1" fillId="13" borderId="7" xfId="0" applyFont="1" applyFill="1" applyBorder="1"/>
    <xf numFmtId="0" fontId="0" fillId="13" borderId="5" xfId="0" applyFill="1" applyBorder="1"/>
    <xf numFmtId="0" fontId="0" fillId="13" borderId="3" xfId="0" applyFill="1" applyBorder="1"/>
    <xf numFmtId="0" fontId="0" fillId="12" borderId="7" xfId="0" applyFill="1" applyBorder="1"/>
    <xf numFmtId="0" fontId="0" fillId="12" borderId="5" xfId="0" applyFill="1" applyBorder="1"/>
    <xf numFmtId="0" fontId="0" fillId="12" borderId="6" xfId="0" applyFill="1" applyBorder="1"/>
    <xf numFmtId="0" fontId="0" fillId="12" borderId="2" xfId="0" applyFill="1" applyBorder="1"/>
    <xf numFmtId="0" fontId="0" fillId="12" borderId="3" xfId="0" applyFill="1" applyBorder="1"/>
    <xf numFmtId="0" fontId="0" fillId="12" borderId="4" xfId="0" applyFill="1" applyBorder="1"/>
    <xf numFmtId="0" fontId="1" fillId="14" borderId="2" xfId="0" applyFont="1" applyFill="1" applyBorder="1"/>
    <xf numFmtId="0" fontId="0" fillId="14" borderId="4" xfId="0" applyFill="1" applyBorder="1"/>
    <xf numFmtId="10" fontId="0" fillId="8" borderId="9" xfId="0" applyNumberFormat="1" applyFill="1" applyBorder="1"/>
    <xf numFmtId="2" fontId="0" fillId="12" borderId="1" xfId="0" applyNumberFormat="1" applyFill="1" applyBorder="1"/>
    <xf numFmtId="2" fontId="1" fillId="14" borderId="1" xfId="0" applyNumberFormat="1" applyFont="1" applyFill="1" applyBorder="1"/>
    <xf numFmtId="2" fontId="1" fillId="2" borderId="0" xfId="0" applyNumberFormat="1" applyFont="1" applyFill="1"/>
    <xf numFmtId="10" fontId="1" fillId="2" borderId="0" xfId="0" applyNumberFormat="1" applyFont="1" applyFill="1"/>
    <xf numFmtId="0" fontId="1" fillId="15" borderId="0" xfId="0" applyFont="1" applyFill="1"/>
    <xf numFmtId="0" fontId="0" fillId="8" borderId="17" xfId="0" applyFill="1" applyBorder="1"/>
    <xf numFmtId="9" fontId="0" fillId="8" borderId="14" xfId="0" applyNumberFormat="1" applyFill="1" applyBorder="1"/>
    <xf numFmtId="0" fontId="0" fillId="8" borderId="19" xfId="0" applyFill="1" applyBorder="1"/>
    <xf numFmtId="0" fontId="0" fillId="8" borderId="14" xfId="0" applyFill="1" applyBorder="1"/>
    <xf numFmtId="0" fontId="0" fillId="8" borderId="15" xfId="0" applyFill="1" applyBorder="1"/>
    <xf numFmtId="0" fontId="17" fillId="8" borderId="19" xfId="0" applyFont="1" applyFill="1" applyBorder="1"/>
    <xf numFmtId="0" fontId="0" fillId="12" borderId="18" xfId="0" applyFill="1" applyBorder="1" applyAlignment="1">
      <alignment horizontal="center"/>
    </xf>
    <xf numFmtId="0" fontId="28" fillId="12" borderId="2" xfId="0" applyFont="1" applyFill="1" applyBorder="1" applyAlignment="1">
      <alignment horizontal="center"/>
    </xf>
    <xf numFmtId="0" fontId="28" fillId="12" borderId="3" xfId="0" applyFont="1" applyFill="1" applyBorder="1" applyAlignment="1">
      <alignment horizontal="center"/>
    </xf>
    <xf numFmtId="0" fontId="28" fillId="12" borderId="1" xfId="0" applyFont="1" applyFill="1" applyBorder="1" applyAlignment="1">
      <alignment horizontal="center"/>
    </xf>
    <xf numFmtId="0" fontId="28" fillId="12" borderId="4" xfId="0" applyFont="1" applyFill="1" applyBorder="1" applyAlignment="1">
      <alignment horizontal="center"/>
    </xf>
    <xf numFmtId="2" fontId="1" fillId="3" borderId="0" xfId="0" applyNumberFormat="1" applyFont="1" applyFill="1"/>
    <xf numFmtId="2" fontId="0" fillId="10" borderId="0" xfId="0" applyNumberFormat="1" applyFill="1"/>
    <xf numFmtId="0" fontId="22" fillId="10" borderId="4" xfId="0" applyFont="1" applyFill="1" applyBorder="1"/>
    <xf numFmtId="2" fontId="0" fillId="13" borderId="0" xfId="0" applyNumberFormat="1" applyFill="1"/>
    <xf numFmtId="0" fontId="1" fillId="12" borderId="2" xfId="0" applyFont="1" applyFill="1" applyBorder="1"/>
    <xf numFmtId="0" fontId="1" fillId="12" borderId="1" xfId="0" applyFont="1" applyFill="1" applyBorder="1"/>
    <xf numFmtId="0" fontId="25" fillId="12" borderId="0" xfId="0" applyFont="1" applyFill="1" applyAlignment="1">
      <alignment wrapText="1"/>
    </xf>
    <xf numFmtId="2" fontId="1" fillId="12" borderId="8" xfId="0" applyNumberFormat="1" applyFont="1" applyFill="1" applyBorder="1"/>
    <xf numFmtId="10" fontId="0" fillId="12" borderId="8" xfId="1" applyNumberFormat="1" applyFont="1" applyFill="1" applyBorder="1"/>
    <xf numFmtId="43" fontId="0" fillId="12" borderId="8" xfId="0" applyNumberFormat="1" applyFill="1" applyBorder="1"/>
    <xf numFmtId="10" fontId="0" fillId="12" borderId="8" xfId="0" applyNumberFormat="1" applyFill="1" applyBorder="1"/>
    <xf numFmtId="2" fontId="1" fillId="12" borderId="0" xfId="0" applyNumberFormat="1" applyFont="1" applyFill="1"/>
    <xf numFmtId="10" fontId="0" fillId="12" borderId="0" xfId="0" applyNumberFormat="1" applyFill="1"/>
    <xf numFmtId="43" fontId="0" fillId="12" borderId="0" xfId="0" applyNumberFormat="1" applyFill="1"/>
    <xf numFmtId="2" fontId="1" fillId="12" borderId="16" xfId="0" applyNumberFormat="1" applyFont="1" applyFill="1" applyBorder="1"/>
    <xf numFmtId="9" fontId="0" fillId="12" borderId="16" xfId="0" applyNumberFormat="1" applyFill="1" applyBorder="1"/>
    <xf numFmtId="43" fontId="0" fillId="12" borderId="16" xfId="0" applyNumberFormat="1" applyFill="1" applyBorder="1"/>
    <xf numFmtId="0" fontId="0" fillId="12" borderId="1" xfId="0" applyFill="1" applyBorder="1"/>
    <xf numFmtId="0" fontId="1" fillId="13" borderId="17" xfId="0" applyFont="1" applyFill="1" applyBorder="1"/>
    <xf numFmtId="0" fontId="19" fillId="13" borderId="17" xfId="0" applyFont="1" applyFill="1" applyBorder="1"/>
    <xf numFmtId="0" fontId="19" fillId="13" borderId="1" xfId="0" applyFont="1" applyFill="1" applyBorder="1"/>
    <xf numFmtId="0" fontId="1" fillId="13" borderId="1" xfId="0" applyFont="1" applyFill="1" applyBorder="1"/>
    <xf numFmtId="10" fontId="0" fillId="0" borderId="1" xfId="0" applyNumberFormat="1" applyBorder="1" applyAlignment="1">
      <alignment horizontal="center" vertical="center"/>
    </xf>
    <xf numFmtId="9" fontId="1" fillId="14" borderId="9" xfId="0" applyNumberFormat="1" applyFont="1" applyFill="1" applyBorder="1" applyAlignment="1">
      <alignment horizontal="center"/>
    </xf>
    <xf numFmtId="0" fontId="0" fillId="12" borderId="20" xfId="0" applyFill="1" applyBorder="1"/>
    <xf numFmtId="0" fontId="0" fillId="12" borderId="21" xfId="0" applyFill="1" applyBorder="1"/>
    <xf numFmtId="0" fontId="0" fillId="12" borderId="22" xfId="0" applyFill="1" applyBorder="1"/>
    <xf numFmtId="0" fontId="4" fillId="12" borderId="0" xfId="0" applyFont="1" applyFill="1"/>
    <xf numFmtId="0" fontId="6" fillId="12" borderId="0" xfId="3" applyFill="1"/>
    <xf numFmtId="0" fontId="1" fillId="12" borderId="3" xfId="0" applyFont="1" applyFill="1" applyBorder="1"/>
    <xf numFmtId="0" fontId="2" fillId="12" borderId="3" xfId="0" applyFont="1" applyFill="1" applyBorder="1"/>
    <xf numFmtId="0" fontId="1" fillId="12" borderId="27" xfId="0" applyFont="1" applyFill="1" applyBorder="1"/>
    <xf numFmtId="0" fontId="0" fillId="12" borderId="1" xfId="0" applyFill="1" applyBorder="1" applyAlignment="1">
      <alignment horizontal="center"/>
    </xf>
    <xf numFmtId="0" fontId="0" fillId="12" borderId="24" xfId="0" applyFill="1" applyBorder="1"/>
    <xf numFmtId="0" fontId="0" fillId="12" borderId="26" xfId="0" applyFill="1" applyBorder="1"/>
    <xf numFmtId="0" fontId="1" fillId="12" borderId="25" xfId="0" applyFont="1" applyFill="1" applyBorder="1"/>
    <xf numFmtId="0" fontId="1" fillId="12" borderId="14" xfId="0" applyFont="1" applyFill="1" applyBorder="1"/>
    <xf numFmtId="0" fontId="1" fillId="12" borderId="15" xfId="0" applyFont="1" applyFill="1" applyBorder="1"/>
    <xf numFmtId="0" fontId="1" fillId="12" borderId="19" xfId="0" applyFont="1" applyFill="1" applyBorder="1"/>
    <xf numFmtId="0" fontId="0" fillId="12" borderId="11" xfId="0" applyFill="1" applyBorder="1"/>
    <xf numFmtId="0" fontId="0" fillId="12" borderId="12" xfId="0" applyFill="1" applyBorder="1"/>
    <xf numFmtId="0" fontId="0" fillId="12" borderId="13" xfId="0" applyFill="1" applyBorder="1"/>
    <xf numFmtId="0" fontId="27" fillId="12" borderId="11" xfId="0" applyFont="1" applyFill="1" applyBorder="1"/>
    <xf numFmtId="2" fontId="0" fillId="12" borderId="0" xfId="0" applyNumberFormat="1" applyFill="1"/>
    <xf numFmtId="9" fontId="0" fillId="12" borderId="7" xfId="0" applyNumberFormat="1" applyFill="1" applyBorder="1"/>
    <xf numFmtId="2" fontId="0" fillId="12" borderId="5" xfId="0" applyNumberFormat="1" applyFill="1" applyBorder="1"/>
    <xf numFmtId="2" fontId="2" fillId="12" borderId="5" xfId="1" applyNumberFormat="1" applyFont="1" applyFill="1" applyBorder="1"/>
    <xf numFmtId="10" fontId="0" fillId="12" borderId="3" xfId="0" applyNumberFormat="1" applyFill="1" applyBorder="1"/>
    <xf numFmtId="0" fontId="11" fillId="12" borderId="0" xfId="0" applyFont="1" applyFill="1"/>
    <xf numFmtId="9" fontId="16" fillId="12" borderId="0" xfId="1" applyFont="1" applyFill="1" applyBorder="1" applyAlignment="1" applyProtection="1">
      <protection locked="0"/>
    </xf>
    <xf numFmtId="0" fontId="11" fillId="12" borderId="0" xfId="0" applyFont="1" applyFill="1" applyAlignment="1">
      <alignment horizontal="center"/>
    </xf>
    <xf numFmtId="168" fontId="0" fillId="12" borderId="0" xfId="1" applyNumberFormat="1" applyFont="1" applyFill="1"/>
    <xf numFmtId="0" fontId="19" fillId="12" borderId="0" xfId="0" applyFont="1" applyFill="1"/>
    <xf numFmtId="9" fontId="0" fillId="12" borderId="0" xfId="0" applyNumberFormat="1" applyFill="1"/>
    <xf numFmtId="8" fontId="1" fillId="12" borderId="0" xfId="0" applyNumberFormat="1" applyFont="1" applyFill="1"/>
    <xf numFmtId="0" fontId="0" fillId="10" borderId="1" xfId="0" applyFill="1" applyBorder="1" applyAlignment="1">
      <alignment horizontal="left" wrapText="1"/>
    </xf>
    <xf numFmtId="0" fontId="0" fillId="10" borderId="4" xfId="0" applyFill="1" applyBorder="1" applyAlignment="1">
      <alignment horizontal="left" wrapText="1"/>
    </xf>
    <xf numFmtId="0" fontId="1" fillId="14" borderId="1" xfId="0" applyFont="1" applyFill="1" applyBorder="1" applyAlignment="1">
      <alignment horizontal="left"/>
    </xf>
    <xf numFmtId="0" fontId="0" fillId="12" borderId="15" xfId="0" applyFill="1" applyBorder="1" applyAlignment="1">
      <alignment horizontal="left"/>
    </xf>
    <xf numFmtId="0" fontId="0" fillId="12" borderId="15" xfId="0" applyFill="1" applyBorder="1" applyAlignment="1">
      <alignment horizontal="left" wrapText="1"/>
    </xf>
    <xf numFmtId="0" fontId="0" fillId="10" borderId="1" xfId="0" applyFill="1" applyBorder="1" applyAlignment="1">
      <alignment horizontal="left"/>
    </xf>
    <xf numFmtId="0" fontId="1" fillId="14" borderId="4" xfId="0" applyFont="1" applyFill="1" applyBorder="1" applyAlignment="1">
      <alignment horizontal="left"/>
    </xf>
    <xf numFmtId="0" fontId="19" fillId="10" borderId="42" xfId="0" applyFont="1" applyFill="1" applyBorder="1"/>
    <xf numFmtId="0" fontId="0" fillId="12" borderId="14" xfId="0" applyFill="1" applyBorder="1"/>
    <xf numFmtId="9" fontId="0" fillId="12" borderId="2" xfId="0" applyNumberFormat="1" applyFill="1" applyBorder="1"/>
    <xf numFmtId="0" fontId="0" fillId="12" borderId="15" xfId="0" applyFill="1" applyBorder="1"/>
    <xf numFmtId="0" fontId="0" fillId="12" borderId="19" xfId="0" applyFill="1" applyBorder="1"/>
    <xf numFmtId="0" fontId="0" fillId="12" borderId="2" xfId="0" applyFill="1" applyBorder="1" applyAlignment="1">
      <alignment horizontal="right"/>
    </xf>
    <xf numFmtId="0" fontId="0" fillId="12" borderId="3" xfId="0" applyFill="1" applyBorder="1" applyAlignment="1">
      <alignment horizontal="right"/>
    </xf>
    <xf numFmtId="0" fontId="1" fillId="12" borderId="18" xfId="0" applyFont="1" applyFill="1" applyBorder="1"/>
    <xf numFmtId="0" fontId="1" fillId="12" borderId="23" xfId="0" applyFont="1" applyFill="1" applyBorder="1"/>
    <xf numFmtId="0" fontId="1" fillId="12" borderId="10" xfId="0" applyFont="1" applyFill="1" applyBorder="1"/>
    <xf numFmtId="0" fontId="1" fillId="0" borderId="9" xfId="0" applyFont="1" applyBorder="1"/>
    <xf numFmtId="9" fontId="0" fillId="8" borderId="3" xfId="0" applyNumberFormat="1" applyFill="1" applyBorder="1"/>
    <xf numFmtId="10" fontId="0" fillId="8" borderId="3" xfId="0" applyNumberFormat="1" applyFill="1" applyBorder="1"/>
    <xf numFmtId="9" fontId="1" fillId="12" borderId="6" xfId="0" applyNumberFormat="1" applyFont="1" applyFill="1" applyBorder="1"/>
    <xf numFmtId="9" fontId="1" fillId="12" borderId="4" xfId="0" applyNumberFormat="1" applyFont="1" applyFill="1" applyBorder="1"/>
    <xf numFmtId="0" fontId="1" fillId="2" borderId="17" xfId="0" applyFont="1" applyFill="1" applyBorder="1"/>
    <xf numFmtId="164" fontId="0" fillId="8" borderId="1" xfId="0" applyNumberFormat="1" applyFill="1" applyBorder="1"/>
    <xf numFmtId="0" fontId="1" fillId="12" borderId="8" xfId="0" applyFont="1" applyFill="1" applyBorder="1"/>
    <xf numFmtId="164" fontId="0" fillId="8" borderId="14" xfId="0" applyNumberFormat="1" applyFill="1" applyBorder="1"/>
    <xf numFmtId="2" fontId="0" fillId="0" borderId="43" xfId="0" applyNumberFormat="1" applyBorder="1"/>
    <xf numFmtId="2" fontId="0" fillId="0" borderId="44" xfId="0" applyNumberFormat="1" applyBorder="1"/>
    <xf numFmtId="2" fontId="0" fillId="0" borderId="18" xfId="0" applyNumberFormat="1" applyBorder="1"/>
    <xf numFmtId="2" fontId="0" fillId="0" borderId="9" xfId="0" applyNumberFormat="1" applyBorder="1"/>
    <xf numFmtId="0" fontId="31" fillId="0" borderId="0" xfId="0" applyFont="1"/>
    <xf numFmtId="9" fontId="0" fillId="8" borderId="15" xfId="0" applyNumberFormat="1" applyFill="1" applyBorder="1"/>
    <xf numFmtId="0" fontId="1" fillId="16" borderId="0" xfId="0" applyFont="1" applyFill="1"/>
    <xf numFmtId="0" fontId="0" fillId="16" borderId="0" xfId="0" applyFill="1"/>
    <xf numFmtId="2" fontId="0" fillId="16" borderId="0" xfId="0" applyNumberFormat="1" applyFill="1"/>
    <xf numFmtId="167" fontId="0" fillId="16" borderId="0" xfId="0" applyNumberFormat="1" applyFill="1"/>
    <xf numFmtId="0" fontId="1" fillId="17" borderId="14" xfId="0" applyFont="1" applyFill="1" applyBorder="1"/>
    <xf numFmtId="0" fontId="1" fillId="17" borderId="17" xfId="0" applyFont="1" applyFill="1" applyBorder="1"/>
    <xf numFmtId="0" fontId="1" fillId="17" borderId="19" xfId="0" applyFont="1" applyFill="1" applyBorder="1"/>
    <xf numFmtId="0" fontId="1" fillId="12" borderId="0" xfId="0" applyFont="1" applyFill="1" applyAlignment="1">
      <alignment horizontal="center"/>
    </xf>
    <xf numFmtId="164" fontId="2" fillId="7" borderId="1" xfId="0" applyNumberFormat="1" applyFont="1" applyFill="1" applyBorder="1"/>
    <xf numFmtId="0" fontId="0" fillId="12" borderId="14" xfId="0" applyFill="1" applyBorder="1" applyAlignment="1">
      <alignment wrapText="1"/>
    </xf>
    <xf numFmtId="0" fontId="0" fillId="12" borderId="15" xfId="0" applyFill="1" applyBorder="1" applyAlignment="1">
      <alignment wrapText="1"/>
    </xf>
    <xf numFmtId="9" fontId="3" fillId="12" borderId="2" xfId="0" applyNumberFormat="1" applyFont="1" applyFill="1" applyBorder="1"/>
    <xf numFmtId="9" fontId="3" fillId="12" borderId="3" xfId="0" applyNumberFormat="1" applyFont="1" applyFill="1" applyBorder="1"/>
    <xf numFmtId="10" fontId="0" fillId="12" borderId="4" xfId="0" applyNumberFormat="1" applyFill="1" applyBorder="1"/>
    <xf numFmtId="9" fontId="0" fillId="12" borderId="4" xfId="1" applyFont="1" applyFill="1" applyBorder="1"/>
    <xf numFmtId="0" fontId="0" fillId="2" borderId="0" xfId="0" applyFill="1"/>
    <xf numFmtId="0" fontId="1" fillId="7" borderId="17" xfId="0" applyFont="1" applyFill="1" applyBorder="1"/>
    <xf numFmtId="2" fontId="1" fillId="0" borderId="0" xfId="0" applyNumberFormat="1" applyFont="1"/>
    <xf numFmtId="2" fontId="0" fillId="8" borderId="4" xfId="0" applyNumberFormat="1" applyFill="1" applyBorder="1"/>
    <xf numFmtId="0" fontId="22" fillId="8" borderId="2" xfId="0" applyFont="1" applyFill="1" applyBorder="1"/>
    <xf numFmtId="0" fontId="22" fillId="8" borderId="3" xfId="0" applyFont="1" applyFill="1" applyBorder="1"/>
    <xf numFmtId="0" fontId="1" fillId="0" borderId="0" xfId="0" applyFont="1" applyAlignment="1">
      <alignment horizontal="center"/>
    </xf>
    <xf numFmtId="0" fontId="32" fillId="12" borderId="25" xfId="0" applyFont="1" applyFill="1" applyBorder="1"/>
    <xf numFmtId="0" fontId="33" fillId="12" borderId="12" xfId="0" applyFont="1" applyFill="1" applyBorder="1"/>
    <xf numFmtId="0" fontId="33" fillId="12" borderId="25" xfId="0" applyFont="1" applyFill="1" applyBorder="1"/>
    <xf numFmtId="0" fontId="32" fillId="12" borderId="5" xfId="0" applyFont="1" applyFill="1" applyBorder="1"/>
    <xf numFmtId="0" fontId="32" fillId="12" borderId="45" xfId="0" applyFont="1" applyFill="1" applyBorder="1"/>
    <xf numFmtId="0" fontId="33" fillId="12" borderId="46" xfId="0" applyFont="1" applyFill="1" applyBorder="1"/>
    <xf numFmtId="0" fontId="33" fillId="12" borderId="13" xfId="0" applyFont="1" applyFill="1" applyBorder="1"/>
    <xf numFmtId="10" fontId="32" fillId="7" borderId="5" xfId="0" applyNumberFormat="1" applyFont="1" applyFill="1" applyBorder="1"/>
    <xf numFmtId="164" fontId="2" fillId="0" borderId="9" xfId="0" applyNumberFormat="1" applyFont="1" applyBorder="1"/>
    <xf numFmtId="164" fontId="2" fillId="0" borderId="1" xfId="0" applyNumberFormat="1" applyFont="1" applyBorder="1"/>
    <xf numFmtId="0" fontId="1" fillId="18" borderId="1" xfId="0" applyFont="1" applyFill="1" applyBorder="1"/>
    <xf numFmtId="0" fontId="0" fillId="18" borderId="18" xfId="0" applyFill="1" applyBorder="1"/>
    <xf numFmtId="0" fontId="0" fillId="18" borderId="1" xfId="0" applyFill="1" applyBorder="1"/>
    <xf numFmtId="0" fontId="28" fillId="18" borderId="1" xfId="0" applyFont="1" applyFill="1" applyBorder="1" applyAlignment="1">
      <alignment horizontal="center"/>
    </xf>
    <xf numFmtId="0" fontId="1" fillId="12" borderId="4" xfId="0" applyFont="1" applyFill="1" applyBorder="1"/>
    <xf numFmtId="0" fontId="33" fillId="0" borderId="26" xfId="0" applyFont="1" applyBorder="1"/>
    <xf numFmtId="0" fontId="33" fillId="0" borderId="13" xfId="0" applyFont="1" applyBorder="1"/>
    <xf numFmtId="10" fontId="32" fillId="0" borderId="6" xfId="0" applyNumberFormat="1" applyFont="1" applyBorder="1"/>
    <xf numFmtId="10" fontId="32" fillId="0" borderId="5" xfId="0" applyNumberFormat="1" applyFont="1" applyBorder="1"/>
    <xf numFmtId="9" fontId="32" fillId="7" borderId="47" xfId="1" applyFont="1" applyFill="1" applyBorder="1"/>
    <xf numFmtId="9" fontId="1" fillId="0" borderId="0" xfId="1" applyFont="1" applyFill="1" applyBorder="1"/>
    <xf numFmtId="0" fontId="1" fillId="0" borderId="5" xfId="0" applyFont="1" applyBorder="1"/>
    <xf numFmtId="0" fontId="1" fillId="0" borderId="6" xfId="0" applyFont="1" applyBorder="1"/>
    <xf numFmtId="0" fontId="32" fillId="0" borderId="5" xfId="0" applyFont="1" applyBorder="1"/>
    <xf numFmtId="0" fontId="7" fillId="0" borderId="5" xfId="0" applyFont="1" applyBorder="1"/>
    <xf numFmtId="164" fontId="0" fillId="0" borderId="5" xfId="0" applyNumberFormat="1" applyBorder="1"/>
    <xf numFmtId="0" fontId="1" fillId="0" borderId="18" xfId="0" applyFont="1" applyBorder="1" applyAlignment="1">
      <alignment horizontal="center"/>
    </xf>
    <xf numFmtId="0" fontId="1" fillId="12" borderId="17" xfId="0" applyFont="1" applyFill="1" applyBorder="1"/>
    <xf numFmtId="0" fontId="1" fillId="0" borderId="1" xfId="0" applyFont="1" applyBorder="1" applyAlignment="1">
      <alignment horizontal="center"/>
    </xf>
    <xf numFmtId="0" fontId="1" fillId="2" borderId="1" xfId="0" applyFont="1" applyFill="1" applyBorder="1" applyAlignment="1">
      <alignment horizontal="left"/>
    </xf>
    <xf numFmtId="0" fontId="0" fillId="8" borderId="1" xfId="0" applyFill="1" applyBorder="1" applyAlignment="1">
      <alignment horizontal="right"/>
    </xf>
    <xf numFmtId="0" fontId="1" fillId="13" borderId="1" xfId="0" applyFont="1" applyFill="1" applyBorder="1" applyAlignment="1">
      <alignment horizontal="center"/>
    </xf>
    <xf numFmtId="0" fontId="0" fillId="12" borderId="9" xfId="0" applyFill="1" applyBorder="1"/>
    <xf numFmtId="0" fontId="32" fillId="8" borderId="1" xfId="0" applyFont="1" applyFill="1" applyBorder="1" applyAlignment="1">
      <alignment horizontal="right" vertical="center"/>
    </xf>
    <xf numFmtId="171" fontId="0" fillId="0" borderId="0" xfId="0" applyNumberFormat="1"/>
    <xf numFmtId="0" fontId="0" fillId="0" borderId="1" xfId="0" applyBorder="1" applyAlignment="1">
      <alignment horizontal="left"/>
    </xf>
    <xf numFmtId="164" fontId="1" fillId="18" borderId="17" xfId="0" applyNumberFormat="1" applyFont="1" applyFill="1" applyBorder="1"/>
    <xf numFmtId="0" fontId="1" fillId="13" borderId="17" xfId="0" applyFont="1" applyFill="1" applyBorder="1" applyAlignment="1">
      <alignment horizontal="center"/>
    </xf>
    <xf numFmtId="0" fontId="1" fillId="13" borderId="18" xfId="0" applyFont="1" applyFill="1" applyBorder="1" applyAlignment="1">
      <alignment horizontal="center"/>
    </xf>
    <xf numFmtId="0" fontId="30" fillId="0" borderId="0" xfId="0" applyFont="1" applyAlignment="1">
      <alignment horizontal="center" wrapText="1"/>
    </xf>
    <xf numFmtId="0" fontId="1" fillId="13" borderId="7" xfId="0" applyFont="1" applyFill="1" applyBorder="1" applyAlignment="1">
      <alignment horizontal="center" wrapText="1"/>
    </xf>
    <xf numFmtId="0" fontId="1" fillId="13" borderId="5" xfId="0" applyFont="1" applyFill="1" applyBorder="1" applyAlignment="1">
      <alignment horizontal="center" wrapText="1"/>
    </xf>
    <xf numFmtId="0" fontId="0" fillId="10" borderId="2" xfId="0" applyFill="1" applyBorder="1" applyAlignment="1">
      <alignment horizontal="left" vertical="center" wrapText="1"/>
    </xf>
    <xf numFmtId="0" fontId="0" fillId="10" borderId="3" xfId="0" applyFill="1" applyBorder="1" applyAlignment="1">
      <alignment horizontal="left" vertical="center" wrapText="1"/>
    </xf>
    <xf numFmtId="0" fontId="0" fillId="10" borderId="4" xfId="0" applyFill="1" applyBorder="1" applyAlignment="1">
      <alignment horizontal="left" vertical="center" wrapText="1"/>
    </xf>
    <xf numFmtId="10" fontId="0" fillId="0" borderId="2" xfId="0" applyNumberFormat="1" applyBorder="1" applyAlignment="1">
      <alignment horizontal="center" vertical="center"/>
    </xf>
    <xf numFmtId="10" fontId="0" fillId="0" borderId="3" xfId="0" applyNumberFormat="1" applyBorder="1" applyAlignment="1">
      <alignment horizontal="center" vertical="center"/>
    </xf>
    <xf numFmtId="10" fontId="0" fillId="0" borderId="4" xfId="0" applyNumberFormat="1" applyBorder="1" applyAlignment="1">
      <alignment horizontal="center" vertical="center"/>
    </xf>
    <xf numFmtId="0" fontId="0" fillId="12" borderId="2" xfId="0" applyFill="1" applyBorder="1" applyAlignment="1">
      <alignment horizontal="right" vertical="center"/>
    </xf>
    <xf numFmtId="0" fontId="0" fillId="12" borderId="3" xfId="0" applyFill="1" applyBorder="1" applyAlignment="1">
      <alignment horizontal="right" vertical="center"/>
    </xf>
    <xf numFmtId="0" fontId="0" fillId="12" borderId="4" xfId="0" applyFill="1" applyBorder="1" applyAlignment="1">
      <alignment horizontal="right" vertical="center"/>
    </xf>
    <xf numFmtId="0" fontId="1" fillId="15" borderId="15" xfId="0" applyFont="1" applyFill="1" applyBorder="1" applyAlignment="1">
      <alignment horizontal="center"/>
    </xf>
    <xf numFmtId="0" fontId="1" fillId="15" borderId="0" xfId="0" applyFont="1" applyFill="1" applyAlignment="1">
      <alignment horizontal="center"/>
    </xf>
    <xf numFmtId="0" fontId="25" fillId="15" borderId="15" xfId="0" applyFont="1" applyFill="1" applyBorder="1" applyAlignment="1">
      <alignment horizontal="center" wrapText="1"/>
    </xf>
    <xf numFmtId="0" fontId="25" fillId="15" borderId="0" xfId="0" applyFont="1" applyFill="1" applyAlignment="1">
      <alignment horizontal="center" wrapText="1"/>
    </xf>
    <xf numFmtId="0" fontId="1" fillId="0" borderId="17" xfId="0" applyFont="1" applyBorder="1" applyAlignment="1">
      <alignment horizontal="center"/>
    </xf>
    <xf numFmtId="0" fontId="1" fillId="0" borderId="18" xfId="0" applyFont="1" applyBorder="1" applyAlignment="1">
      <alignment horizontal="center"/>
    </xf>
    <xf numFmtId="0" fontId="1" fillId="12" borderId="0" xfId="0" applyFont="1" applyFill="1" applyAlignment="1">
      <alignment horizontal="center"/>
    </xf>
    <xf numFmtId="0" fontId="0" fillId="12" borderId="0" xfId="0" applyFill="1" applyAlignment="1">
      <alignment horizontal="left" wrapText="1"/>
    </xf>
    <xf numFmtId="0" fontId="1" fillId="0" borderId="0" xfId="0" applyFont="1" applyAlignment="1">
      <alignment horizontal="center" wrapText="1"/>
    </xf>
    <xf numFmtId="0" fontId="1" fillId="5" borderId="0" xfId="0" applyFont="1" applyFill="1" applyAlignment="1">
      <alignment horizontal="center" wrapText="1"/>
    </xf>
    <xf numFmtId="0" fontId="29" fillId="2" borderId="15" xfId="0" applyFont="1" applyFill="1" applyBorder="1" applyAlignment="1">
      <alignment horizontal="center"/>
    </xf>
    <xf numFmtId="0" fontId="29" fillId="2" borderId="0" xfId="0" applyFont="1" applyFill="1" applyAlignment="1">
      <alignment horizontal="center"/>
    </xf>
  </cellXfs>
  <cellStyles count="6">
    <cellStyle name="Comma" xfId="5" builtinId="3"/>
    <cellStyle name="Currency" xfId="2" builtinId="4"/>
    <cellStyle name="Hyperlink" xfId="3" builtinId="8"/>
    <cellStyle name="Normal" xfId="0" builtinId="0"/>
    <cellStyle name="Normal 2" xfId="4" xr:uid="{5A7AE44E-23D5-4B49-BE3E-22651E623051}"/>
    <cellStyle name="Percent" xfId="1" builtinId="5"/>
  </cellStyles>
  <dxfs count="0"/>
  <tableStyles count="0" defaultTableStyle="TableStyleMedium2" defaultPivotStyle="PivotStyleLight16"/>
  <colors>
    <mruColors>
      <color rgb="FF99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externalLink" Target="externalLinks/externalLink1.xml"/><Relationship Id="rId14" Type="http://schemas.openxmlformats.org/officeDocument/2006/relationships/customXml" Target="../customXml/item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Downloads/RE_Tariff_and_Financial_Analysis_Tool_v2_1.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Lookup_Tables"/>
      <sheetName val="Grid_Extension_Cost"/>
      <sheetName val="Generation_Distribution"/>
      <sheetName val="Load_Profiling"/>
      <sheetName val="Inputs-REC"/>
      <sheetName val="Inputs"/>
      <sheetName val="Introduction"/>
      <sheetName val="Inputs&amp;Summary"/>
      <sheetName val="Scenarios"/>
      <sheetName val="Tariff Chart"/>
      <sheetName val="Tariff Breakup Chart"/>
      <sheetName val="Sensitivity Chart"/>
      <sheetName val="Off-Grid Sensitivity"/>
      <sheetName val="Sensitivity"/>
      <sheetName val="REC-FIT"/>
      <sheetName val="Term Loan 1"/>
      <sheetName val="Term Loan 2"/>
      <sheetName val="Fuel"/>
      <sheetName val="Depreciation"/>
      <sheetName val="W Capital"/>
      <sheetName val="Tariff"/>
      <sheetName val="Carbon"/>
      <sheetName val="Profit Loss"/>
      <sheetName val="Cash Flows"/>
      <sheetName val="Balance Sheet"/>
      <sheetName val="IRR"/>
      <sheetName val="DSCR"/>
    </sheetNames>
    <sheetDataSet>
      <sheetData sheetId="0" refreshError="1"/>
      <sheetData sheetId="1" refreshError="1"/>
      <sheetData sheetId="2" refreshError="1"/>
      <sheetData sheetId="3" refreshError="1"/>
      <sheetData sheetId="4" refreshError="1"/>
      <sheetData sheetId="5" refreshError="1"/>
      <sheetData sheetId="6" refreshError="1"/>
      <sheetData sheetId="7">
        <row r="15">
          <cell r="D15" t="str">
            <v>CERC</v>
          </cell>
        </row>
        <row r="16">
          <cell r="D16" t="str">
            <v>Solar PV</v>
          </cell>
        </row>
      </sheetData>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www.solarmango.com/ask/2015/09/20/what-are-the-initial-investment-and-om-costs-required-for-a-mw-solar-plant-in-india-what-kind-of-financial-returns-can-we-expect-from-it/" TargetMode="External"/><Relationship Id="rId1" Type="http://schemas.openxmlformats.org/officeDocument/2006/relationships/hyperlink" Target="https://www.quora.com/Which-type-of-insurance-products-are-available-for-solar-power-generation-projects-in-India" TargetMode="External"/><Relationship Id="rId5" Type="http://schemas.openxmlformats.org/officeDocument/2006/relationships/comments" Target="../comments1.xml"/><Relationship Id="rId4"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hyperlink" Target="http://www.solarmango.com/ask/2015/09/20/what-are-the-initial-investment-and-om-costs-required-for-a-mw-solar-plant-in-india-what-kind-of-financial-returns-can-we-expect-from-it/"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8" Type="http://schemas.openxmlformats.org/officeDocument/2006/relationships/vmlDrawing" Target="../drawings/vmlDrawing2.vml"/><Relationship Id="rId3" Type="http://schemas.openxmlformats.org/officeDocument/2006/relationships/hyperlink" Target="https://ireda.in/forms/contentpage.aspx?lid=740" TargetMode="External"/><Relationship Id="rId7" Type="http://schemas.openxmlformats.org/officeDocument/2006/relationships/printerSettings" Target="../printerSettings/printerSettings3.bin"/><Relationship Id="rId2" Type="http://schemas.openxmlformats.org/officeDocument/2006/relationships/hyperlink" Target="http://www.cercind.gov.in/2019/orders/Draft%20RE%20Tariff%20Order%20for%20FY%202019-20.pdf" TargetMode="External"/><Relationship Id="rId1" Type="http://schemas.openxmlformats.org/officeDocument/2006/relationships/hyperlink" Target="http://www.cercind.gov.in/2019/orders/Draft%20RE%20Tariff%20Order%20for%20FY%202019-20.pdf" TargetMode="External"/><Relationship Id="rId6" Type="http://schemas.openxmlformats.org/officeDocument/2006/relationships/hyperlink" Target="https://home.kpmg/content/dam/kpmg/xx/pdf/2018/10/india-2018-v2.pdf" TargetMode="External"/><Relationship Id="rId5" Type="http://schemas.openxmlformats.org/officeDocument/2006/relationships/hyperlink" Target="http://www.mercindia.org.in/pdf/Order%2058%2042/RE%20Draft%20Order-52%20of%202019.pdf" TargetMode="External"/><Relationship Id="rId4" Type="http://schemas.openxmlformats.org/officeDocument/2006/relationships/hyperlink" Target="http://www.cercind.gov.in/2019/orders/1-SM-2019Suo-Motu.pdf" TargetMode="External"/><Relationship Id="rId9" Type="http://schemas.openxmlformats.org/officeDocument/2006/relationships/comments" Target="../comments2.xml"/></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hyperlink" Target="https://cleartax.in/s/additional-depreciation-income-tax-act" TargetMode="External"/><Relationship Id="rId1" Type="http://schemas.openxmlformats.org/officeDocument/2006/relationships/hyperlink" Target="http://www.cercind.gov.in/2019/orders/Draft%20RE%20Tariff%20Order%20for%20FY%202019-20.pdf" TargetMode="External"/></Relationships>
</file>

<file path=xl/worksheets/_rels/sheet7.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hyperlink" Target="https://cleartax.in/s/tax-planning-under-mat" TargetMode="External"/></Relationships>
</file>

<file path=xl/worksheets/_rels/sheet8.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3D48BE-6A1C-4380-8472-F426D3049E19}">
  <sheetPr>
    <tabColor theme="4" tint="-0.249977111117893"/>
  </sheetPr>
  <dimension ref="C4:J38"/>
  <sheetViews>
    <sheetView tabSelected="1" zoomScale="125" workbookViewId="0">
      <selection activeCell="E14" sqref="E14"/>
    </sheetView>
  </sheetViews>
  <sheetFormatPr defaultRowHeight="14.5" x14ac:dyDescent="0.35"/>
  <cols>
    <col min="1" max="2" width="8.7265625" style="185"/>
    <col min="3" max="3" width="49" style="185" bestFit="1" customWidth="1"/>
    <col min="4" max="4" width="10.08984375" style="185" customWidth="1"/>
    <col min="5" max="5" width="11.90625" style="185" bestFit="1" customWidth="1"/>
    <col min="6" max="7" width="8.7265625" style="185"/>
    <col min="8" max="8" width="172.453125" style="185" bestFit="1" customWidth="1"/>
    <col min="9" max="16384" width="8.7265625" style="185"/>
  </cols>
  <sheetData>
    <row r="4" spans="3:10" ht="15" thickBot="1" x14ac:dyDescent="0.4"/>
    <row r="5" spans="3:10" ht="15" thickBot="1" x14ac:dyDescent="0.4">
      <c r="C5" s="180" t="s">
        <v>260</v>
      </c>
      <c r="D5" s="193"/>
      <c r="E5" s="5" t="s">
        <v>30</v>
      </c>
      <c r="F5" s="179">
        <v>1</v>
      </c>
    </row>
    <row r="6" spans="3:10" ht="15" thickBot="1" x14ac:dyDescent="0.4">
      <c r="C6" s="180" t="s">
        <v>263</v>
      </c>
      <c r="D6" s="193"/>
      <c r="E6" s="5" t="s">
        <v>264</v>
      </c>
      <c r="F6" s="205">
        <v>3.5000000000000001E-3</v>
      </c>
      <c r="G6" s="185" t="s">
        <v>262</v>
      </c>
      <c r="H6" s="21" t="s">
        <v>265</v>
      </c>
    </row>
    <row r="7" spans="3:10" ht="15" thickBot="1" x14ac:dyDescent="0.4">
      <c r="C7" s="180" t="s">
        <v>261</v>
      </c>
      <c r="D7" s="217"/>
      <c r="E7" s="5" t="s">
        <v>30</v>
      </c>
      <c r="F7" s="179">
        <v>0</v>
      </c>
      <c r="J7" s="185" t="s">
        <v>262</v>
      </c>
    </row>
    <row r="8" spans="3:10" x14ac:dyDescent="0.35">
      <c r="H8" s="21" t="s">
        <v>286</v>
      </c>
    </row>
    <row r="9" spans="3:10" ht="15" thickBot="1" x14ac:dyDescent="0.4"/>
    <row r="10" spans="3:10" ht="15" thickBot="1" x14ac:dyDescent="0.4">
      <c r="C10" s="368" t="s">
        <v>256</v>
      </c>
      <c r="D10" s="369"/>
      <c r="E10" s="369"/>
      <c r="F10" s="369"/>
      <c r="G10" s="362" t="s">
        <v>270</v>
      </c>
    </row>
    <row r="11" spans="3:10" ht="15" thickBot="1" x14ac:dyDescent="0.4">
      <c r="C11" s="360" t="s">
        <v>323</v>
      </c>
      <c r="D11" s="357"/>
      <c r="E11" s="366" t="s">
        <v>15</v>
      </c>
      <c r="F11" s="361">
        <v>1</v>
      </c>
      <c r="G11" s="359"/>
    </row>
    <row r="12" spans="3:10" ht="16" thickBot="1" x14ac:dyDescent="0.4">
      <c r="C12" s="180" t="s">
        <v>18</v>
      </c>
      <c r="D12" s="76"/>
      <c r="E12" s="5" t="s">
        <v>19</v>
      </c>
      <c r="F12" s="211">
        <v>13.5</v>
      </c>
      <c r="G12" s="220">
        <v>1</v>
      </c>
    </row>
    <row r="13" spans="3:10" ht="16" thickBot="1" x14ac:dyDescent="0.4">
      <c r="C13" s="299" t="s">
        <v>253</v>
      </c>
      <c r="D13" s="358"/>
      <c r="E13" s="239" t="s">
        <v>19</v>
      </c>
      <c r="F13" s="300">
        <v>7.0000000000000001E-3</v>
      </c>
      <c r="G13" s="220"/>
    </row>
    <row r="14" spans="3:10" ht="16" thickBot="1" x14ac:dyDescent="0.4">
      <c r="C14" s="180" t="s">
        <v>287</v>
      </c>
      <c r="D14" s="301"/>
      <c r="E14" s="239" t="s">
        <v>19</v>
      </c>
      <c r="F14" s="302">
        <v>0</v>
      </c>
      <c r="G14" s="218"/>
    </row>
    <row r="15" spans="3:10" ht="15.5" x14ac:dyDescent="0.35">
      <c r="C15" s="181" t="s">
        <v>248</v>
      </c>
      <c r="D15" s="190"/>
      <c r="E15" s="6" t="s">
        <v>19</v>
      </c>
      <c r="F15" s="212">
        <v>0</v>
      </c>
      <c r="G15" s="218"/>
    </row>
    <row r="16" spans="3:10" ht="16" thickBot="1" x14ac:dyDescent="0.4">
      <c r="C16" s="182" t="s">
        <v>22</v>
      </c>
      <c r="D16" s="189"/>
      <c r="E16" s="4" t="s">
        <v>254</v>
      </c>
      <c r="F16" s="213">
        <v>350</v>
      </c>
      <c r="G16" s="221">
        <v>2</v>
      </c>
    </row>
    <row r="17" spans="3:7" ht="16" thickBot="1" x14ac:dyDescent="0.4">
      <c r="C17" s="180" t="s">
        <v>255</v>
      </c>
      <c r="D17" s="189"/>
      <c r="E17" s="4" t="s">
        <v>254</v>
      </c>
      <c r="F17" s="215">
        <v>4</v>
      </c>
      <c r="G17" s="219"/>
    </row>
    <row r="18" spans="3:7" ht="16" thickBot="1" x14ac:dyDescent="0.4">
      <c r="C18" s="180" t="s">
        <v>59</v>
      </c>
      <c r="E18" s="3" t="s">
        <v>19</v>
      </c>
      <c r="F18" s="215">
        <v>5.72</v>
      </c>
      <c r="G18" s="219"/>
    </row>
    <row r="19" spans="3:7" ht="16" thickBot="1" x14ac:dyDescent="0.4">
      <c r="C19" s="181" t="s">
        <v>318</v>
      </c>
      <c r="E19" s="5" t="s">
        <v>30</v>
      </c>
      <c r="F19" s="118">
        <v>0</v>
      </c>
      <c r="G19" s="219"/>
    </row>
    <row r="20" spans="3:7" ht="16" thickBot="1" x14ac:dyDescent="0.4">
      <c r="C20" s="181" t="s">
        <v>319</v>
      </c>
      <c r="E20" s="3" t="s">
        <v>19</v>
      </c>
      <c r="F20" s="308">
        <v>0</v>
      </c>
      <c r="G20" s="219"/>
    </row>
    <row r="21" spans="3:7" ht="15.5" x14ac:dyDescent="0.35">
      <c r="C21" s="181" t="s">
        <v>27</v>
      </c>
      <c r="D21" s="190"/>
      <c r="E21" s="6" t="s">
        <v>19</v>
      </c>
      <c r="F21" s="214">
        <v>80</v>
      </c>
      <c r="G21" s="218">
        <v>3</v>
      </c>
    </row>
    <row r="22" spans="3:7" ht="15.5" x14ac:dyDescent="0.35">
      <c r="C22" s="182" t="s">
        <v>35</v>
      </c>
      <c r="E22" s="3" t="s">
        <v>26</v>
      </c>
      <c r="F22" s="215">
        <v>13</v>
      </c>
      <c r="G22" s="219"/>
    </row>
    <row r="23" spans="3:7" ht="16" thickBot="1" x14ac:dyDescent="0.4">
      <c r="C23" s="183" t="s">
        <v>36</v>
      </c>
      <c r="D23" s="189"/>
      <c r="E23" s="4" t="s">
        <v>19</v>
      </c>
      <c r="F23" s="216">
        <v>9.5</v>
      </c>
      <c r="G23" s="221">
        <v>4</v>
      </c>
    </row>
    <row r="24" spans="3:7" ht="15.5" x14ac:dyDescent="0.35">
      <c r="C24" s="181" t="s">
        <v>257</v>
      </c>
      <c r="D24" s="184">
        <v>10</v>
      </c>
      <c r="E24" s="3" t="s">
        <v>49</v>
      </c>
      <c r="F24" s="215">
        <v>17</v>
      </c>
      <c r="G24" s="219"/>
    </row>
    <row r="25" spans="3:7" ht="16" thickBot="1" x14ac:dyDescent="0.4">
      <c r="C25" s="182" t="s">
        <v>258</v>
      </c>
      <c r="D25" s="191">
        <v>15</v>
      </c>
      <c r="E25" s="4" t="s">
        <v>48</v>
      </c>
      <c r="F25" s="215">
        <v>22</v>
      </c>
      <c r="G25" s="219"/>
    </row>
    <row r="26" spans="3:7" ht="16" thickBot="1" x14ac:dyDescent="0.4">
      <c r="C26" s="341" t="s">
        <v>317</v>
      </c>
      <c r="D26" s="342"/>
      <c r="E26" s="343" t="s">
        <v>19</v>
      </c>
      <c r="F26" s="367">
        <f>'Assumption for solar PV Power P'!$F$30</f>
        <v>0.13966399999999998</v>
      </c>
      <c r="G26" s="344">
        <v>5</v>
      </c>
    </row>
    <row r="27" spans="3:7" ht="15" thickBot="1" x14ac:dyDescent="0.4">
      <c r="C27" s="180" t="str">
        <f>Determination_of_Tariff!A$59</f>
        <v>Plant Capitalized in the 2nd half of the 1st Year(YES/NO)</v>
      </c>
      <c r="D27" s="358"/>
      <c r="E27" s="193"/>
      <c r="F27" s="364" t="s">
        <v>325</v>
      </c>
      <c r="G27" s="363"/>
    </row>
    <row r="28" spans="3:7" x14ac:dyDescent="0.35">
      <c r="C28" s="187"/>
      <c r="D28" s="187"/>
      <c r="F28" s="188"/>
    </row>
    <row r="29" spans="3:7" x14ac:dyDescent="0.35">
      <c r="C29" s="1" t="s">
        <v>220</v>
      </c>
      <c r="E29"/>
    </row>
    <row r="30" spans="3:7" x14ac:dyDescent="0.35">
      <c r="C30" s="11" t="s">
        <v>70</v>
      </c>
      <c r="D30" s="137">
        <f ca="1">'Assumption for solar PV Power P'!$D$67</f>
        <v>4.4111991595198337</v>
      </c>
      <c r="E30" s="11" t="s">
        <v>76</v>
      </c>
    </row>
    <row r="31" spans="3:7" x14ac:dyDescent="0.35">
      <c r="C31" s="9" t="s">
        <v>268</v>
      </c>
      <c r="D31" s="208">
        <f ca="1">Determination_of_Tariff!B25</f>
        <v>52.166841294764538</v>
      </c>
      <c r="E31" s="9" t="s">
        <v>271</v>
      </c>
    </row>
    <row r="32" spans="3:7" x14ac:dyDescent="0.35">
      <c r="C32" s="11" t="s">
        <v>210</v>
      </c>
      <c r="D32" s="139">
        <f ca="1">'Assumption for solar PV Power P'!$D$68</f>
        <v>3.9996371394883088</v>
      </c>
      <c r="E32" s="123" t="s">
        <v>76</v>
      </c>
    </row>
    <row r="33" spans="3:5" x14ac:dyDescent="0.35">
      <c r="C33" s="9" t="s">
        <v>269</v>
      </c>
      <c r="D33" s="208">
        <f ca="1">Determination_of_Tariff!B26</f>
        <v>47.29970884587172</v>
      </c>
      <c r="E33" s="9" t="s">
        <v>271</v>
      </c>
    </row>
    <row r="36" spans="3:5" x14ac:dyDescent="0.35">
      <c r="D36" s="210" t="s">
        <v>250</v>
      </c>
      <c r="E36" s="210" t="s">
        <v>236</v>
      </c>
    </row>
    <row r="37" spans="3:5" x14ac:dyDescent="0.35">
      <c r="C37" s="11" t="str">
        <f>RESULT!$B$4</f>
        <v>CERC Tariff</v>
      </c>
      <c r="D37" s="209">
        <f ca="1">RESULT!$D$4</f>
        <v>9.3365412618292565E-2</v>
      </c>
      <c r="E37" s="209">
        <f ca="1">RESULT!$G$4</f>
        <v>9.8462507736625238E-2</v>
      </c>
    </row>
    <row r="38" spans="3:5" x14ac:dyDescent="0.35">
      <c r="C38" s="11" t="str">
        <f>RESULT!$B$5</f>
        <v>CERF Tariff with AD</v>
      </c>
      <c r="D38" s="209">
        <f ca="1">RESULT!$D$5</f>
        <v>9.5825831229487957E-2</v>
      </c>
      <c r="E38" s="209">
        <f ca="1">RESULT!$G$5</f>
        <v>0.10788942572050875</v>
      </c>
    </row>
  </sheetData>
  <mergeCells count="1">
    <mergeCell ref="C10:F10"/>
  </mergeCells>
  <hyperlinks>
    <hyperlink ref="H6" r:id="rId1" xr:uid="{0CE864BC-1225-4FFD-8415-06A7D3CF5F74}"/>
    <hyperlink ref="H8" r:id="rId2" display="http://www.solarmango.com/ask/2015/09/20/what-are-the-initial-investment-and-om-costs-required-for-a-mw-solar-plant-in-india-what-kind-of-financial-returns-can-we-expect-from-it/" xr:uid="{82F2AFE1-2BF8-46A4-A62D-79418A92E265}"/>
  </hyperlinks>
  <pageMargins left="0.7" right="0.7" top="0.75" bottom="0.75" header="0.3" footer="0.3"/>
  <pageSetup paperSize="9" orientation="landscape" r:id="rId3"/>
  <legacy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22FC7E-9342-4C84-A080-FCE9F52CD5E0}">
  <sheetPr>
    <tabColor rgb="FF00B0F0"/>
  </sheetPr>
  <dimension ref="A1:H24"/>
  <sheetViews>
    <sheetView zoomScale="92" workbookViewId="0">
      <selection activeCell="C22" sqref="C22"/>
    </sheetView>
  </sheetViews>
  <sheetFormatPr defaultRowHeight="14.5" x14ac:dyDescent="0.35"/>
  <cols>
    <col min="1" max="1" width="8.7265625" style="185"/>
    <col min="2" max="2" width="36.08984375" style="185" customWidth="1"/>
    <col min="3" max="3" width="36.7265625" style="185" bestFit="1" customWidth="1"/>
    <col min="4" max="4" width="12.54296875" style="185" bestFit="1" customWidth="1"/>
    <col min="5" max="16384" width="8.7265625" style="185"/>
  </cols>
  <sheetData>
    <row r="1" spans="1:8" ht="15" thickBot="1" x14ac:dyDescent="0.4">
      <c r="B1"/>
      <c r="C1"/>
      <c r="D1"/>
    </row>
    <row r="2" spans="1:8" x14ac:dyDescent="0.35">
      <c r="B2" s="186" t="s">
        <v>212</v>
      </c>
      <c r="C2" s="371" t="s">
        <v>221</v>
      </c>
      <c r="D2" s="194" t="s">
        <v>213</v>
      </c>
    </row>
    <row r="3" spans="1:8" ht="15" thickBot="1" x14ac:dyDescent="0.4">
      <c r="B3" s="196"/>
      <c r="C3" s="372"/>
      <c r="D3" s="195"/>
      <c r="F3" s="21" t="s">
        <v>284</v>
      </c>
    </row>
    <row r="4" spans="1:8" ht="15" thickBot="1" x14ac:dyDescent="0.4">
      <c r="A4" s="185">
        <v>1</v>
      </c>
      <c r="B4" s="277" t="s">
        <v>214</v>
      </c>
      <c r="C4" s="15">
        <v>294.04000000000002</v>
      </c>
      <c r="D4" s="244">
        <f>C4/$C$16</f>
        <v>0.84011428571428581</v>
      </c>
    </row>
    <row r="5" spans="1:8" ht="15" thickBot="1" x14ac:dyDescent="0.4">
      <c r="A5" s="185">
        <v>2</v>
      </c>
      <c r="B5" s="277" t="s">
        <v>324</v>
      </c>
      <c r="C5" s="15">
        <v>25</v>
      </c>
      <c r="D5" s="244">
        <f t="shared" ref="D5:D12" si="0">C5/$C$16</f>
        <v>7.1428571428571425E-2</v>
      </c>
    </row>
    <row r="6" spans="1:8" ht="15" customHeight="1" thickBot="1" x14ac:dyDescent="0.4">
      <c r="A6" s="185">
        <v>3</v>
      </c>
      <c r="B6" s="277" t="s">
        <v>1</v>
      </c>
      <c r="C6" s="15">
        <v>35</v>
      </c>
      <c r="D6" s="244">
        <f t="shared" si="0"/>
        <v>0.1</v>
      </c>
      <c r="F6" s="370" t="s">
        <v>285</v>
      </c>
      <c r="G6" s="370"/>
      <c r="H6" s="370"/>
    </row>
    <row r="7" spans="1:8" ht="15" thickBot="1" x14ac:dyDescent="0.4">
      <c r="A7" s="185">
        <v>4</v>
      </c>
      <c r="B7" s="278" t="s">
        <v>0</v>
      </c>
      <c r="C7" s="2">
        <v>35</v>
      </c>
      <c r="D7" s="244">
        <f t="shared" si="0"/>
        <v>0.1</v>
      </c>
      <c r="F7" s="370"/>
      <c r="G7" s="370"/>
      <c r="H7" s="370"/>
    </row>
    <row r="8" spans="1:8" ht="15" thickBot="1" x14ac:dyDescent="0.4">
      <c r="A8" s="185">
        <v>5</v>
      </c>
      <c r="B8" s="277" t="s">
        <v>215</v>
      </c>
      <c r="C8" s="15">
        <v>25</v>
      </c>
      <c r="D8" s="244">
        <f t="shared" si="0"/>
        <v>7.1428571428571425E-2</v>
      </c>
      <c r="F8" s="370"/>
      <c r="G8" s="370"/>
      <c r="H8" s="370"/>
    </row>
    <row r="9" spans="1:8" x14ac:dyDescent="0.35">
      <c r="A9" s="185">
        <v>6</v>
      </c>
      <c r="B9" s="373" t="s">
        <v>216</v>
      </c>
      <c r="C9" s="379">
        <v>40</v>
      </c>
      <c r="D9" s="376">
        <f t="shared" si="0"/>
        <v>0.11428571428571428</v>
      </c>
      <c r="F9" s="370"/>
      <c r="G9" s="370"/>
      <c r="H9" s="370"/>
    </row>
    <row r="10" spans="1:8" x14ac:dyDescent="0.35">
      <c r="B10" s="374"/>
      <c r="C10" s="380"/>
      <c r="D10" s="377"/>
      <c r="F10" s="370"/>
      <c r="G10" s="370"/>
      <c r="H10" s="370"/>
    </row>
    <row r="11" spans="1:8" ht="15" thickBot="1" x14ac:dyDescent="0.4">
      <c r="B11" s="375"/>
      <c r="C11" s="381"/>
      <c r="D11" s="378"/>
    </row>
    <row r="12" spans="1:8" x14ac:dyDescent="0.35">
      <c r="A12" s="185">
        <v>7</v>
      </c>
      <c r="B12" s="374" t="s">
        <v>217</v>
      </c>
      <c r="C12" s="379">
        <v>27.63</v>
      </c>
      <c r="D12" s="376">
        <f t="shared" si="0"/>
        <v>7.8942857142857134E-2</v>
      </c>
    </row>
    <row r="13" spans="1:8" x14ac:dyDescent="0.35">
      <c r="B13" s="374"/>
      <c r="C13" s="380"/>
      <c r="D13" s="377"/>
    </row>
    <row r="14" spans="1:8" x14ac:dyDescent="0.35">
      <c r="B14" s="374"/>
      <c r="C14" s="380"/>
      <c r="D14" s="377"/>
    </row>
    <row r="15" spans="1:8" ht="15" thickBot="1" x14ac:dyDescent="0.4">
      <c r="B15" s="375"/>
      <c r="C15" s="381"/>
      <c r="D15" s="378"/>
    </row>
    <row r="16" spans="1:8" ht="15" thickBot="1" x14ac:dyDescent="0.4">
      <c r="B16" s="279" t="s">
        <v>218</v>
      </c>
      <c r="C16" s="203">
        <f>INPUT!$F$16</f>
        <v>350</v>
      </c>
      <c r="D16" s="245">
        <f>SUM(D4:D12)</f>
        <v>1.3762000000000003</v>
      </c>
    </row>
    <row r="17" spans="1:3" x14ac:dyDescent="0.35">
      <c r="B17" s="280"/>
      <c r="C17" s="200"/>
    </row>
    <row r="18" spans="1:3" x14ac:dyDescent="0.35">
      <c r="B18" s="280"/>
      <c r="C18" s="201"/>
    </row>
    <row r="19" spans="1:3" ht="15" thickBot="1" x14ac:dyDescent="0.4">
      <c r="B19" s="281"/>
      <c r="C19" s="202"/>
    </row>
    <row r="20" spans="1:3" ht="15" thickBot="1" x14ac:dyDescent="0.4">
      <c r="A20" s="185">
        <v>8</v>
      </c>
      <c r="B20" s="282" t="s">
        <v>260</v>
      </c>
      <c r="C20" s="202">
        <f>INPUT!$F$5</f>
        <v>1</v>
      </c>
    </row>
    <row r="21" spans="1:3" ht="15" thickBot="1" x14ac:dyDescent="0.4">
      <c r="B21" s="279" t="s">
        <v>259</v>
      </c>
      <c r="C21" s="192">
        <f>SUM(C16:C20)</f>
        <v>351</v>
      </c>
    </row>
    <row r="22" spans="1:3" ht="15" thickBot="1" x14ac:dyDescent="0.4">
      <c r="A22" s="185">
        <v>9</v>
      </c>
      <c r="B22" s="282" t="s">
        <v>261</v>
      </c>
      <c r="C22" s="206">
        <f>INPUT!$F$7</f>
        <v>0</v>
      </c>
    </row>
    <row r="23" spans="1:3" ht="15" thickBot="1" x14ac:dyDescent="0.4">
      <c r="B23" s="279" t="s">
        <v>272</v>
      </c>
      <c r="C23" s="207">
        <f>SUM(C21:C22)</f>
        <v>351</v>
      </c>
    </row>
    <row r="24" spans="1:3" ht="15" thickBot="1" x14ac:dyDescent="0.4">
      <c r="B24" s="283" t="s">
        <v>219</v>
      </c>
      <c r="C24" s="204">
        <f>INPUT!$F$17</f>
        <v>4</v>
      </c>
    </row>
  </sheetData>
  <mergeCells count="8">
    <mergeCell ref="F6:H10"/>
    <mergeCell ref="C2:C3"/>
    <mergeCell ref="B9:B11"/>
    <mergeCell ref="B12:B15"/>
    <mergeCell ref="D12:D15"/>
    <mergeCell ref="D9:D11"/>
    <mergeCell ref="C9:C11"/>
    <mergeCell ref="C12:C15"/>
  </mergeCells>
  <hyperlinks>
    <hyperlink ref="F3" r:id="rId1" xr:uid="{3476EEF5-A2FC-4FFD-B78A-1A2FA739DB9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E6A2F9-7C5A-49B7-8988-DAF341779B83}">
  <sheetPr>
    <tabColor rgb="FFFFFF00"/>
  </sheetPr>
  <dimension ref="B1:L6"/>
  <sheetViews>
    <sheetView workbookViewId="0">
      <selection activeCell="E17" sqref="E17"/>
    </sheetView>
  </sheetViews>
  <sheetFormatPr defaultRowHeight="14.5" x14ac:dyDescent="0.35"/>
  <cols>
    <col min="1" max="1" width="8.7265625" style="185"/>
    <col min="2" max="2" width="18.36328125" style="185" bestFit="1" customWidth="1"/>
    <col min="3" max="3" width="18.36328125" style="185" customWidth="1"/>
    <col min="4" max="4" width="10.7265625" style="185" bestFit="1" customWidth="1"/>
    <col min="5" max="5" width="17.54296875" style="185" customWidth="1"/>
    <col min="6" max="6" width="14.6328125" style="185" bestFit="1" customWidth="1"/>
    <col min="7" max="7" width="10" style="185" bestFit="1" customWidth="1"/>
    <col min="8" max="8" width="19.1796875" style="185" customWidth="1"/>
    <col min="9" max="9" width="14.6328125" style="185" bestFit="1" customWidth="1"/>
    <col min="10" max="16384" width="8.7265625" style="185"/>
  </cols>
  <sheetData>
    <row r="1" spans="2:12" ht="15.5" x14ac:dyDescent="0.35">
      <c r="D1" s="382" t="s">
        <v>189</v>
      </c>
      <c r="E1" s="383"/>
      <c r="F1" s="383"/>
      <c r="G1" s="384" t="s">
        <v>251</v>
      </c>
      <c r="H1" s="385"/>
      <c r="I1" s="385"/>
      <c r="J1" s="228"/>
      <c r="K1" s="228"/>
      <c r="L1" s="228"/>
    </row>
    <row r="2" spans="2:12" ht="15" thickBot="1" x14ac:dyDescent="0.4"/>
    <row r="3" spans="2:12" ht="15" thickBot="1" x14ac:dyDescent="0.4">
      <c r="C3" s="240" t="s">
        <v>249</v>
      </c>
      <c r="D3" s="241" t="s">
        <v>250</v>
      </c>
      <c r="E3" s="241" t="s">
        <v>242</v>
      </c>
      <c r="F3" s="241" t="s">
        <v>206</v>
      </c>
      <c r="G3" s="241" t="s">
        <v>236</v>
      </c>
      <c r="H3" s="241" t="s">
        <v>242</v>
      </c>
      <c r="I3" s="242" t="s">
        <v>206</v>
      </c>
    </row>
    <row r="4" spans="2:12" ht="15" thickBot="1" x14ac:dyDescent="0.4">
      <c r="B4" s="186" t="s">
        <v>132</v>
      </c>
      <c r="C4" s="229">
        <f ca="1">Determination_of_Tariff!$B$22</f>
        <v>4.4111991624187832</v>
      </c>
      <c r="D4" s="230">
        <f ca="1">'Payback&amp;IRR'!C16</f>
        <v>9.3365412712135276E-2</v>
      </c>
      <c r="E4" s="231">
        <f ca="1">'Payback&amp;IRR'!$C$17</f>
        <v>30.107190503669301</v>
      </c>
      <c r="F4" s="190">
        <f ca="1">'Payback&amp;IRR'!$C$18</f>
        <v>8</v>
      </c>
      <c r="G4" s="232">
        <f ca="1">'Payback&amp;IRR'!C52</f>
        <v>9.8462507948260836E-2</v>
      </c>
      <c r="H4" s="231">
        <f ca="1">'Payback&amp;IRR'!$C$53</f>
        <v>19.823145973310488</v>
      </c>
      <c r="I4" s="197">
        <f ca="1">'Payback&amp;IRR'!C54</f>
        <v>14</v>
      </c>
    </row>
    <row r="5" spans="2:12" ht="15" thickBot="1" x14ac:dyDescent="0.4">
      <c r="B5" s="186" t="s">
        <v>195</v>
      </c>
      <c r="C5" s="233">
        <f ca="1">Determination_of_Tariff!$B$23</f>
        <v>3.9996371423872583</v>
      </c>
      <c r="D5" s="234">
        <f ca="1">'Payback&amp;IRR'!C28</f>
        <v>9.5825831352551072E-2</v>
      </c>
      <c r="E5" s="235">
        <f ca="1">'Payback&amp;IRR'!C29</f>
        <v>31.503395974976797</v>
      </c>
      <c r="F5" s="185">
        <f ca="1">'Payback&amp;IRR'!C30</f>
        <v>8</v>
      </c>
      <c r="G5" s="234">
        <f ca="1">'Payback&amp;IRR'!C62</f>
        <v>0.10788942608426577</v>
      </c>
      <c r="H5" s="235">
        <f ca="1">'Payback&amp;IRR'!C63</f>
        <v>21.219351444617942</v>
      </c>
      <c r="I5" s="198">
        <f ca="1">'Payback&amp;IRR'!C64</f>
        <v>14</v>
      </c>
    </row>
    <row r="6" spans="2:12" ht="15" thickBot="1" x14ac:dyDescent="0.4">
      <c r="B6" s="243" t="s">
        <v>134</v>
      </c>
      <c r="C6" s="236">
        <f>'P&amp;L'!$D$31</f>
        <v>7.06</v>
      </c>
      <c r="D6" s="237">
        <f ca="1">'Payback&amp;IRR'!C38</f>
        <v>0.17221462226439921</v>
      </c>
      <c r="E6" s="238">
        <f ca="1">'Payback&amp;IRR'!C39</f>
        <v>254.49894858595383</v>
      </c>
      <c r="F6" s="189">
        <f ca="1">'Payback&amp;IRR'!C40</f>
        <v>5</v>
      </c>
      <c r="G6" s="237">
        <f ca="1">'Payback&amp;IRR'!C71</f>
        <v>0.34851282136050932</v>
      </c>
      <c r="H6" s="238">
        <f ca="1">'Payback&amp;IRR'!C72</f>
        <v>244.21490405559496</v>
      </c>
      <c r="I6" s="199">
        <f ca="1">'Payback&amp;IRR'!C73</f>
        <v>2</v>
      </c>
    </row>
  </sheetData>
  <mergeCells count="2">
    <mergeCell ref="D1:F1"/>
    <mergeCell ref="G1:I1"/>
  </mergeCells>
  <pageMargins left="0.7" right="0.7" top="0.75" bottom="0.75" header="0.3" footer="0.3"/>
  <pageSetup paperSize="9" orientation="landscape"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72B600-722E-4929-BB2B-B29CE55854D1}">
  <sheetPr>
    <tabColor theme="5" tint="0.39997558519241921"/>
  </sheetPr>
  <dimension ref="A1:L97"/>
  <sheetViews>
    <sheetView topLeftCell="A20" zoomScale="105" zoomScaleNormal="105" workbookViewId="0">
      <selection activeCell="D35" sqref="D35"/>
    </sheetView>
  </sheetViews>
  <sheetFormatPr defaultRowHeight="14.5" x14ac:dyDescent="0.35"/>
  <cols>
    <col min="1" max="1" width="8.7265625" style="185"/>
    <col min="2" max="2" width="29.453125" style="185" customWidth="1"/>
    <col min="3" max="3" width="24.7265625" style="185" bestFit="1" customWidth="1"/>
    <col min="4" max="4" width="38.54296875" style="185" customWidth="1"/>
    <col min="5" max="5" width="17.1796875" style="185" bestFit="1" customWidth="1"/>
    <col min="6" max="6" width="15" style="185" customWidth="1"/>
    <col min="7" max="7" width="11.1796875" style="185" customWidth="1"/>
    <col min="8" max="8" width="12" style="185" customWidth="1"/>
    <col min="9" max="9" width="12.08984375" style="185" customWidth="1"/>
    <col min="10" max="10" width="12" style="185" customWidth="1"/>
    <col min="11" max="16384" width="8.7265625" style="185"/>
  </cols>
  <sheetData>
    <row r="1" spans="1:6" x14ac:dyDescent="0.35">
      <c r="E1" s="187"/>
      <c r="F1"/>
    </row>
    <row r="2" spans="1:6" ht="15" thickBot="1" x14ac:dyDescent="0.4">
      <c r="A2" s="187" t="s">
        <v>6</v>
      </c>
      <c r="F2"/>
    </row>
    <row r="3" spans="1:6" ht="15" thickBot="1" x14ac:dyDescent="0.4">
      <c r="A3" s="227" t="s">
        <v>7</v>
      </c>
      <c r="B3" s="291" t="s">
        <v>8</v>
      </c>
      <c r="C3" s="227" t="s">
        <v>9</v>
      </c>
      <c r="D3" s="292" t="s">
        <v>10</v>
      </c>
      <c r="E3" s="293" t="s">
        <v>11</v>
      </c>
      <c r="F3" s="294" t="s">
        <v>12</v>
      </c>
    </row>
    <row r="4" spans="1:6" x14ac:dyDescent="0.35">
      <c r="A4" s="200">
        <v>1</v>
      </c>
      <c r="B4" s="190" t="s">
        <v>13</v>
      </c>
      <c r="C4" s="200"/>
      <c r="D4" s="255"/>
      <c r="E4" s="261"/>
      <c r="F4" s="16"/>
    </row>
    <row r="5" spans="1:6" x14ac:dyDescent="0.35">
      <c r="A5" s="201"/>
      <c r="C5" s="201" t="s">
        <v>16</v>
      </c>
      <c r="D5" s="171" t="s">
        <v>14</v>
      </c>
      <c r="E5" s="262" t="s">
        <v>15</v>
      </c>
      <c r="F5" s="113">
        <f>INPUT!F11</f>
        <v>1</v>
      </c>
    </row>
    <row r="6" spans="1:6" x14ac:dyDescent="0.35">
      <c r="A6" s="201"/>
      <c r="C6" s="201"/>
      <c r="D6" s="171" t="s">
        <v>17</v>
      </c>
      <c r="E6" s="262" t="s">
        <v>19</v>
      </c>
      <c r="F6" s="27">
        <v>0</v>
      </c>
    </row>
    <row r="7" spans="1:6" x14ac:dyDescent="0.35">
      <c r="A7" s="201"/>
      <c r="C7" s="201"/>
      <c r="D7" s="171" t="s">
        <v>18</v>
      </c>
      <c r="E7" s="262" t="s">
        <v>19</v>
      </c>
      <c r="F7" s="17">
        <f>INPUT!$F$12</f>
        <v>13.5</v>
      </c>
    </row>
    <row r="8" spans="1:6" x14ac:dyDescent="0.35">
      <c r="A8" s="201"/>
      <c r="C8" s="201"/>
      <c r="D8" s="171" t="s">
        <v>253</v>
      </c>
      <c r="E8" s="262" t="s">
        <v>19</v>
      </c>
      <c r="F8" s="356">
        <f>INPUT!$F$13</f>
        <v>7.0000000000000001E-3</v>
      </c>
    </row>
    <row r="9" spans="1:6" x14ac:dyDescent="0.35">
      <c r="A9" s="201"/>
      <c r="C9" s="201"/>
      <c r="D9" s="171" t="str">
        <f>INPUT!C14</f>
        <v>Technical Loss/Year</v>
      </c>
      <c r="E9" s="262" t="s">
        <v>19</v>
      </c>
      <c r="F9" s="356">
        <f>INPUT!F14</f>
        <v>0</v>
      </c>
    </row>
    <row r="10" spans="1:6" ht="15" thickBot="1" x14ac:dyDescent="0.4">
      <c r="A10" s="202"/>
      <c r="B10" s="189"/>
      <c r="C10" s="202"/>
      <c r="D10" s="256" t="s">
        <v>322</v>
      </c>
      <c r="E10" s="263" t="s">
        <v>20</v>
      </c>
      <c r="F10" s="2">
        <v>25</v>
      </c>
    </row>
    <row r="11" spans="1:6" x14ac:dyDescent="0.35">
      <c r="A11" s="200">
        <v>2</v>
      </c>
      <c r="B11" s="197" t="s">
        <v>21</v>
      </c>
      <c r="C11" s="200"/>
      <c r="D11" s="255" t="s">
        <v>248</v>
      </c>
      <c r="E11" s="264" t="s">
        <v>19</v>
      </c>
      <c r="F11" s="266">
        <f>INPUT!$F$15</f>
        <v>0</v>
      </c>
    </row>
    <row r="12" spans="1:6" ht="15" thickBot="1" x14ac:dyDescent="0.4">
      <c r="A12" s="201"/>
      <c r="B12" s="198"/>
      <c r="C12" s="201" t="s">
        <v>22</v>
      </c>
      <c r="D12" s="256" t="s">
        <v>23</v>
      </c>
      <c r="E12" s="263" t="s">
        <v>30</v>
      </c>
      <c r="F12" s="267">
        <f>'Capital Cost'!C23*$F$5</f>
        <v>351</v>
      </c>
    </row>
    <row r="13" spans="1:6" ht="15" thickBot="1" x14ac:dyDescent="0.4">
      <c r="A13" s="202"/>
      <c r="B13" s="199"/>
      <c r="C13" s="202"/>
      <c r="D13" s="256" t="s">
        <v>247</v>
      </c>
      <c r="E13" s="248" t="s">
        <v>30</v>
      </c>
      <c r="F13" s="206">
        <f>$F$12*(1-$F$11)</f>
        <v>351</v>
      </c>
    </row>
    <row r="14" spans="1:6" x14ac:dyDescent="0.35">
      <c r="A14" s="200">
        <v>3</v>
      </c>
      <c r="B14" s="190" t="s">
        <v>24</v>
      </c>
      <c r="C14" s="201"/>
      <c r="D14" s="255"/>
      <c r="E14" s="261"/>
      <c r="F14" s="197"/>
    </row>
    <row r="15" spans="1:6" x14ac:dyDescent="0.35">
      <c r="A15" s="201"/>
      <c r="C15" s="251" t="s">
        <v>25</v>
      </c>
      <c r="D15" s="171"/>
      <c r="E15" s="262"/>
      <c r="F15" s="198"/>
    </row>
    <row r="16" spans="1:6" x14ac:dyDescent="0.35">
      <c r="A16" s="201"/>
      <c r="C16" s="201"/>
      <c r="D16" s="171" t="s">
        <v>27</v>
      </c>
      <c r="E16" s="262" t="s">
        <v>19</v>
      </c>
      <c r="F16" s="17">
        <f>INPUT!$F$21</f>
        <v>80</v>
      </c>
    </row>
    <row r="17" spans="1:12" x14ac:dyDescent="0.35">
      <c r="A17" s="201"/>
      <c r="C17" s="201"/>
      <c r="D17" s="171" t="s">
        <v>28</v>
      </c>
      <c r="E17" s="262" t="s">
        <v>19</v>
      </c>
      <c r="F17" s="198">
        <f>100-$F$16</f>
        <v>20</v>
      </c>
    </row>
    <row r="18" spans="1:12" x14ac:dyDescent="0.35">
      <c r="A18" s="201"/>
      <c r="C18" s="201"/>
      <c r="D18" s="171" t="s">
        <v>29</v>
      </c>
      <c r="E18" s="262" t="s">
        <v>30</v>
      </c>
      <c r="F18" s="198">
        <f>F16*F13/100</f>
        <v>280.8</v>
      </c>
    </row>
    <row r="19" spans="1:12" x14ac:dyDescent="0.35">
      <c r="A19" s="201"/>
      <c r="C19" s="201"/>
      <c r="D19" s="171" t="s">
        <v>31</v>
      </c>
      <c r="E19" s="262" t="s">
        <v>30</v>
      </c>
      <c r="F19" s="198">
        <f>F13*F17/100</f>
        <v>70.2</v>
      </c>
    </row>
    <row r="20" spans="1:12" x14ac:dyDescent="0.35">
      <c r="A20" s="201"/>
      <c r="C20" s="251" t="s">
        <v>32</v>
      </c>
      <c r="D20" s="171"/>
      <c r="E20" s="262"/>
      <c r="F20" s="198"/>
    </row>
    <row r="21" spans="1:12" x14ac:dyDescent="0.35">
      <c r="A21" s="201"/>
      <c r="C21" s="201"/>
      <c r="D21" s="171" t="s">
        <v>33</v>
      </c>
      <c r="E21" s="262" t="s">
        <v>30</v>
      </c>
      <c r="F21" s="198">
        <f>F18</f>
        <v>280.8</v>
      </c>
    </row>
    <row r="22" spans="1:12" x14ac:dyDescent="0.35">
      <c r="A22" s="201"/>
      <c r="C22" s="201"/>
      <c r="D22" s="171" t="s">
        <v>34</v>
      </c>
      <c r="E22" s="262" t="s">
        <v>26</v>
      </c>
      <c r="F22" s="198">
        <v>0</v>
      </c>
    </row>
    <row r="23" spans="1:12" x14ac:dyDescent="0.35">
      <c r="A23" s="201"/>
      <c r="C23" s="201"/>
      <c r="D23" s="171" t="s">
        <v>35</v>
      </c>
      <c r="E23" s="262" t="s">
        <v>26</v>
      </c>
      <c r="F23" s="352">
        <f>INPUT!F22</f>
        <v>13</v>
      </c>
    </row>
    <row r="24" spans="1:12" x14ac:dyDescent="0.35">
      <c r="A24" s="201"/>
      <c r="C24" s="201"/>
      <c r="D24" s="171" t="s">
        <v>36</v>
      </c>
      <c r="E24" s="262" t="s">
        <v>19</v>
      </c>
      <c r="F24" s="355">
        <f>INPUT!$F$23</f>
        <v>9.5</v>
      </c>
      <c r="G24" s="187" t="s">
        <v>230</v>
      </c>
      <c r="H24" s="250" t="s">
        <v>231</v>
      </c>
    </row>
    <row r="25" spans="1:12" x14ac:dyDescent="0.35">
      <c r="A25" s="201"/>
      <c r="C25" s="251" t="s">
        <v>37</v>
      </c>
      <c r="D25" s="171"/>
      <c r="E25" s="262"/>
      <c r="F25" s="198"/>
      <c r="G25" s="250" t="s">
        <v>229</v>
      </c>
    </row>
    <row r="26" spans="1:12" x14ac:dyDescent="0.35">
      <c r="A26" s="201"/>
      <c r="C26" s="252" t="s">
        <v>187</v>
      </c>
      <c r="D26" s="171" t="s">
        <v>38</v>
      </c>
      <c r="E26" s="262" t="s">
        <v>30</v>
      </c>
      <c r="F26" s="198">
        <f>F19</f>
        <v>70.2</v>
      </c>
    </row>
    <row r="27" spans="1:12" x14ac:dyDescent="0.35">
      <c r="A27" s="201"/>
      <c r="B27" s="187" t="s">
        <v>89</v>
      </c>
      <c r="C27" s="115">
        <f>INPUT!$D$24</f>
        <v>10</v>
      </c>
      <c r="D27" s="331" t="s">
        <v>39</v>
      </c>
      <c r="E27" s="332" t="s">
        <v>49</v>
      </c>
      <c r="F27" s="354">
        <f>INPUT!$F$24</f>
        <v>17</v>
      </c>
    </row>
    <row r="28" spans="1:12" x14ac:dyDescent="0.35">
      <c r="A28" s="201"/>
      <c r="C28" s="115">
        <f>INPUT!$D$25</f>
        <v>15</v>
      </c>
      <c r="D28" s="331" t="s">
        <v>40</v>
      </c>
      <c r="E28" s="332" t="s">
        <v>48</v>
      </c>
      <c r="F28" s="354">
        <f>INPUT!$F$25</f>
        <v>22</v>
      </c>
    </row>
    <row r="29" spans="1:12" x14ac:dyDescent="0.35">
      <c r="A29" s="201"/>
      <c r="C29" s="201"/>
      <c r="D29" s="333" t="s">
        <v>41</v>
      </c>
      <c r="E29" s="332" t="s">
        <v>19</v>
      </c>
      <c r="F29" s="334">
        <f>((F27*C27)+(F28*C28))/SUM(C27:C28)</f>
        <v>20</v>
      </c>
    </row>
    <row r="30" spans="1:12" ht="15" thickBot="1" x14ac:dyDescent="0.4">
      <c r="A30" s="201"/>
      <c r="C30" s="201"/>
      <c r="D30" s="335" t="s">
        <v>315</v>
      </c>
      <c r="E30" s="336" t="s">
        <v>19</v>
      </c>
      <c r="F30" s="350">
        <f>((I31*C27)+(I32*C28))/SUM(C27:C28)</f>
        <v>0.13966399999999998</v>
      </c>
    </row>
    <row r="31" spans="1:12" ht="15" thickBot="1" x14ac:dyDescent="0.4">
      <c r="A31" s="202"/>
      <c r="B31" s="189"/>
      <c r="C31" s="202"/>
      <c r="D31" s="346" t="s">
        <v>313</v>
      </c>
      <c r="E31" s="347" t="s">
        <v>19</v>
      </c>
      <c r="F31" s="348">
        <f>Determination_of_Tariff!$B$47</f>
        <v>8.6295999999999998E-2</v>
      </c>
      <c r="G31" s="386" t="s">
        <v>309</v>
      </c>
      <c r="H31" s="387"/>
      <c r="I31" s="150">
        <f>ROUND($F$27*(1-$F$38)/100,5)</f>
        <v>0.13336999999999999</v>
      </c>
      <c r="K31" s="388"/>
      <c r="L31" s="388"/>
    </row>
    <row r="32" spans="1:12" ht="15" thickBot="1" x14ac:dyDescent="0.4">
      <c r="A32" s="201"/>
      <c r="C32" s="201"/>
      <c r="D32" s="346" t="s">
        <v>314</v>
      </c>
      <c r="E32" s="347" t="s">
        <v>19</v>
      </c>
      <c r="F32" s="349">
        <f>Determination_of_Tariff!$B$48</f>
        <v>7.8468399999999994E-2</v>
      </c>
      <c r="G32" s="386" t="s">
        <v>310</v>
      </c>
      <c r="H32" s="387"/>
      <c r="I32" s="150">
        <f>ROUND($F$28*(1-$F$37)/100,5)</f>
        <v>0.14385999999999999</v>
      </c>
      <c r="K32" s="316"/>
      <c r="L32" s="316"/>
    </row>
    <row r="33" spans="1:12" ht="15" thickBot="1" x14ac:dyDescent="0.4">
      <c r="A33" s="201"/>
      <c r="C33" s="201"/>
      <c r="D33" s="335" t="s">
        <v>316</v>
      </c>
      <c r="E33" s="337" t="s">
        <v>19</v>
      </c>
      <c r="F33" s="338">
        <f>($F$31*$C$27+$F$32*$C$28)/SUM($C$27:$C$28)</f>
        <v>8.1599439999999995E-2</v>
      </c>
      <c r="G33" s="330"/>
      <c r="H33" s="330"/>
      <c r="I33" s="351"/>
      <c r="K33" s="316"/>
      <c r="L33" s="316"/>
    </row>
    <row r="34" spans="1:12" ht="15" thickBot="1" x14ac:dyDescent="0.4">
      <c r="A34" s="201"/>
      <c r="C34" s="201"/>
      <c r="D34" s="171" t="s">
        <v>121</v>
      </c>
      <c r="E34" s="262" t="s">
        <v>19</v>
      </c>
      <c r="F34" s="268">
        <f>(((1+F31)^F10)-1)/(F31*(1+F31)^F10)</f>
        <v>10.12481880357543</v>
      </c>
    </row>
    <row r="35" spans="1:12" x14ac:dyDescent="0.35">
      <c r="A35" s="289" t="s">
        <v>171</v>
      </c>
      <c r="B35" s="190" t="s">
        <v>24</v>
      </c>
      <c r="C35" s="200"/>
      <c r="D35" s="255"/>
      <c r="E35" s="246"/>
      <c r="F35" s="226"/>
    </row>
    <row r="36" spans="1:12" x14ac:dyDescent="0.35">
      <c r="A36" s="201"/>
      <c r="C36" s="251" t="s">
        <v>43</v>
      </c>
      <c r="D36" s="171"/>
      <c r="E36" s="247"/>
      <c r="F36" s="251"/>
    </row>
    <row r="37" spans="1:12" x14ac:dyDescent="0.35">
      <c r="A37" s="201"/>
      <c r="C37" s="201"/>
      <c r="D37" s="257" t="s">
        <v>44</v>
      </c>
      <c r="E37" s="247" t="s">
        <v>19</v>
      </c>
      <c r="F37" s="149">
        <v>0.34610000000000002</v>
      </c>
      <c r="G37" s="250" t="s">
        <v>224</v>
      </c>
    </row>
    <row r="38" spans="1:12" x14ac:dyDescent="0.35">
      <c r="A38" s="201"/>
      <c r="C38" s="201"/>
      <c r="D38" s="257" t="s">
        <v>211</v>
      </c>
      <c r="E38" s="247" t="s">
        <v>19</v>
      </c>
      <c r="F38" s="296">
        <v>0.2155</v>
      </c>
      <c r="G38" s="187" t="s">
        <v>228</v>
      </c>
      <c r="J38" s="187" t="s">
        <v>232</v>
      </c>
      <c r="K38" s="250" t="s">
        <v>233</v>
      </c>
    </row>
    <row r="39" spans="1:12" x14ac:dyDescent="0.35">
      <c r="A39" s="201"/>
      <c r="C39" s="201"/>
      <c r="D39" s="171" t="s">
        <v>45</v>
      </c>
      <c r="E39" s="247" t="s">
        <v>50</v>
      </c>
      <c r="F39" s="201"/>
    </row>
    <row r="40" spans="1:12" x14ac:dyDescent="0.35">
      <c r="A40" s="201"/>
      <c r="C40" s="201"/>
      <c r="D40" s="171"/>
      <c r="E40" s="247"/>
      <c r="F40" s="201"/>
    </row>
    <row r="41" spans="1:12" ht="15" thickBot="1" x14ac:dyDescent="0.4">
      <c r="A41" s="201"/>
      <c r="B41" s="249" t="s">
        <v>26</v>
      </c>
      <c r="C41" s="251" t="s">
        <v>98</v>
      </c>
      <c r="D41" s="257" t="s">
        <v>245</v>
      </c>
      <c r="E41" s="158">
        <v>0.9</v>
      </c>
      <c r="F41" s="251">
        <f>$F$13*$E$41</f>
        <v>315.90000000000003</v>
      </c>
    </row>
    <row r="42" spans="1:12" ht="15" thickBot="1" x14ac:dyDescent="0.4">
      <c r="A42" s="201"/>
      <c r="B42" s="184">
        <f>$F$23</f>
        <v>13</v>
      </c>
      <c r="C42" s="201" t="s">
        <v>99</v>
      </c>
      <c r="D42" s="171" t="s">
        <v>320</v>
      </c>
      <c r="E42" s="247" t="s">
        <v>19</v>
      </c>
      <c r="F42" s="115">
        <v>5.83</v>
      </c>
      <c r="G42" s="172">
        <f>$F$13*$F$42/100</f>
        <v>20.4633</v>
      </c>
      <c r="H42" s="173" t="s">
        <v>244</v>
      </c>
    </row>
    <row r="43" spans="1:12" ht="15" thickBot="1" x14ac:dyDescent="0.4">
      <c r="A43" s="202"/>
      <c r="B43" s="191">
        <f>25-$B$42</f>
        <v>12</v>
      </c>
      <c r="C43" s="202"/>
      <c r="D43" s="256" t="s">
        <v>321</v>
      </c>
      <c r="E43" s="248" t="s">
        <v>19</v>
      </c>
      <c r="F43" s="327">
        <f>(E41-(F42*B42/100))*100/B43</f>
        <v>1.1841666666666668</v>
      </c>
      <c r="G43" s="174">
        <f>($F$41-$G$42*$B$42)/$B$43</f>
        <v>4.1564250000000031</v>
      </c>
      <c r="H43" s="173" t="s">
        <v>244</v>
      </c>
    </row>
    <row r="44" spans="1:12" ht="15" thickBot="1" x14ac:dyDescent="0.4">
      <c r="A44" s="290" t="s">
        <v>172</v>
      </c>
      <c r="C44" s="201"/>
      <c r="D44" s="257" t="s">
        <v>167</v>
      </c>
      <c r="E44" s="262"/>
      <c r="F44" s="116">
        <v>0.15</v>
      </c>
      <c r="I44" s="270"/>
      <c r="J44" s="271"/>
      <c r="K44" s="272"/>
    </row>
    <row r="45" spans="1:12" x14ac:dyDescent="0.35">
      <c r="A45" s="200">
        <v>5</v>
      </c>
      <c r="B45" s="190" t="s">
        <v>46</v>
      </c>
      <c r="C45" s="200"/>
      <c r="D45" s="255"/>
      <c r="E45" s="261"/>
      <c r="F45" s="197"/>
    </row>
    <row r="46" spans="1:12" x14ac:dyDescent="0.35">
      <c r="A46" s="201"/>
      <c r="C46" s="253" t="s">
        <v>47</v>
      </c>
      <c r="D46" s="171"/>
      <c r="E46" s="262"/>
      <c r="F46" s="198"/>
    </row>
    <row r="47" spans="1:12" x14ac:dyDescent="0.35">
      <c r="A47" s="201"/>
      <c r="C47" s="201" t="s">
        <v>51</v>
      </c>
      <c r="D47" s="171"/>
      <c r="E47" s="262" t="s">
        <v>57</v>
      </c>
      <c r="F47" s="178">
        <v>1</v>
      </c>
    </row>
    <row r="48" spans="1:12" x14ac:dyDescent="0.35">
      <c r="A48" s="201"/>
      <c r="C48" s="201" t="s">
        <v>52</v>
      </c>
      <c r="D48" s="171" t="s">
        <v>53</v>
      </c>
      <c r="E48" s="262" t="s">
        <v>19</v>
      </c>
      <c r="F48" s="178">
        <v>15</v>
      </c>
    </row>
    <row r="49" spans="1:9" x14ac:dyDescent="0.35">
      <c r="A49" s="201"/>
      <c r="C49" s="201" t="s">
        <v>54</v>
      </c>
      <c r="D49" s="171"/>
      <c r="E49" s="262" t="s">
        <v>57</v>
      </c>
      <c r="F49" s="178">
        <v>2</v>
      </c>
    </row>
    <row r="50" spans="1:9" x14ac:dyDescent="0.35">
      <c r="A50" s="201"/>
      <c r="C50" s="201"/>
      <c r="D50" s="171"/>
      <c r="E50" s="262"/>
      <c r="F50" s="178"/>
    </row>
    <row r="51" spans="1:9" x14ac:dyDescent="0.35">
      <c r="A51" s="201"/>
      <c r="C51" s="253" t="s">
        <v>55</v>
      </c>
      <c r="D51" s="171"/>
      <c r="E51" s="262"/>
      <c r="F51" s="17"/>
    </row>
    <row r="52" spans="1:9" ht="15" thickBot="1" x14ac:dyDescent="0.4">
      <c r="A52" s="202"/>
      <c r="B52" s="189"/>
      <c r="C52" s="202" t="s">
        <v>56</v>
      </c>
      <c r="D52" s="256"/>
      <c r="E52" s="263" t="s">
        <v>19</v>
      </c>
      <c r="F52" s="117">
        <v>11</v>
      </c>
    </row>
    <row r="53" spans="1:9" x14ac:dyDescent="0.35">
      <c r="A53" s="200">
        <v>6</v>
      </c>
      <c r="B53" s="190" t="s">
        <v>58</v>
      </c>
      <c r="C53" s="200"/>
      <c r="D53" s="255"/>
      <c r="E53" s="261"/>
      <c r="F53" s="16"/>
    </row>
    <row r="54" spans="1:9" x14ac:dyDescent="0.35">
      <c r="A54" s="201"/>
      <c r="C54" s="251" t="s">
        <v>5</v>
      </c>
      <c r="D54" s="171"/>
      <c r="E54" s="262" t="s">
        <v>30</v>
      </c>
      <c r="F54" s="352">
        <f>'Capital Cost'!$C$24*$F$5</f>
        <v>4</v>
      </c>
      <c r="I54" s="273"/>
    </row>
    <row r="55" spans="1:9" ht="15" thickBot="1" x14ac:dyDescent="0.4">
      <c r="A55" s="202"/>
      <c r="B55" s="189"/>
      <c r="C55" s="345" t="s">
        <v>59</v>
      </c>
      <c r="D55" s="38"/>
      <c r="E55" s="263" t="s">
        <v>19</v>
      </c>
      <c r="F55" s="353">
        <f>INPUT!F18</f>
        <v>5.72</v>
      </c>
    </row>
    <row r="56" spans="1:9" ht="15" thickBot="1" x14ac:dyDescent="0.4">
      <c r="A56" s="201">
        <v>7</v>
      </c>
      <c r="B56" s="197" t="s">
        <v>125</v>
      </c>
      <c r="C56" s="227" t="s">
        <v>126</v>
      </c>
      <c r="D56" s="118">
        <v>5</v>
      </c>
      <c r="E56" s="239" t="s">
        <v>15</v>
      </c>
      <c r="F56" s="118">
        <v>7.06</v>
      </c>
      <c r="G56" s="200" t="s">
        <v>128</v>
      </c>
    </row>
    <row r="57" spans="1:9" ht="15" thickBot="1" x14ac:dyDescent="0.4">
      <c r="A57" s="202"/>
      <c r="B57" s="199" t="s">
        <v>127</v>
      </c>
      <c r="C57" s="254" t="s">
        <v>123</v>
      </c>
      <c r="D57" s="114" t="s">
        <v>130</v>
      </c>
      <c r="E57" s="202" t="s">
        <v>129</v>
      </c>
      <c r="F57" s="119">
        <v>6</v>
      </c>
      <c r="G57" s="202" t="s">
        <v>128</v>
      </c>
    </row>
    <row r="58" spans="1:9" x14ac:dyDescent="0.35">
      <c r="A58" s="200">
        <v>8</v>
      </c>
      <c r="B58" s="190"/>
      <c r="C58" s="190"/>
      <c r="D58" s="258" t="s">
        <v>152</v>
      </c>
      <c r="E58" s="200" t="s">
        <v>26</v>
      </c>
      <c r="F58" s="328">
        <v>1</v>
      </c>
    </row>
    <row r="59" spans="1:9" x14ac:dyDescent="0.35">
      <c r="A59" s="201"/>
      <c r="D59" s="259" t="s">
        <v>153</v>
      </c>
      <c r="E59" s="201" t="s">
        <v>26</v>
      </c>
      <c r="F59" s="329">
        <v>0</v>
      </c>
    </row>
    <row r="60" spans="1:9" x14ac:dyDescent="0.35">
      <c r="A60" s="201"/>
      <c r="D60" s="259" t="s">
        <v>154</v>
      </c>
      <c r="E60" s="201" t="s">
        <v>26</v>
      </c>
      <c r="F60" s="115">
        <v>16</v>
      </c>
    </row>
    <row r="61" spans="1:9" x14ac:dyDescent="0.35">
      <c r="A61" s="201"/>
      <c r="D61" s="259" t="s">
        <v>155</v>
      </c>
      <c r="E61" s="201" t="s">
        <v>26</v>
      </c>
      <c r="F61" s="329">
        <v>10</v>
      </c>
      <c r="G61" s="274" t="s">
        <v>222</v>
      </c>
    </row>
    <row r="62" spans="1:9" ht="15" thickBot="1" x14ac:dyDescent="0.4">
      <c r="A62" s="202"/>
      <c r="B62" s="189"/>
      <c r="C62" s="189"/>
      <c r="D62" s="260" t="s">
        <v>156</v>
      </c>
      <c r="E62" s="202" t="s">
        <v>26</v>
      </c>
      <c r="F62" s="119">
        <v>5</v>
      </c>
    </row>
    <row r="63" spans="1:9" x14ac:dyDescent="0.35">
      <c r="D63" s="29" t="s">
        <v>90</v>
      </c>
      <c r="E63" s="190"/>
      <c r="G63" s="250" t="s">
        <v>252</v>
      </c>
    </row>
    <row r="66" spans="2:5" x14ac:dyDescent="0.35">
      <c r="C66" s="1" t="s">
        <v>220</v>
      </c>
    </row>
    <row r="67" spans="2:5" x14ac:dyDescent="0.35">
      <c r="C67" s="11" t="s">
        <v>70</v>
      </c>
      <c r="D67" s="137">
        <f ca="1">Determination_of_Tariff!B22</f>
        <v>4.4111991595198337</v>
      </c>
      <c r="E67" s="187" t="s">
        <v>76</v>
      </c>
    </row>
    <row r="68" spans="2:5" x14ac:dyDescent="0.35">
      <c r="C68" s="11" t="s">
        <v>210</v>
      </c>
      <c r="D68" s="139">
        <f ca="1">Determination_of_Tariff!B23</f>
        <v>3.9996371394883088</v>
      </c>
      <c r="E68" s="187" t="s">
        <v>76</v>
      </c>
    </row>
    <row r="72" spans="2:5" x14ac:dyDescent="0.35">
      <c r="B72" s="389" t="s">
        <v>234</v>
      </c>
      <c r="C72" s="389"/>
    </row>
    <row r="73" spans="2:5" ht="14.5" customHeight="1" x14ac:dyDescent="0.35">
      <c r="B73" s="389"/>
      <c r="C73" s="389"/>
    </row>
    <row r="74" spans="2:5" x14ac:dyDescent="0.35">
      <c r="B74" s="389"/>
      <c r="C74" s="389"/>
    </row>
    <row r="75" spans="2:5" x14ac:dyDescent="0.35">
      <c r="B75" s="389"/>
      <c r="C75" s="389"/>
    </row>
    <row r="76" spans="2:5" x14ac:dyDescent="0.35">
      <c r="B76" s="389"/>
      <c r="C76" s="389"/>
    </row>
    <row r="77" spans="2:5" x14ac:dyDescent="0.35">
      <c r="B77" s="389"/>
      <c r="C77" s="389"/>
    </row>
    <row r="78" spans="2:5" x14ac:dyDescent="0.35">
      <c r="B78" s="389"/>
      <c r="C78" s="389"/>
    </row>
    <row r="79" spans="2:5" x14ac:dyDescent="0.35">
      <c r="B79" s="389"/>
      <c r="C79" s="389"/>
    </row>
    <row r="80" spans="2:5" x14ac:dyDescent="0.35">
      <c r="B80" s="389"/>
      <c r="C80" s="389"/>
    </row>
    <row r="81" spans="2:5" x14ac:dyDescent="0.35">
      <c r="B81" s="389"/>
      <c r="C81" s="389"/>
    </row>
    <row r="82" spans="2:5" x14ac:dyDescent="0.35">
      <c r="B82" s="389"/>
      <c r="C82" s="389"/>
    </row>
    <row r="83" spans="2:5" x14ac:dyDescent="0.35">
      <c r="B83" s="389"/>
      <c r="C83" s="389"/>
    </row>
    <row r="84" spans="2:5" x14ac:dyDescent="0.35">
      <c r="B84" s="389"/>
      <c r="C84" s="389"/>
    </row>
    <row r="85" spans="2:5" x14ac:dyDescent="0.35">
      <c r="B85" s="250" t="s">
        <v>235</v>
      </c>
    </row>
    <row r="91" spans="2:5" x14ac:dyDescent="0.35">
      <c r="D91" s="185" t="s">
        <v>132</v>
      </c>
      <c r="E91" s="185" t="s">
        <v>133</v>
      </c>
    </row>
    <row r="92" spans="2:5" x14ac:dyDescent="0.35">
      <c r="C92" s="185" t="s">
        <v>248</v>
      </c>
      <c r="D92" s="265">
        <f ca="1">D67</f>
        <v>4.4111991595198337</v>
      </c>
      <c r="E92" s="265">
        <f ca="1">D68</f>
        <v>3.9996371394883088</v>
      </c>
    </row>
    <row r="93" spans="2:5" x14ac:dyDescent="0.35">
      <c r="C93" s="275">
        <v>0.15</v>
      </c>
      <c r="D93" s="265">
        <f t="dataTable" ref="D93:E97" dt2D="0" dtr="0" r1="F11" ca="1"/>
        <v>3.8479577496598285</v>
      </c>
      <c r="E93" s="265">
        <v>3.4981300326330325</v>
      </c>
    </row>
    <row r="94" spans="2:5" x14ac:dyDescent="0.35">
      <c r="C94" s="275">
        <v>0.2</v>
      </c>
      <c r="D94" s="265">
        <v>3.6602068466047375</v>
      </c>
      <c r="E94" s="265">
        <v>3.3309572305795179</v>
      </c>
    </row>
    <row r="95" spans="2:5" x14ac:dyDescent="0.35">
      <c r="C95" s="275">
        <v>0.25</v>
      </c>
      <c r="D95" s="265">
        <v>3.4724584538501237</v>
      </c>
      <c r="E95" s="265">
        <v>3.1637869388264801</v>
      </c>
    </row>
    <row r="96" spans="2:5" x14ac:dyDescent="0.35">
      <c r="C96" s="275">
        <v>0.3</v>
      </c>
      <c r="D96" s="265">
        <v>3.2847100610955136</v>
      </c>
      <c r="E96" s="265">
        <v>2.9966166470734463</v>
      </c>
    </row>
    <row r="97" spans="3:5" x14ac:dyDescent="0.35">
      <c r="C97" s="275">
        <v>0.35</v>
      </c>
      <c r="D97" s="265">
        <v>3.096961668340906</v>
      </c>
      <c r="E97" s="265">
        <v>2.8294463553204148</v>
      </c>
    </row>
  </sheetData>
  <mergeCells count="4">
    <mergeCell ref="G31:H31"/>
    <mergeCell ref="K31:L31"/>
    <mergeCell ref="B72:C84"/>
    <mergeCell ref="G32:H32"/>
  </mergeCells>
  <hyperlinks>
    <hyperlink ref="G37" r:id="rId1" xr:uid="{1D7E2E4E-850D-4D6E-9C33-16830BFF2DB9}"/>
    <hyperlink ref="G25" r:id="rId2" xr:uid="{9B193A07-E3B2-4F86-B120-E03A38738413}"/>
    <hyperlink ref="H24" r:id="rId3" xr:uid="{92A4E666-DDDB-42CE-9CE9-C80A4D846495}"/>
    <hyperlink ref="K38" r:id="rId4" xr:uid="{106EE756-F171-4231-80A8-6A397FBA5B53}"/>
    <hyperlink ref="B85" r:id="rId5" xr:uid="{054331F8-15D1-4B36-A8C5-4B5025C83D01}"/>
    <hyperlink ref="G63" r:id="rId6" xr:uid="{DD695779-DA01-4229-BD38-E8918AA1F9CE}"/>
  </hyperlinks>
  <pageMargins left="0.7" right="0.7" top="0.75" bottom="0.75" header="0.3" footer="0.3"/>
  <pageSetup paperSize="9" orientation="landscape" r:id="rId7"/>
  <legacyDrawing r:id="rId8"/>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8B857A-EC61-4C2E-AC67-0F5B4078D649}">
  <sheetPr>
    <tabColor theme="7"/>
  </sheetPr>
  <dimension ref="A1:AC104"/>
  <sheetViews>
    <sheetView topLeftCell="K1" zoomScale="102" zoomScaleNormal="100" workbookViewId="0">
      <selection activeCell="M55" sqref="M55:R58"/>
    </sheetView>
  </sheetViews>
  <sheetFormatPr defaultRowHeight="14.5" x14ac:dyDescent="0.35"/>
  <cols>
    <col min="1" max="1" width="51.26953125" customWidth="1"/>
    <col min="2" max="2" width="13.453125" bestFit="1" customWidth="1"/>
    <col min="3" max="3" width="11.6328125" bestFit="1" customWidth="1"/>
    <col min="4" max="4" width="10.7265625" customWidth="1"/>
    <col min="5" max="5" width="9.36328125" bestFit="1" customWidth="1"/>
    <col min="6" max="6" width="10" customWidth="1"/>
    <col min="7" max="7" width="11.90625" customWidth="1"/>
    <col min="8" max="28" width="9.36328125" bestFit="1" customWidth="1"/>
  </cols>
  <sheetData>
    <row r="1" spans="1:28" x14ac:dyDescent="0.35">
      <c r="A1" s="34" t="s">
        <v>60</v>
      </c>
      <c r="B1" s="35"/>
    </row>
    <row r="2" spans="1:28" x14ac:dyDescent="0.35">
      <c r="A2" s="9" t="s">
        <v>61</v>
      </c>
      <c r="B2" s="9" t="s">
        <v>11</v>
      </c>
      <c r="C2" s="9" t="s">
        <v>71</v>
      </c>
      <c r="D2" s="9">
        <v>1</v>
      </c>
      <c r="E2" s="9">
        <v>2</v>
      </c>
      <c r="F2" s="9">
        <v>3</v>
      </c>
      <c r="G2" s="9">
        <v>4</v>
      </c>
      <c r="H2" s="9">
        <v>5</v>
      </c>
      <c r="I2" s="9">
        <v>6</v>
      </c>
      <c r="J2" s="9">
        <v>7</v>
      </c>
      <c r="K2" s="9">
        <v>8</v>
      </c>
      <c r="L2" s="9">
        <v>9</v>
      </c>
      <c r="M2" s="9">
        <v>10</v>
      </c>
      <c r="N2" s="9">
        <v>11</v>
      </c>
      <c r="O2" s="9">
        <v>12</v>
      </c>
      <c r="P2" s="9">
        <v>13</v>
      </c>
      <c r="Q2" s="9">
        <v>14</v>
      </c>
      <c r="R2" s="9">
        <v>15</v>
      </c>
      <c r="S2" s="9">
        <v>16</v>
      </c>
      <c r="T2" s="9">
        <v>17</v>
      </c>
      <c r="U2" s="9">
        <v>18</v>
      </c>
      <c r="V2" s="9">
        <v>19</v>
      </c>
      <c r="W2" s="9">
        <v>20</v>
      </c>
      <c r="X2" s="9">
        <v>21</v>
      </c>
      <c r="Y2" s="9">
        <v>22</v>
      </c>
      <c r="Z2" s="9">
        <v>23</v>
      </c>
      <c r="AA2" s="9">
        <v>24</v>
      </c>
      <c r="AB2" s="9">
        <v>25</v>
      </c>
    </row>
    <row r="3" spans="1:28" x14ac:dyDescent="0.35">
      <c r="A3" t="s">
        <v>62</v>
      </c>
      <c r="B3" t="s">
        <v>15</v>
      </c>
      <c r="D3">
        <f>IF(D2&lt;='Assumption for solar PV Power P'!$F$10,'Assumption for solar PV Power P'!$F$5,0)</f>
        <v>1</v>
      </c>
      <c r="E3">
        <f>IF(E2&lt;='Assumption for solar PV Power P'!$F$10,'Assumption for solar PV Power P'!$F$5,0)</f>
        <v>1</v>
      </c>
      <c r="F3">
        <f>IF(F2&lt;='Assumption for solar PV Power P'!$F$10,'Assumption for solar PV Power P'!$F$5,0)</f>
        <v>1</v>
      </c>
      <c r="G3">
        <f>IF(G2&lt;='Assumption for solar PV Power P'!$F$10,'Assumption for solar PV Power P'!$F$5,0)</f>
        <v>1</v>
      </c>
      <c r="H3">
        <f>IF(H2&lt;='Assumption for solar PV Power P'!$F$10,'Assumption for solar PV Power P'!$F$5,0)</f>
        <v>1</v>
      </c>
      <c r="I3">
        <f>IF(I2&lt;='Assumption for solar PV Power P'!$F$10,'Assumption for solar PV Power P'!$F$5,0)</f>
        <v>1</v>
      </c>
      <c r="J3">
        <f>IF(J2&lt;='Assumption for solar PV Power P'!$F$10,'Assumption for solar PV Power P'!$F$5,0)</f>
        <v>1</v>
      </c>
      <c r="K3">
        <f>IF(K2&lt;='Assumption for solar PV Power P'!$F$10,'Assumption for solar PV Power P'!$F$5,0)</f>
        <v>1</v>
      </c>
      <c r="L3">
        <f>IF(L2&lt;='Assumption for solar PV Power P'!$F$10,'Assumption for solar PV Power P'!$F$5,0)</f>
        <v>1</v>
      </c>
      <c r="M3">
        <f>IF(M2&lt;='Assumption for solar PV Power P'!$F$10,'Assumption for solar PV Power P'!$F$5,0)</f>
        <v>1</v>
      </c>
      <c r="N3">
        <f>IF(N2&lt;='Assumption for solar PV Power P'!$F$10,'Assumption for solar PV Power P'!$F$5,0)</f>
        <v>1</v>
      </c>
      <c r="O3">
        <f>IF(O2&lt;='Assumption for solar PV Power P'!$F$10,'Assumption for solar PV Power P'!$F$5,0)</f>
        <v>1</v>
      </c>
      <c r="P3">
        <f>IF(P2&lt;='Assumption for solar PV Power P'!$F$10,'Assumption for solar PV Power P'!$F$5,0)</f>
        <v>1</v>
      </c>
      <c r="Q3">
        <f>IF(Q2&lt;='Assumption for solar PV Power P'!$F$10,'Assumption for solar PV Power P'!$F$5,0)</f>
        <v>1</v>
      </c>
      <c r="R3">
        <f>IF(R2&lt;='Assumption for solar PV Power P'!$F$10,'Assumption for solar PV Power P'!$F$5,0)</f>
        <v>1</v>
      </c>
      <c r="S3">
        <f>IF(S2&lt;='Assumption for solar PV Power P'!$F$10,'Assumption for solar PV Power P'!$F$5,0)</f>
        <v>1</v>
      </c>
      <c r="T3">
        <f>IF(T2&lt;='Assumption for solar PV Power P'!$F$10,'Assumption for solar PV Power P'!$F$5,0)</f>
        <v>1</v>
      </c>
      <c r="U3">
        <f>IF(U2&lt;='Assumption for solar PV Power P'!$F$10,'Assumption for solar PV Power P'!$F$5,0)</f>
        <v>1</v>
      </c>
      <c r="V3">
        <f>IF(V2&lt;='Assumption for solar PV Power P'!$F$10,'Assumption for solar PV Power P'!$F$5,0)</f>
        <v>1</v>
      </c>
      <c r="W3">
        <f>IF(W2&lt;='Assumption for solar PV Power P'!$F$10,'Assumption for solar PV Power P'!$F$5,0)</f>
        <v>1</v>
      </c>
      <c r="X3">
        <f>IF(X2&lt;='Assumption for solar PV Power P'!$F$10,'Assumption for solar PV Power P'!$F$5,0)</f>
        <v>1</v>
      </c>
      <c r="Y3">
        <f>IF(Y2&lt;='Assumption for solar PV Power P'!$F$10,'Assumption for solar PV Power P'!$F$5,0)</f>
        <v>1</v>
      </c>
      <c r="Z3">
        <f>IF(Z2&lt;='Assumption for solar PV Power P'!$F$10,'Assumption for solar PV Power P'!$F$5,0)</f>
        <v>1</v>
      </c>
      <c r="AA3">
        <f>IF(AA2&lt;='Assumption for solar PV Power P'!$F$10,'Assumption for solar PV Power P'!$F$5,0)</f>
        <v>1</v>
      </c>
      <c r="AB3">
        <f>IF(AB2&lt;='Assumption for solar PV Power P'!$F$10,'Assumption for solar PV Power P'!$F$5,0)</f>
        <v>1</v>
      </c>
    </row>
    <row r="4" spans="1:28" x14ac:dyDescent="0.35">
      <c r="A4" t="s">
        <v>63</v>
      </c>
      <c r="B4" t="s">
        <v>73</v>
      </c>
      <c r="D4" s="365">
        <f>(D3*1000*365*24*'Assumption for solar PV Power P'!$F$7/100)/10^6</f>
        <v>1.1826000000000001</v>
      </c>
      <c r="E4" s="365">
        <f>D$4*(1-'Assumption for solar PV Power P'!$F$8)</f>
        <v>1.1743218000000002</v>
      </c>
      <c r="F4" s="365">
        <f>E$4*(1-'Assumption for solar PV Power P'!$F$8)</f>
        <v>1.1661015474000003</v>
      </c>
      <c r="G4" s="365">
        <f>F$4*(1-'Assumption for solar PV Power P'!$F$8)</f>
        <v>1.1579388365682002</v>
      </c>
      <c r="H4" s="365">
        <f>G$4*(1-'Assumption for solar PV Power P'!$F$8)</f>
        <v>1.1498332647122227</v>
      </c>
      <c r="I4" s="365">
        <f>H$4*(1-'Assumption for solar PV Power P'!$F$8)</f>
        <v>1.1417844318592372</v>
      </c>
      <c r="J4" s="365">
        <f>I$4*(1-'Assumption for solar PV Power P'!$F$8)</f>
        <v>1.1337919408362225</v>
      </c>
      <c r="K4" s="365">
        <f>J$4*(1-'Assumption for solar PV Power P'!$F$8)</f>
        <v>1.1258553972503689</v>
      </c>
      <c r="L4" s="365">
        <f>K$4*(1-'Assumption for solar PV Power P'!$F$8)</f>
        <v>1.1179744094696162</v>
      </c>
      <c r="M4" s="365">
        <f>L$4*(1-'Assumption for solar PV Power P'!$F$8)</f>
        <v>1.1101485886033289</v>
      </c>
      <c r="N4" s="365">
        <f>M$4*(1-'Assumption for solar PV Power P'!$F$8)</f>
        <v>1.1023775484831055</v>
      </c>
      <c r="O4" s="365">
        <f>N$4*(1-'Assumption for solar PV Power P'!$F$8)</f>
        <v>1.0946609056437238</v>
      </c>
      <c r="P4" s="365">
        <f>O$4*(1-'Assumption for solar PV Power P'!$F$8)</f>
        <v>1.0869982793042177</v>
      </c>
      <c r="Q4" s="365">
        <f>P$4*(1-'Assumption for solar PV Power P'!$F$8)</f>
        <v>1.0793892913490881</v>
      </c>
      <c r="R4" s="365">
        <f>Q$4*(1-'Assumption for solar PV Power P'!$F$8)</f>
        <v>1.0718335663096445</v>
      </c>
      <c r="S4" s="365">
        <f>R$4*(1-'Assumption for solar PV Power P'!$F$8)</f>
        <v>1.0643307313454771</v>
      </c>
      <c r="T4" s="365">
        <f>S$4*(1-'Assumption for solar PV Power P'!$F$8)</f>
        <v>1.0568804162260588</v>
      </c>
      <c r="U4" s="365">
        <f>T$4*(1-'Assumption for solar PV Power P'!$F$8)</f>
        <v>1.0494822533124764</v>
      </c>
      <c r="V4" s="365">
        <f>U$4*(1-'Assumption for solar PV Power P'!$F$8)</f>
        <v>1.042135877539289</v>
      </c>
      <c r="W4" s="365">
        <f>V$4*(1-'Assumption for solar PV Power P'!$F$8)</f>
        <v>1.0348409263965139</v>
      </c>
      <c r="X4" s="365">
        <f>W$4*(1-'Assumption for solar PV Power P'!$F$8)</f>
        <v>1.0275970399117382</v>
      </c>
      <c r="Y4" s="365">
        <f>X$4*(1-'Assumption for solar PV Power P'!$F$8)</f>
        <v>1.020403860632356</v>
      </c>
      <c r="Z4" s="365">
        <f>Y$4*(1-'Assumption for solar PV Power P'!$F$8)</f>
        <v>1.0132610336079295</v>
      </c>
      <c r="AA4" s="365">
        <f>Z$4*(1-'Assumption for solar PV Power P'!$F$8)</f>
        <v>1.006168206372674</v>
      </c>
      <c r="AB4" s="365">
        <f>AA$4*(1-'Assumption for solar PV Power P'!$F$8)</f>
        <v>0.99912502892806532</v>
      </c>
    </row>
    <row r="5" spans="1:28" x14ac:dyDescent="0.35">
      <c r="A5" t="s">
        <v>17</v>
      </c>
      <c r="B5" t="s">
        <v>73</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row>
    <row r="6" spans="1:28" x14ac:dyDescent="0.35">
      <c r="A6" t="s">
        <v>288</v>
      </c>
      <c r="B6" t="s">
        <v>73</v>
      </c>
      <c r="D6" s="12">
        <f>D4*(1-'Assumption for solar PV Power P'!$F$9)</f>
        <v>1.1826000000000001</v>
      </c>
      <c r="E6" s="12">
        <f>E4*(1-'Assumption for solar PV Power P'!$F$9)</f>
        <v>1.1743218000000002</v>
      </c>
      <c r="F6" s="12">
        <f>F4*(1-'Assumption for solar PV Power P'!$F$9)</f>
        <v>1.1661015474000003</v>
      </c>
      <c r="G6" s="12">
        <f>G4*(1-'Assumption for solar PV Power P'!$F$9)</f>
        <v>1.1579388365682002</v>
      </c>
      <c r="H6" s="12">
        <f>H4*(1-'Assumption for solar PV Power P'!$F$9)</f>
        <v>1.1498332647122227</v>
      </c>
      <c r="I6" s="12">
        <f>I4*(1-'Assumption for solar PV Power P'!$F$9)</f>
        <v>1.1417844318592372</v>
      </c>
      <c r="J6" s="12">
        <f>J4*(1-'Assumption for solar PV Power P'!$F$9)</f>
        <v>1.1337919408362225</v>
      </c>
      <c r="K6" s="12">
        <f>K4*(1-'Assumption for solar PV Power P'!$F$9)</f>
        <v>1.1258553972503689</v>
      </c>
      <c r="L6" s="12">
        <f>L4*(1-'Assumption for solar PV Power P'!$F$9)</f>
        <v>1.1179744094696162</v>
      </c>
      <c r="M6" s="12">
        <f>M4*(1-'Assumption for solar PV Power P'!$F$9)</f>
        <v>1.1101485886033289</v>
      </c>
      <c r="N6" s="12">
        <f>N4*(1-'Assumption for solar PV Power P'!$F$9)</f>
        <v>1.1023775484831055</v>
      </c>
      <c r="O6" s="12">
        <f>O4*(1-'Assumption for solar PV Power P'!$F$9)</f>
        <v>1.0946609056437238</v>
      </c>
      <c r="P6" s="12">
        <f>P4*(1-'Assumption for solar PV Power P'!$F$9)</f>
        <v>1.0869982793042177</v>
      </c>
      <c r="Q6" s="12">
        <f>Q4*(1-'Assumption for solar PV Power P'!$F$9)</f>
        <v>1.0793892913490881</v>
      </c>
      <c r="R6" s="12">
        <f>R4*(1-'Assumption for solar PV Power P'!$F$9)</f>
        <v>1.0718335663096445</v>
      </c>
      <c r="S6" s="12">
        <f>S4*(1-'Assumption for solar PV Power P'!$F$9)</f>
        <v>1.0643307313454771</v>
      </c>
      <c r="T6" s="12">
        <f>T4*(1-'Assumption for solar PV Power P'!$F$9)</f>
        <v>1.0568804162260588</v>
      </c>
      <c r="U6" s="12">
        <f>U4*(1-'Assumption for solar PV Power P'!$F$9)</f>
        <v>1.0494822533124764</v>
      </c>
      <c r="V6" s="12">
        <f>V4*(1-'Assumption for solar PV Power P'!$F$9)</f>
        <v>1.042135877539289</v>
      </c>
      <c r="W6" s="12">
        <f>W4*(1-'Assumption for solar PV Power P'!$F$9)</f>
        <v>1.0348409263965139</v>
      </c>
      <c r="X6" s="12">
        <f>X4*(1-'Assumption for solar PV Power P'!$F$9)</f>
        <v>1.0275970399117382</v>
      </c>
      <c r="Y6" s="12">
        <f>Y4*(1-'Assumption for solar PV Power P'!$F$9)</f>
        <v>1.020403860632356</v>
      </c>
      <c r="Z6" s="12">
        <f>Z4*(1-'Assumption for solar PV Power P'!$F$9)</f>
        <v>1.0132610336079295</v>
      </c>
      <c r="AA6" s="12">
        <f>AA4*(1-'Assumption for solar PV Power P'!$F$9)</f>
        <v>1.006168206372674</v>
      </c>
      <c r="AB6" s="12">
        <f>AB4*(1-'Assumption for solar PV Power P'!$F$9)</f>
        <v>0.99912502892806532</v>
      </c>
    </row>
    <row r="7" spans="1:28" x14ac:dyDescent="0.35">
      <c r="A7" t="s">
        <v>289</v>
      </c>
      <c r="B7" t="s">
        <v>73</v>
      </c>
      <c r="D7" s="12">
        <f>D6</f>
        <v>1.1826000000000001</v>
      </c>
      <c r="E7" s="12">
        <f t="shared" ref="E7:AB7" si="0">E6</f>
        <v>1.1743218000000002</v>
      </c>
      <c r="F7" s="12">
        <f t="shared" si="0"/>
        <v>1.1661015474000003</v>
      </c>
      <c r="G7" s="12">
        <f t="shared" si="0"/>
        <v>1.1579388365682002</v>
      </c>
      <c r="H7" s="12">
        <f t="shared" si="0"/>
        <v>1.1498332647122227</v>
      </c>
      <c r="I7" s="12">
        <f t="shared" si="0"/>
        <v>1.1417844318592372</v>
      </c>
      <c r="J7" s="12">
        <f t="shared" si="0"/>
        <v>1.1337919408362225</v>
      </c>
      <c r="K7" s="12">
        <f t="shared" si="0"/>
        <v>1.1258553972503689</v>
      </c>
      <c r="L7" s="12">
        <f t="shared" si="0"/>
        <v>1.1179744094696162</v>
      </c>
      <c r="M7" s="12">
        <f t="shared" si="0"/>
        <v>1.1101485886033289</v>
      </c>
      <c r="N7" s="12">
        <f t="shared" si="0"/>
        <v>1.1023775484831055</v>
      </c>
      <c r="O7" s="12">
        <f t="shared" si="0"/>
        <v>1.0946609056437238</v>
      </c>
      <c r="P7" s="12">
        <f t="shared" si="0"/>
        <v>1.0869982793042177</v>
      </c>
      <c r="Q7" s="12">
        <f t="shared" si="0"/>
        <v>1.0793892913490881</v>
      </c>
      <c r="R7" s="12">
        <f t="shared" si="0"/>
        <v>1.0718335663096445</v>
      </c>
      <c r="S7" s="12">
        <f t="shared" si="0"/>
        <v>1.0643307313454771</v>
      </c>
      <c r="T7" s="12">
        <f t="shared" si="0"/>
        <v>1.0568804162260588</v>
      </c>
      <c r="U7" s="12">
        <f t="shared" si="0"/>
        <v>1.0494822533124764</v>
      </c>
      <c r="V7" s="12">
        <f t="shared" si="0"/>
        <v>1.042135877539289</v>
      </c>
      <c r="W7" s="12">
        <f t="shared" si="0"/>
        <v>1.0348409263965139</v>
      </c>
      <c r="X7" s="12">
        <f t="shared" si="0"/>
        <v>1.0275970399117382</v>
      </c>
      <c r="Y7" s="12">
        <f t="shared" si="0"/>
        <v>1.020403860632356</v>
      </c>
      <c r="Z7" s="12">
        <f t="shared" si="0"/>
        <v>1.0132610336079295</v>
      </c>
      <c r="AA7" s="12">
        <f t="shared" si="0"/>
        <v>1.006168206372674</v>
      </c>
      <c r="AB7" s="12">
        <f t="shared" si="0"/>
        <v>0.99912502892806532</v>
      </c>
    </row>
    <row r="8" spans="1:28" x14ac:dyDescent="0.35">
      <c r="A8" s="9" t="s">
        <v>64</v>
      </c>
      <c r="B8" s="9" t="s">
        <v>11</v>
      </c>
      <c r="C8" s="9" t="s">
        <v>71</v>
      </c>
      <c r="D8" s="9">
        <v>1</v>
      </c>
      <c r="E8" s="9">
        <v>2</v>
      </c>
      <c r="F8" s="9">
        <v>3</v>
      </c>
      <c r="G8" s="9">
        <v>4</v>
      </c>
      <c r="H8" s="9">
        <v>5</v>
      </c>
      <c r="I8" s="9">
        <v>6</v>
      </c>
      <c r="J8" s="9">
        <v>7</v>
      </c>
      <c r="K8" s="9">
        <v>8</v>
      </c>
      <c r="L8" s="9">
        <v>9</v>
      </c>
      <c r="M8" s="9">
        <v>10</v>
      </c>
      <c r="N8" s="9">
        <v>11</v>
      </c>
      <c r="O8" s="9">
        <v>12</v>
      </c>
      <c r="P8" s="9">
        <v>13</v>
      </c>
      <c r="Q8" s="9">
        <v>14</v>
      </c>
      <c r="R8" s="9">
        <v>15</v>
      </c>
      <c r="S8" s="9">
        <v>16</v>
      </c>
      <c r="T8" s="9">
        <v>17</v>
      </c>
      <c r="U8" s="9">
        <v>18</v>
      </c>
      <c r="V8" s="9">
        <v>19</v>
      </c>
      <c r="W8" s="9">
        <v>20</v>
      </c>
      <c r="X8" s="9">
        <v>21</v>
      </c>
      <c r="Y8" s="9">
        <v>22</v>
      </c>
      <c r="Z8" s="9">
        <v>23</v>
      </c>
      <c r="AA8" s="9">
        <v>24</v>
      </c>
      <c r="AB8" s="9">
        <v>25</v>
      </c>
    </row>
    <row r="9" spans="1:28" x14ac:dyDescent="0.35">
      <c r="A9" t="s">
        <v>5</v>
      </c>
      <c r="B9" t="s">
        <v>74</v>
      </c>
      <c r="D9">
        <f>'Assumption for solar PV Power P'!$F$54</f>
        <v>4</v>
      </c>
      <c r="E9" s="12">
        <f>D9*(1+'Assumption for solar PV Power P'!$F$55/100)*(1+INPUT!$F$20)</f>
        <v>4.2287999999999997</v>
      </c>
      <c r="F9" s="12">
        <f>E9*(1+'Assumption for solar PV Power P'!$F$55/100)*(1+INPUT!$F$20)</f>
        <v>4.4706873599999994</v>
      </c>
      <c r="G9" s="12">
        <f>F9*(1+'Assumption for solar PV Power P'!$F$55/100)*(1+INPUT!$F$20)</f>
        <v>4.7264106769919989</v>
      </c>
      <c r="H9" s="12">
        <f>G9*(1+'Assumption for solar PV Power P'!$F$55/100)*(1+INPUT!$F$20)</f>
        <v>4.9967613677159406</v>
      </c>
      <c r="I9" s="12">
        <f>H9*(1+'Assumption for solar PV Power P'!$F$55/100)*(1+INPUT!$F$20)</f>
        <v>5.2825761179492918</v>
      </c>
      <c r="J9" s="12">
        <f>I9*(1+'Assumption for solar PV Power P'!$F$55/100)*(1+INPUT!$F$20)</f>
        <v>5.5847394718959906</v>
      </c>
      <c r="K9" s="12">
        <f>J9*(1+'Assumption for solar PV Power P'!$F$55/100)*(1+INPUT!$F$20)</f>
        <v>5.9041865696884406</v>
      </c>
      <c r="L9" s="12">
        <f>K9*(1+'Assumption for solar PV Power P'!$F$55/100)*(1+INPUT!$F$20)</f>
        <v>6.2419060414746186</v>
      </c>
      <c r="M9" s="12">
        <f>L9*(1+'Assumption for solar PV Power P'!$F$55/100)*(1+INPUT!$F$20)</f>
        <v>6.5989430670469664</v>
      </c>
      <c r="N9" s="12">
        <f>M9*(1+'Assumption for solar PV Power P'!$F$55/100)*(1+INPUT!$F$20)</f>
        <v>6.9764026104820527</v>
      </c>
      <c r="O9" s="12">
        <f>N9*(1+'Assumption for solar PV Power P'!$F$55/100)*(1+INPUT!$F$20)</f>
        <v>7.3754528398016257</v>
      </c>
      <c r="P9" s="12">
        <f>O9*(1+'Assumption for solar PV Power P'!$F$55/100)*(1+INPUT!$F$20)</f>
        <v>7.7973287422382782</v>
      </c>
      <c r="Q9" s="12">
        <f>P9*(1+'Assumption for solar PV Power P'!$F$55/100)*(1+INPUT!$F$20)</f>
        <v>8.243335946294307</v>
      </c>
      <c r="R9" s="12">
        <f>Q9*(1+'Assumption for solar PV Power P'!$F$55/100)*(1+INPUT!$F$20)</f>
        <v>8.7148547624223411</v>
      </c>
      <c r="S9" s="12">
        <f>R9*(1+'Assumption for solar PV Power P'!$F$55/100)*(1+INPUT!$F$20)</f>
        <v>9.2133444548328978</v>
      </c>
      <c r="T9" s="12">
        <f>S9*(1+'Assumption for solar PV Power P'!$F$55/100)*(1+INPUT!$F$20)</f>
        <v>9.7403477576493387</v>
      </c>
      <c r="U9" s="12">
        <f>T9*(1+'Assumption for solar PV Power P'!$F$55/100)*(1+INPUT!$F$20)</f>
        <v>10.29749564938688</v>
      </c>
      <c r="V9" s="12">
        <f>U9*(1+'Assumption for solar PV Power P'!$F$55/100)*(1+INPUT!$F$20)</f>
        <v>10.886512400531808</v>
      </c>
      <c r="W9" s="12">
        <f>V9*(1+'Assumption for solar PV Power P'!$F$55/100)*(1+INPUT!$F$20)</f>
        <v>11.509220909842227</v>
      </c>
      <c r="X9" s="12">
        <f>W9*(1+'Assumption for solar PV Power P'!$F$55/100)*(1+INPUT!$F$20)</f>
        <v>12.167548345885201</v>
      </c>
      <c r="Y9" s="12">
        <f>X9*(1+'Assumption for solar PV Power P'!$F$55/100)*(1+INPUT!$F$20)</f>
        <v>12.863532111269834</v>
      </c>
      <c r="Z9" s="12">
        <f>Y9*(1+'Assumption for solar PV Power P'!$F$55/100)*(1+INPUT!$F$20)</f>
        <v>13.599326148034468</v>
      </c>
      <c r="AA9" s="12">
        <f>Z9*(1+'Assumption for solar PV Power P'!$F$55/100)*(1+INPUT!$F$20)</f>
        <v>14.377207603702038</v>
      </c>
      <c r="AB9" s="12">
        <f>AA9*(1+'Assumption for solar PV Power P'!$F$55/100)*(1+INPUT!$F$20)</f>
        <v>15.199583878633794</v>
      </c>
    </row>
    <row r="10" spans="1:28" x14ac:dyDescent="0.35">
      <c r="A10" t="s">
        <v>3</v>
      </c>
      <c r="B10" t="s">
        <v>74</v>
      </c>
      <c r="D10" s="12">
        <f>IF(D2&lt;='Assumption for solar PV Power P'!$B$42,'Assumption for solar PV Power P'!$G$42,'Assumption for solar PV Power P'!$G$43)</f>
        <v>20.4633</v>
      </c>
      <c r="E10" s="12">
        <f>IF(E2&lt;='Assumption for solar PV Power P'!$B$42,'Assumption for solar PV Power P'!$G$42,'Assumption for solar PV Power P'!$G$43)</f>
        <v>20.4633</v>
      </c>
      <c r="F10" s="12">
        <f>IF(F2&lt;='Assumption for solar PV Power P'!$B$42,'Assumption for solar PV Power P'!$G$42,'Assumption for solar PV Power P'!$G$43)</f>
        <v>20.4633</v>
      </c>
      <c r="G10" s="12">
        <f>IF(G2&lt;='Assumption for solar PV Power P'!$B$42,'Assumption for solar PV Power P'!$G$42,'Assumption for solar PV Power P'!$G$43)</f>
        <v>20.4633</v>
      </c>
      <c r="H10" s="12">
        <f>IF(H2&lt;='Assumption for solar PV Power P'!$B$42,'Assumption for solar PV Power P'!$G$42,'Assumption for solar PV Power P'!$G$43)</f>
        <v>20.4633</v>
      </c>
      <c r="I10" s="12">
        <f>IF(I2&lt;='Assumption for solar PV Power P'!$B$42,'Assumption for solar PV Power P'!$G$42,'Assumption for solar PV Power P'!$G$43)</f>
        <v>20.4633</v>
      </c>
      <c r="J10" s="12">
        <f>IF(J2&lt;='Assumption for solar PV Power P'!$B$42,'Assumption for solar PV Power P'!$G$42,'Assumption for solar PV Power P'!$G$43)</f>
        <v>20.4633</v>
      </c>
      <c r="K10" s="12">
        <f>IF(K2&lt;='Assumption for solar PV Power P'!$B$42,'Assumption for solar PV Power P'!$G$42,'Assumption for solar PV Power P'!$G$43)</f>
        <v>20.4633</v>
      </c>
      <c r="L10" s="12">
        <f>IF(L2&lt;='Assumption for solar PV Power P'!$B$42,'Assumption for solar PV Power P'!$G$42,'Assumption for solar PV Power P'!$G$43)</f>
        <v>20.4633</v>
      </c>
      <c r="M10" s="12">
        <f>IF(M2&lt;='Assumption for solar PV Power P'!$B$42,'Assumption for solar PV Power P'!$G$42,'Assumption for solar PV Power P'!$G$43)</f>
        <v>20.4633</v>
      </c>
      <c r="N10" s="12">
        <f>IF(N2&lt;='Assumption for solar PV Power P'!$B$42,'Assumption for solar PV Power P'!$G$42,'Assumption for solar PV Power P'!$G$43)</f>
        <v>20.4633</v>
      </c>
      <c r="O10" s="12">
        <f>IF(O2&lt;='Assumption for solar PV Power P'!$B$42,'Assumption for solar PV Power P'!$G$42,'Assumption for solar PV Power P'!$G$43)</f>
        <v>20.4633</v>
      </c>
      <c r="P10" s="12">
        <f>IF(P2&lt;='Assumption for solar PV Power P'!$B$42,'Assumption for solar PV Power P'!$G$42,'Assumption for solar PV Power P'!$G$43)</f>
        <v>20.4633</v>
      </c>
      <c r="Q10" s="12">
        <f>IF(Q2&lt;='Assumption for solar PV Power P'!$B$42,'Assumption for solar PV Power P'!$G$42,'Assumption for solar PV Power P'!$G$43)</f>
        <v>4.1564250000000031</v>
      </c>
      <c r="R10" s="12">
        <f>IF(R2&lt;='Assumption for solar PV Power P'!$B$42,'Assumption for solar PV Power P'!$G$42,'Assumption for solar PV Power P'!$G$43)</f>
        <v>4.1564250000000031</v>
      </c>
      <c r="S10" s="12">
        <f>IF(S2&lt;='Assumption for solar PV Power P'!$B$42,'Assumption for solar PV Power P'!$G$42,'Assumption for solar PV Power P'!$G$43)</f>
        <v>4.1564250000000031</v>
      </c>
      <c r="T10" s="12">
        <f>IF(T2&lt;='Assumption for solar PV Power P'!$B$42,'Assumption for solar PV Power P'!$G$42,'Assumption for solar PV Power P'!$G$43)</f>
        <v>4.1564250000000031</v>
      </c>
      <c r="U10" s="12">
        <f>IF(U2&lt;='Assumption for solar PV Power P'!$B$42,'Assumption for solar PV Power P'!$G$42,'Assumption for solar PV Power P'!$G$43)</f>
        <v>4.1564250000000031</v>
      </c>
      <c r="V10" s="12">
        <f>IF(V2&lt;='Assumption for solar PV Power P'!$B$42,'Assumption for solar PV Power P'!$G$42,'Assumption for solar PV Power P'!$G$43)</f>
        <v>4.1564250000000031</v>
      </c>
      <c r="W10" s="12">
        <f>IF(W2&lt;='Assumption for solar PV Power P'!$B$42,'Assumption for solar PV Power P'!$G$42,'Assumption for solar PV Power P'!$G$43)</f>
        <v>4.1564250000000031</v>
      </c>
      <c r="X10" s="12">
        <f>IF(X2&lt;='Assumption for solar PV Power P'!$B$42,'Assumption for solar PV Power P'!$G$42,'Assumption for solar PV Power P'!$G$43)</f>
        <v>4.1564250000000031</v>
      </c>
      <c r="Y10" s="12">
        <f>IF(Y2&lt;='Assumption for solar PV Power P'!$B$42,'Assumption for solar PV Power P'!$G$42,'Assumption for solar PV Power P'!$G$43)</f>
        <v>4.1564250000000031</v>
      </c>
      <c r="Z10" s="12">
        <f>IF(Z2&lt;='Assumption for solar PV Power P'!$B$42,'Assumption for solar PV Power P'!$G$42,'Assumption for solar PV Power P'!$G$43)</f>
        <v>4.1564250000000031</v>
      </c>
      <c r="AA10" s="12">
        <f>IF(AA2&lt;='Assumption for solar PV Power P'!$B$42,'Assumption for solar PV Power P'!$G$42,'Assumption for solar PV Power P'!$G$43)</f>
        <v>4.1564250000000031</v>
      </c>
      <c r="AB10" s="12">
        <f>IF(AB2&lt;='Assumption for solar PV Power P'!$B$42,'Assumption for solar PV Power P'!$G$42,'Assumption for solar PV Power P'!$G$43)</f>
        <v>4.1564250000000031</v>
      </c>
    </row>
    <row r="11" spans="1:28" x14ac:dyDescent="0.35">
      <c r="A11" t="s">
        <v>65</v>
      </c>
      <c r="B11" t="s">
        <v>74</v>
      </c>
      <c r="D11" s="12">
        <f>IF(D2&lt;='Assumption for solar PV Power P'!$F$23,'Interest(onLOAN)'!B$4,0)</f>
        <v>25.65</v>
      </c>
      <c r="E11" s="12">
        <f>IF(E2&lt;='Assumption for solar PV Power P'!$F$23,'Interest(onLOAN)'!C$4,0)</f>
        <v>23.597999999999999</v>
      </c>
      <c r="F11" s="12">
        <f>IF(F2&lt;='Assumption for solar PV Power P'!$F$23,'Interest(onLOAN)'!D$4,0)</f>
        <v>21.546000000000003</v>
      </c>
      <c r="G11" s="12">
        <f>IF(G2&lt;='Assumption for solar PV Power P'!$F$23,'Interest(onLOAN)'!E$4,0)</f>
        <v>19.494</v>
      </c>
      <c r="H11" s="12">
        <f>IF(H2&lt;='Assumption for solar PV Power P'!$F$23,'Interest(onLOAN)'!F$4,0)</f>
        <v>17.442000000000004</v>
      </c>
      <c r="I11" s="12">
        <f>IF(I2&lt;='Assumption for solar PV Power P'!$F$23,'Interest(onLOAN)'!G$4,0)</f>
        <v>15.39</v>
      </c>
      <c r="J11" s="12">
        <f>IF(J2&lt;='Assumption for solar PV Power P'!$F$23,'Interest(onLOAN)'!H$4,0)</f>
        <v>13.338000000000003</v>
      </c>
      <c r="K11" s="12">
        <f>IF(K2&lt;='Assumption for solar PV Power P'!$F$23,'Interest(onLOAN)'!I$4,0)</f>
        <v>11.286000000000003</v>
      </c>
      <c r="L11" s="12">
        <f>IF(L2&lt;='Assumption for solar PV Power P'!$F$23,'Interest(onLOAN)'!J$4,0)</f>
        <v>9.2340000000000035</v>
      </c>
      <c r="M11" s="12">
        <f>IF(M2&lt;='Assumption for solar PV Power P'!$F$23,'Interest(onLOAN)'!K$4,0)</f>
        <v>7.1820000000000039</v>
      </c>
      <c r="N11" s="12">
        <f>IF(N2&lt;='Assumption for solar PV Power P'!$F$23,'Interest(onLOAN)'!L$4,0)</f>
        <v>5.1300000000000043</v>
      </c>
      <c r="O11" s="12">
        <f>IF(O2&lt;='Assumption for solar PV Power P'!$F$23,'Interest(onLOAN)'!M$4,0)</f>
        <v>3.0780000000000034</v>
      </c>
      <c r="P11" s="12">
        <f>IF(P2&lt;='Assumption for solar PV Power P'!$F$23,'Interest(onLOAN)'!N$4,0)</f>
        <v>1.0260000000000034</v>
      </c>
      <c r="Q11" s="12">
        <f>IF(Q2&lt;='Assumption for solar PV Power P'!$F$23,'Interest(onLOAN)'!O$4,0)</f>
        <v>0</v>
      </c>
      <c r="R11" s="12">
        <f>IF(R2&lt;='Assumption for solar PV Power P'!$F$23,'Interest(onLOAN)'!P$4,0)</f>
        <v>0</v>
      </c>
      <c r="S11" s="12">
        <f>IF(S2&lt;='Assumption for solar PV Power P'!$F$23,'Interest(onLOAN)'!Q$4,0)</f>
        <v>0</v>
      </c>
      <c r="T11" s="12">
        <f>IF(T2&lt;='Assumption for solar PV Power P'!$F$23,'Interest(onLOAN)'!R$4,0)</f>
        <v>0</v>
      </c>
      <c r="U11" s="12">
        <f>IF(U2&lt;='Assumption for solar PV Power P'!$F$23,'Interest(onLOAN)'!S$4,0)</f>
        <v>0</v>
      </c>
      <c r="V11" s="12">
        <f>IF(V2&lt;='Assumption for solar PV Power P'!$F$23,'Interest(onLOAN)'!T$4,0)</f>
        <v>0</v>
      </c>
      <c r="W11" s="12">
        <f>IF(W2&lt;='Assumption for solar PV Power P'!$F$23,'Interest(onLOAN)'!U$4,0)</f>
        <v>0</v>
      </c>
      <c r="X11" s="12">
        <f>IF(X2&lt;='Assumption for solar PV Power P'!$F$23,'Interest(onLOAN)'!V$4,0)</f>
        <v>0</v>
      </c>
      <c r="Y11" s="12">
        <f>IF(Y2&lt;='Assumption for solar PV Power P'!$F$23,'Interest(onLOAN)'!W$4,0)</f>
        <v>0</v>
      </c>
      <c r="Z11" s="12">
        <f>IF(Z2&lt;='Assumption for solar PV Power P'!$F$23,'Interest(onLOAN)'!X$4,0)</f>
        <v>0</v>
      </c>
      <c r="AA11" s="12">
        <f>IF(AA2&lt;='Assumption for solar PV Power P'!$F$23,'Interest(onLOAN)'!Y$4,0)</f>
        <v>0</v>
      </c>
      <c r="AB11" s="12">
        <f>IF(AB2&lt;='Assumption for solar PV Power P'!$F$23,'Interest(onLOAN)'!Z$4,0)</f>
        <v>0</v>
      </c>
    </row>
    <row r="12" spans="1:28" x14ac:dyDescent="0.35">
      <c r="A12" t="s">
        <v>56</v>
      </c>
      <c r="B12" t="s">
        <v>74</v>
      </c>
      <c r="D12" s="12">
        <f ca="1">B37*'Assumption for solar PV Power P'!$F$52/100</f>
        <v>1.4235064515984959</v>
      </c>
      <c r="E12" s="12">
        <f ca="1">C37*'Assumption for solar PV Power P'!$F$52/100</f>
        <v>1.3865335494747546</v>
      </c>
      <c r="F12" s="12">
        <f ca="1">D37*'Assumption for solar PV Power P'!$F$52/100</f>
        <v>1.349689690314098</v>
      </c>
      <c r="G12" s="12">
        <f ca="1">E37*'Assumption for solar PV Power P'!$F$52/100</f>
        <v>1.3134659827062236</v>
      </c>
      <c r="H12" s="12">
        <f ca="1">F37*'Assumption for solar PV Power P'!$F$52/100</f>
        <v>1.2778978993199508</v>
      </c>
      <c r="I12" s="12">
        <f ca="1">G37*'Assumption for solar PV Power P'!$F$52/100</f>
        <v>1.243022941860755</v>
      </c>
      <c r="J12" s="12">
        <f ca="1">H37*'Assumption for solar PV Power P'!$F$52/100</f>
        <v>1.2088807571316655</v>
      </c>
      <c r="K12" s="12">
        <f ca="1">I37*'Assumption for solar PV Power P'!$F$52/100</f>
        <v>1.1755132597328435</v>
      </c>
      <c r="L12" s="12">
        <f ca="1">J37*'Assumption for solar PV Power P'!$F$52/100</f>
        <v>1.1429647617795808</v>
      </c>
      <c r="M12" s="12">
        <f ca="1">K37*'Assumption for solar PV Power P'!$F$52/100</f>
        <v>1.1112821100401638</v>
      </c>
      <c r="N12" s="12">
        <f ca="1">L37*'Assumption for solar PV Power P'!$F$52/100</f>
        <v>1.1460666135996653</v>
      </c>
      <c r="O12" s="12">
        <f ca="1">M37*'Assumption for solar PV Power P'!$F$52/100</f>
        <v>1.1162670664085106</v>
      </c>
      <c r="P12" s="12">
        <f ca="1">N37*'Assumption for solar PV Power P'!$F$52/100</f>
        <v>1.0874906054147944</v>
      </c>
      <c r="Q12" s="12">
        <f ca="1">O37*'Assumption for solar PV Power P'!$F$52/100</f>
        <v>0.77441438442954169</v>
      </c>
      <c r="R12" s="12">
        <f ca="1">P37*'Assumption for solar PV Power P'!$F$52/100</f>
        <v>0.79364688053870125</v>
      </c>
      <c r="S12" s="12">
        <f ca="1">Q37*'Assumption for solar PV Power P'!$F$52/100</f>
        <v>0.81408825802962426</v>
      </c>
      <c r="T12" s="12">
        <f ca="1">R37*'Assumption for solar PV Power P'!$F$52/100</f>
        <v>0.83580766491734737</v>
      </c>
      <c r="U12" s="12">
        <f ca="1">S37*'Assumption for solar PV Power P'!$F$52/100</f>
        <v>0.85887820448336749</v>
      </c>
      <c r="V12" s="12">
        <f ca="1">T37*'Assumption for solar PV Power P'!$F$52/100</f>
        <v>0.8833771615168835</v>
      </c>
      <c r="W12" s="12">
        <f ca="1">U37*'Assumption for solar PV Power P'!$F$52/100</f>
        <v>0.90938624149703662</v>
      </c>
      <c r="X12" s="12">
        <f ca="1">V37*'Assumption for solar PV Power P'!$F$52/100</f>
        <v>0.93699182345637344</v>
      </c>
      <c r="Y12" s="12">
        <f ca="1">W37*'Assumption for solar PV Power P'!$F$52/100</f>
        <v>0.96628522730810362</v>
      </c>
      <c r="Z12" s="12">
        <f ca="1">X37*'Assumption for solar PV Power P'!$F$52/100</f>
        <v>0.99736299646447268</v>
      </c>
      <c r="AA12" s="12">
        <f ca="1">Y37*'Assumption for solar PV Power P'!$F$52/100</f>
        <v>1.0303271966209049</v>
      </c>
      <c r="AB12" s="12">
        <f ca="1">Z37*'Assumption for solar PV Power P'!$F$52/100</f>
        <v>1.065285731630605</v>
      </c>
    </row>
    <row r="13" spans="1:28" x14ac:dyDescent="0.35">
      <c r="A13" t="s">
        <v>4</v>
      </c>
      <c r="B13" t="s">
        <v>74</v>
      </c>
      <c r="D13" s="12">
        <f>IF(D2&lt;='Assumption for solar PV Power P'!$C$27,('Assumption for solar PV Power P'!$F$26*'Assumption for solar PV Power P'!$F$27/100),('Assumption for solar PV Power P'!$F$26*'Assumption for solar PV Power P'!$F$28/100))</f>
        <v>11.934000000000001</v>
      </c>
      <c r="E13" s="12">
        <f>IF(E2&lt;='Assumption for solar PV Power P'!$C$27,('Assumption for solar PV Power P'!$F$26*'Assumption for solar PV Power P'!$F$27/100),('Assumption for solar PV Power P'!$F$26*'Assumption for solar PV Power P'!$F$28/100))</f>
        <v>11.934000000000001</v>
      </c>
      <c r="F13" s="12">
        <f>IF(F2&lt;='Assumption for solar PV Power P'!$C$27,('Assumption for solar PV Power P'!$F$26*'Assumption for solar PV Power P'!$F$27/100),('Assumption for solar PV Power P'!$F$26*'Assumption for solar PV Power P'!$F$28/100))</f>
        <v>11.934000000000001</v>
      </c>
      <c r="G13" s="12">
        <f>IF(G2&lt;='Assumption for solar PV Power P'!$C$27,('Assumption for solar PV Power P'!$F$26*'Assumption for solar PV Power P'!$F$27/100),('Assumption for solar PV Power P'!$F$26*'Assumption for solar PV Power P'!$F$28/100))</f>
        <v>11.934000000000001</v>
      </c>
      <c r="H13" s="12">
        <f>IF(H2&lt;='Assumption for solar PV Power P'!$C$27,('Assumption for solar PV Power P'!$F$26*'Assumption for solar PV Power P'!$F$27/100),('Assumption for solar PV Power P'!$F$26*'Assumption for solar PV Power P'!$F$28/100))</f>
        <v>11.934000000000001</v>
      </c>
      <c r="I13" s="12">
        <f>IF(I2&lt;='Assumption for solar PV Power P'!$C$27,('Assumption for solar PV Power P'!$F$26*'Assumption for solar PV Power P'!$F$27/100),('Assumption for solar PV Power P'!$F$26*'Assumption for solar PV Power P'!$F$28/100))</f>
        <v>11.934000000000001</v>
      </c>
      <c r="J13" s="12">
        <f>IF(J2&lt;='Assumption for solar PV Power P'!$C$27,('Assumption for solar PV Power P'!$F$26*'Assumption for solar PV Power P'!$F$27/100),('Assumption for solar PV Power P'!$F$26*'Assumption for solar PV Power P'!$F$28/100))</f>
        <v>11.934000000000001</v>
      </c>
      <c r="K13" s="12">
        <f>IF(K2&lt;='Assumption for solar PV Power P'!$C$27,('Assumption for solar PV Power P'!$F$26*'Assumption for solar PV Power P'!$F$27/100),('Assumption for solar PV Power P'!$F$26*'Assumption for solar PV Power P'!$F$28/100))</f>
        <v>11.934000000000001</v>
      </c>
      <c r="L13" s="12">
        <f>IF(L2&lt;='Assumption for solar PV Power P'!$C$27,('Assumption for solar PV Power P'!$F$26*'Assumption for solar PV Power P'!$F$27/100),('Assumption for solar PV Power P'!$F$26*'Assumption for solar PV Power P'!$F$28/100))</f>
        <v>11.934000000000001</v>
      </c>
      <c r="M13" s="12">
        <f>IF(M2&lt;='Assumption for solar PV Power P'!$C$27,('Assumption for solar PV Power P'!$F$26*'Assumption for solar PV Power P'!$F$27/100),('Assumption for solar PV Power P'!$F$26*'Assumption for solar PV Power P'!$F$28/100))</f>
        <v>11.934000000000001</v>
      </c>
      <c r="N13" s="12">
        <f>IF(N2&lt;='Assumption for solar PV Power P'!$C$27,('Assumption for solar PV Power P'!$F$26*'Assumption for solar PV Power P'!$F$27/100),('Assumption for solar PV Power P'!$F$26*'Assumption for solar PV Power P'!$F$28/100))</f>
        <v>15.444000000000001</v>
      </c>
      <c r="O13" s="12">
        <f>IF(O2&lt;='Assumption for solar PV Power P'!$C$27,('Assumption for solar PV Power P'!$F$26*'Assumption for solar PV Power P'!$F$27/100),('Assumption for solar PV Power P'!$F$26*'Assumption for solar PV Power P'!$F$28/100))</f>
        <v>15.444000000000001</v>
      </c>
      <c r="P13" s="12">
        <f>IF(P2&lt;='Assumption for solar PV Power P'!$C$27,('Assumption for solar PV Power P'!$F$26*'Assumption for solar PV Power P'!$F$27/100),('Assumption for solar PV Power P'!$F$26*'Assumption for solar PV Power P'!$F$28/100))</f>
        <v>15.444000000000001</v>
      </c>
      <c r="Q13" s="12">
        <f>IF(Q2&lt;='Assumption for solar PV Power P'!$C$27,('Assumption for solar PV Power P'!$F$26*'Assumption for solar PV Power P'!$F$27/100),('Assumption for solar PV Power P'!$F$26*'Assumption for solar PV Power P'!$F$28/100))</f>
        <v>15.444000000000001</v>
      </c>
      <c r="R13" s="12">
        <f>IF(R2&lt;='Assumption for solar PV Power P'!$C$27,('Assumption for solar PV Power P'!$F$26*'Assumption for solar PV Power P'!$F$27/100),('Assumption for solar PV Power P'!$F$26*'Assumption for solar PV Power P'!$F$28/100))</f>
        <v>15.444000000000001</v>
      </c>
      <c r="S13" s="12">
        <f>IF(S2&lt;='Assumption for solar PV Power P'!$C$27,('Assumption for solar PV Power P'!$F$26*'Assumption for solar PV Power P'!$F$27/100),('Assumption for solar PV Power P'!$F$26*'Assumption for solar PV Power P'!$F$28/100))</f>
        <v>15.444000000000001</v>
      </c>
      <c r="T13" s="12">
        <f>IF(T2&lt;='Assumption for solar PV Power P'!$C$27,('Assumption for solar PV Power P'!$F$26*'Assumption for solar PV Power P'!$F$27/100),('Assumption for solar PV Power P'!$F$26*'Assumption for solar PV Power P'!$F$28/100))</f>
        <v>15.444000000000001</v>
      </c>
      <c r="U13" s="12">
        <f>IF(U2&lt;='Assumption for solar PV Power P'!$C$27,('Assumption for solar PV Power P'!$F$26*'Assumption for solar PV Power P'!$F$27/100),('Assumption for solar PV Power P'!$F$26*'Assumption for solar PV Power P'!$F$28/100))</f>
        <v>15.444000000000001</v>
      </c>
      <c r="V13" s="12">
        <f>IF(V2&lt;='Assumption for solar PV Power P'!$C$27,('Assumption for solar PV Power P'!$F$26*'Assumption for solar PV Power P'!$F$27/100),('Assumption for solar PV Power P'!$F$26*'Assumption for solar PV Power P'!$F$28/100))</f>
        <v>15.444000000000001</v>
      </c>
      <c r="W13" s="12">
        <f>IF(W2&lt;='Assumption for solar PV Power P'!$C$27,('Assumption for solar PV Power P'!$F$26*'Assumption for solar PV Power P'!$F$27/100),('Assumption for solar PV Power P'!$F$26*'Assumption for solar PV Power P'!$F$28/100))</f>
        <v>15.444000000000001</v>
      </c>
      <c r="X13" s="12">
        <f>IF(X2&lt;='Assumption for solar PV Power P'!$C$27,('Assumption for solar PV Power P'!$F$26*'Assumption for solar PV Power P'!$F$27/100),('Assumption for solar PV Power P'!$F$26*'Assumption for solar PV Power P'!$F$28/100))</f>
        <v>15.444000000000001</v>
      </c>
      <c r="Y13" s="12">
        <f>IF(Y2&lt;='Assumption for solar PV Power P'!$C$27,('Assumption for solar PV Power P'!$F$26*'Assumption for solar PV Power P'!$F$27/100),('Assumption for solar PV Power P'!$F$26*'Assumption for solar PV Power P'!$F$28/100))</f>
        <v>15.444000000000001</v>
      </c>
      <c r="Z13" s="12">
        <f>IF(Z2&lt;='Assumption for solar PV Power P'!$C$27,('Assumption for solar PV Power P'!$F$26*'Assumption for solar PV Power P'!$F$27/100),('Assumption for solar PV Power P'!$F$26*'Assumption for solar PV Power P'!$F$28/100))</f>
        <v>15.444000000000001</v>
      </c>
      <c r="AA13" s="12">
        <f>IF(AA2&lt;='Assumption for solar PV Power P'!$C$27,('Assumption for solar PV Power P'!$F$26*'Assumption for solar PV Power P'!$F$27/100),('Assumption for solar PV Power P'!$F$26*'Assumption for solar PV Power P'!$F$28/100))</f>
        <v>15.444000000000001</v>
      </c>
      <c r="AB13" s="12">
        <f>IF(AB2&lt;='Assumption for solar PV Power P'!$C$27,('Assumption for solar PV Power P'!$F$26*'Assumption for solar PV Power P'!$F$27/100),('Assumption for solar PV Power P'!$F$26*'Assumption for solar PV Power P'!$F$28/100))</f>
        <v>15.444000000000001</v>
      </c>
    </row>
    <row r="14" spans="1:28" x14ac:dyDescent="0.35">
      <c r="A14" s="309" t="s">
        <v>301</v>
      </c>
      <c r="B14" s="310" t="s">
        <v>74</v>
      </c>
      <c r="C14" s="310"/>
      <c r="D14" s="311">
        <f>INPUT!$F$19</f>
        <v>0</v>
      </c>
      <c r="E14" s="311">
        <f>D14*(1+INPUT!$F$20)</f>
        <v>0</v>
      </c>
      <c r="F14" s="311">
        <f>E14*(1+INPUT!$F$20)</f>
        <v>0</v>
      </c>
      <c r="G14" s="311">
        <f>F14*(1+INPUT!$F$20)</f>
        <v>0</v>
      </c>
      <c r="H14" s="311">
        <f>G14*(1+INPUT!$F$20)</f>
        <v>0</v>
      </c>
      <c r="I14" s="311">
        <f>H14*(1+INPUT!$F$20)</f>
        <v>0</v>
      </c>
      <c r="J14" s="311">
        <f>I14*(1+INPUT!$F$20)</f>
        <v>0</v>
      </c>
      <c r="K14" s="311">
        <f>J14*(1+INPUT!$F$20)</f>
        <v>0</v>
      </c>
      <c r="L14" s="311">
        <f>K14*(1+INPUT!$F$20)</f>
        <v>0</v>
      </c>
      <c r="M14" s="311">
        <f>L14*(1+INPUT!$F$20)</f>
        <v>0</v>
      </c>
      <c r="N14" s="311">
        <f>M14*(1+INPUT!$F$20)</f>
        <v>0</v>
      </c>
      <c r="O14" s="311">
        <f>N14*(1+INPUT!$F$20)</f>
        <v>0</v>
      </c>
      <c r="P14" s="311">
        <f>O14*(1+INPUT!$F$20)</f>
        <v>0</v>
      </c>
      <c r="Q14" s="311">
        <f>P14*(1+INPUT!$F$20)</f>
        <v>0</v>
      </c>
      <c r="R14" s="311">
        <f>Q14*(1+INPUT!$F$20)</f>
        <v>0</v>
      </c>
      <c r="S14" s="311">
        <f>R14*(1+INPUT!$F$20)</f>
        <v>0</v>
      </c>
      <c r="T14" s="311">
        <f>S14*(1+INPUT!$F$20)</f>
        <v>0</v>
      </c>
      <c r="U14" s="311">
        <f>T14*(1+INPUT!$F$20)</f>
        <v>0</v>
      </c>
      <c r="V14" s="311">
        <f>U14*(1+INPUT!$F$20)</f>
        <v>0</v>
      </c>
      <c r="W14" s="311">
        <f>V14*(1+INPUT!$F$20)</f>
        <v>0</v>
      </c>
      <c r="X14" s="311">
        <f>W14*(1+INPUT!$F$20)</f>
        <v>0</v>
      </c>
      <c r="Y14" s="311">
        <f>X14*(1+INPUT!$F$20)</f>
        <v>0</v>
      </c>
      <c r="Z14" s="311">
        <f>Y14*(1+INPUT!$F$20)</f>
        <v>0</v>
      </c>
      <c r="AA14" s="311">
        <f>Z14*(1+INPUT!$F$20)</f>
        <v>0</v>
      </c>
      <c r="AB14" s="311">
        <f>AA14*(1+INPUT!$F$20)</f>
        <v>0</v>
      </c>
    </row>
    <row r="15" spans="1:28" x14ac:dyDescent="0.35">
      <c r="A15" s="309" t="s">
        <v>266</v>
      </c>
      <c r="B15" s="310" t="s">
        <v>74</v>
      </c>
      <c r="C15" s="310"/>
      <c r="D15" s="312">
        <f>'Capital Cost'!$C$16*INPUT!$F$6</f>
        <v>1.2250000000000001</v>
      </c>
      <c r="E15" s="312">
        <f>D28*INPUT!$F$6*(1+INPUT!$F$20)</f>
        <v>1.15687845</v>
      </c>
      <c r="F15" s="312">
        <f>E28*INPUT!$F$6*(1+INPUT!$F$20)</f>
        <v>1.0852569000000001</v>
      </c>
      <c r="G15" s="312">
        <f>F28*INPUT!$F$6*(1+INPUT!$F$20)</f>
        <v>1.0136353499999999</v>
      </c>
      <c r="H15" s="312">
        <f>G28*INPUT!$F$6*(1+INPUT!$F$20)</f>
        <v>0.94201380000000001</v>
      </c>
      <c r="I15" s="312">
        <f>H28*INPUT!$F$6*(1+INPUT!$F$20)</f>
        <v>0.87039224999999998</v>
      </c>
      <c r="J15" s="312">
        <f>I28*INPUT!$F$6*(1+INPUT!$F$20)</f>
        <v>0.79877069999999994</v>
      </c>
      <c r="K15" s="312">
        <f>J28*INPUT!$F$6*(1+INPUT!$F$20)</f>
        <v>0.72714914999999991</v>
      </c>
      <c r="L15" s="312">
        <f>K28*INPUT!$F$6*(1+INPUT!$F$20)</f>
        <v>0.65552759999999988</v>
      </c>
      <c r="M15" s="312">
        <f>L28*INPUT!$F$6*(1+INPUT!$F$20)</f>
        <v>0.58390604999999984</v>
      </c>
      <c r="N15" s="312">
        <f>M28*INPUT!$F$6*(1+INPUT!$F$20)</f>
        <v>0.51228449999999992</v>
      </c>
      <c r="O15" s="312">
        <f>N28*INPUT!$F$6*(1+INPUT!$F$20)</f>
        <v>0.44066294999999989</v>
      </c>
      <c r="P15" s="312">
        <f>O28*INPUT!$F$6*(1+INPUT!$F$20)</f>
        <v>0.36904139999999985</v>
      </c>
      <c r="Q15" s="312">
        <f>P28*INPUT!$F$6*(1+INPUT!$F$20)</f>
        <v>0.29741984999999982</v>
      </c>
      <c r="R15" s="312">
        <f>Q28*INPUT!$F$6*(1+INPUT!$F$20)</f>
        <v>0.28287236249999986</v>
      </c>
      <c r="S15" s="312">
        <f>R28*INPUT!$F$6*(1+INPUT!$F$20)</f>
        <v>0.26832487499999985</v>
      </c>
      <c r="T15" s="312">
        <f>S28*INPUT!$F$6*(1+INPUT!$F$20)</f>
        <v>0.25377738749999984</v>
      </c>
      <c r="U15" s="312">
        <f>T28*INPUT!$F$6*(1+INPUT!$F$20)</f>
        <v>0.23922989999999986</v>
      </c>
      <c r="V15" s="312">
        <f>U28*INPUT!$F$6*(1+INPUT!$F$20)</f>
        <v>0.22468241249999985</v>
      </c>
      <c r="W15" s="312">
        <f>V28*INPUT!$F$6*(1+INPUT!$F$20)</f>
        <v>0.21013492499999983</v>
      </c>
      <c r="X15" s="312">
        <f>W28*INPUT!$F$6*(1+INPUT!$F$20)</f>
        <v>0.19558743749999982</v>
      </c>
      <c r="Y15" s="312">
        <f>X28*INPUT!$F$6*(1+INPUT!$F$20)</f>
        <v>0.18103994999999978</v>
      </c>
      <c r="Z15" s="312">
        <f>Y28*INPUT!$F$6*(1+INPUT!$F$20)</f>
        <v>0.16649246249999977</v>
      </c>
      <c r="AA15" s="312">
        <f>Z28*INPUT!$F$6*(1+INPUT!$F$20)</f>
        <v>0.15194497499999976</v>
      </c>
      <c r="AB15" s="312">
        <f>AA28*INPUT!$F$6*(1+INPUT!$F$20)</f>
        <v>0.13739748749999972</v>
      </c>
    </row>
    <row r="16" spans="1:28" x14ac:dyDescent="0.35">
      <c r="A16" s="8" t="s">
        <v>66</v>
      </c>
      <c r="B16" s="8" t="s">
        <v>74</v>
      </c>
      <c r="C16" s="222"/>
      <c r="D16" s="13">
        <f ca="1">IF(D2&lt;='Assumption for solar PV Power P'!$F$10,SUM(D9:D15),0)</f>
        <v>64.695806451598486</v>
      </c>
      <c r="E16" s="13">
        <f ca="1">IF(E2&lt;='Assumption for solar PV Power P'!$F$10,SUM(E9:E15),0)</f>
        <v>62.767511999474756</v>
      </c>
      <c r="F16" s="13">
        <f ca="1">IF(F2&lt;='Assumption for solar PV Power P'!$F$10,SUM(F9:F15),0)</f>
        <v>60.848933950314098</v>
      </c>
      <c r="G16" s="13">
        <f ca="1">IF(G2&lt;='Assumption for solar PV Power P'!$F$10,SUM(G9:G15),0)</f>
        <v>58.944812009698225</v>
      </c>
      <c r="H16" s="13">
        <f ca="1">IF(H2&lt;='Assumption for solar PV Power P'!$F$10,SUM(H9:H15),0)</f>
        <v>57.055973067035893</v>
      </c>
      <c r="I16" s="13">
        <f ca="1">IF(I2&lt;='Assumption for solar PV Power P'!$F$10,SUM(I9:I15),0)</f>
        <v>55.183291309810052</v>
      </c>
      <c r="J16" s="13">
        <f ca="1">IF(J2&lt;='Assumption for solar PV Power P'!$F$10,SUM(J9:J15),0)</f>
        <v>53.327690929027661</v>
      </c>
      <c r="K16" s="13">
        <f ca="1">IF(K2&lt;='Assumption for solar PV Power P'!$F$10,SUM(K9:K15),0)</f>
        <v>51.490148979421292</v>
      </c>
      <c r="L16" s="13">
        <f ca="1">IF(L2&lt;='Assumption for solar PV Power P'!$F$10,SUM(L9:L15),0)</f>
        <v>49.671698403254197</v>
      </c>
      <c r="M16" s="13">
        <f ca="1">IF(M2&lt;='Assumption for solar PV Power P'!$F$10,SUM(M9:M15),0)</f>
        <v>47.873431227087146</v>
      </c>
      <c r="N16" s="13">
        <f ca="1">IF(N2&lt;='Assumption for solar PV Power P'!$F$10,SUM(N9:N15),0)</f>
        <v>49.672053724081721</v>
      </c>
      <c r="O16" s="13">
        <f ca="1">IF(O2&lt;='Assumption for solar PV Power P'!$F$10,SUM(O9:O15),0)</f>
        <v>47.917682856210135</v>
      </c>
      <c r="P16" s="13">
        <f ca="1">IF(P2&lt;='Assumption for solar PV Power P'!$F$10,SUM(P9:P15),0)</f>
        <v>46.187160747653074</v>
      </c>
      <c r="Q16" s="13">
        <f ca="1">IF(Q2&lt;='Assumption for solar PV Power P'!$F$10,SUM(Q9:Q15),0)</f>
        <v>28.915595180723852</v>
      </c>
      <c r="R16" s="13">
        <f ca="1">IF(R2&lt;='Assumption for solar PV Power P'!$F$10,SUM(R9:R15),0)</f>
        <v>29.391799005461046</v>
      </c>
      <c r="S16" s="13">
        <f ca="1">IF(S2&lt;='Assumption for solar PV Power P'!$F$10,SUM(S9:S15),0)</f>
        <v>29.89618258786253</v>
      </c>
      <c r="T16" s="13">
        <f ca="1">IF(T2&lt;='Assumption for solar PV Power P'!$F$10,SUM(T9:T15),0)</f>
        <v>30.430357810066688</v>
      </c>
      <c r="U16" s="13">
        <f ca="1">IF(U2&lt;='Assumption for solar PV Power P'!$F$10,SUM(U9:U15),0)</f>
        <v>30.996028753870252</v>
      </c>
      <c r="V16" s="13">
        <f ca="1">IF(V2&lt;='Assumption for solar PV Power P'!$F$10,SUM(V9:V15),0)</f>
        <v>31.594996974548696</v>
      </c>
      <c r="W16" s="13">
        <f ca="1">IF(W2&lt;='Assumption for solar PV Power P'!$F$10,SUM(W9:W15),0)</f>
        <v>32.229167076339266</v>
      </c>
      <c r="X16" s="13">
        <f ca="1">IF(X2&lt;='Assumption for solar PV Power P'!$F$10,SUM(X9:X15),0)</f>
        <v>32.900552606841579</v>
      </c>
      <c r="Y16" s="13">
        <f ca="1">IF(Y2&lt;='Assumption for solar PV Power P'!$F$10,SUM(Y9:Y15),0)</f>
        <v>33.611282288577939</v>
      </c>
      <c r="Z16" s="13">
        <f ca="1">IF(Z2&lt;='Assumption for solar PV Power P'!$F$10,SUM(Z9:Z15),0)</f>
        <v>34.36360660699895</v>
      </c>
      <c r="AA16" s="13">
        <f ca="1">IF(AA2&lt;='Assumption for solar PV Power P'!$F$10,SUM(AA9:AA15),0)</f>
        <v>35.15990477532295</v>
      </c>
      <c r="AB16" s="13">
        <f ca="1">IF(AB2&lt;='Assumption for solar PV Power P'!$F$10,SUM(AB9:AB15),0)</f>
        <v>36.00269209776441</v>
      </c>
    </row>
    <row r="18" spans="1:28" x14ac:dyDescent="0.35">
      <c r="A18" s="9" t="s">
        <v>67</v>
      </c>
      <c r="B18" s="9" t="s">
        <v>11</v>
      </c>
      <c r="C18" s="9" t="s">
        <v>72</v>
      </c>
      <c r="D18" s="9">
        <v>1</v>
      </c>
      <c r="E18" s="9">
        <v>2</v>
      </c>
      <c r="F18" s="9">
        <v>3</v>
      </c>
      <c r="G18" s="9">
        <v>4</v>
      </c>
      <c r="H18" s="9">
        <v>5</v>
      </c>
      <c r="I18" s="9">
        <v>6</v>
      </c>
      <c r="J18" s="9">
        <v>7</v>
      </c>
      <c r="K18" s="9">
        <v>8</v>
      </c>
      <c r="L18" s="9">
        <v>9</v>
      </c>
      <c r="M18" s="9">
        <v>10</v>
      </c>
      <c r="N18" s="9">
        <v>11</v>
      </c>
      <c r="O18" s="9">
        <v>12</v>
      </c>
      <c r="P18" s="9">
        <v>13</v>
      </c>
      <c r="Q18" s="9">
        <v>14</v>
      </c>
      <c r="R18" s="9">
        <v>15</v>
      </c>
      <c r="S18" s="9">
        <v>16</v>
      </c>
      <c r="T18" s="9">
        <v>17</v>
      </c>
      <c r="U18" s="9">
        <v>18</v>
      </c>
      <c r="V18" s="9">
        <v>19</v>
      </c>
      <c r="W18" s="9">
        <v>20</v>
      </c>
      <c r="X18" s="9">
        <v>21</v>
      </c>
      <c r="Y18" s="9">
        <v>22</v>
      </c>
      <c r="Z18" s="9">
        <v>23</v>
      </c>
      <c r="AA18" s="9">
        <v>24</v>
      </c>
      <c r="AB18" s="9">
        <v>25</v>
      </c>
    </row>
    <row r="19" spans="1:28" x14ac:dyDescent="0.35">
      <c r="A19" s="10" t="s">
        <v>68</v>
      </c>
      <c r="B19" s="10" t="s">
        <v>75</v>
      </c>
      <c r="C19" s="141">
        <f ca="1">(SUMPRODUCT(D19:AB19,$D$20:$AB$20))/SUM($D$20:$AB$20)</f>
        <v>4.4111991624187832</v>
      </c>
      <c r="D19" s="13">
        <f t="shared" ref="D19:AB19" ca="1" si="1">(D16*10^5)/(D$7*10^6)</f>
        <v>5.4706415061388878</v>
      </c>
      <c r="E19" s="13">
        <f t="shared" ca="1" si="1"/>
        <v>5.345001003939017</v>
      </c>
      <c r="F19" s="13">
        <f t="shared" ca="1" si="1"/>
        <v>5.2181505192224469</v>
      </c>
      <c r="G19" s="13">
        <f t="shared" ca="1" si="1"/>
        <v>5.0904944327106083</v>
      </c>
      <c r="H19" s="13">
        <f t="shared" ca="1" si="1"/>
        <v>4.9621084045881831</v>
      </c>
      <c r="I19" s="13">
        <f t="shared" ca="1" si="1"/>
        <v>4.8330744201820774</v>
      </c>
      <c r="J19" s="13">
        <f t="shared" ca="1" si="1"/>
        <v>4.7034812127607903</v>
      </c>
      <c r="K19" s="13">
        <f t="shared" ca="1" si="1"/>
        <v>4.5734247137930506</v>
      </c>
      <c r="L19" s="13">
        <f t="shared" ca="1" si="1"/>
        <v>4.4430085324420974</v>
      </c>
      <c r="M19" s="13">
        <f t="shared" ca="1" si="1"/>
        <v>4.3123444661868566</v>
      </c>
      <c r="N19" s="13">
        <f t="shared" ca="1" si="1"/>
        <v>4.5059021559747379</v>
      </c>
      <c r="O19" s="13">
        <f t="shared" ca="1" si="1"/>
        <v>4.3773996686244843</v>
      </c>
      <c r="P19" s="13">
        <f t="shared" ca="1" si="1"/>
        <v>4.2490555529873753</v>
      </c>
      <c r="Q19" s="13">
        <f t="shared" ca="1" si="1"/>
        <v>2.6788847557106426</v>
      </c>
      <c r="R19" s="13">
        <f t="shared" ca="1" si="1"/>
        <v>2.7421980360866938</v>
      </c>
      <c r="S19" s="13">
        <f t="shared" ca="1" si="1"/>
        <v>2.8089184787579304</v>
      </c>
      <c r="T19" s="13">
        <f t="shared" ca="1" si="1"/>
        <v>2.8792621514105021</v>
      </c>
      <c r="U19" s="13">
        <f t="shared" ca="1" si="1"/>
        <v>2.9534590657476687</v>
      </c>
      <c r="V19" s="13">
        <f t="shared" ca="1" si="1"/>
        <v>3.031754078858834</v>
      </c>
      <c r="W19" s="13">
        <f t="shared" ca="1" si="1"/>
        <v>3.1144078528635815</v>
      </c>
      <c r="X19" s="13">
        <f t="shared" ca="1" si="1"/>
        <v>3.2016978765983457</v>
      </c>
      <c r="Y19" s="13">
        <f t="shared" ca="1" si="1"/>
        <v>3.2939195533569072</v>
      </c>
      <c r="Z19" s="13">
        <f t="shared" ca="1" si="1"/>
        <v>3.3913873589552819</v>
      </c>
      <c r="AA19" s="13">
        <f t="shared" ca="1" si="1"/>
        <v>3.4944360746676284</v>
      </c>
      <c r="AB19" s="13">
        <f t="shared" ca="1" si="1"/>
        <v>3.6034220998738009</v>
      </c>
    </row>
    <row r="20" spans="1:28" x14ac:dyDescent="0.35">
      <c r="A20" t="s">
        <v>69</v>
      </c>
      <c r="D20" s="12">
        <v>1</v>
      </c>
      <c r="E20" s="12">
        <f>IF(E18&lt;='Assumption for solar PV Power P'!$F$10,1/(1+$B$49)^D18,0)</f>
        <v>0.92455669170834631</v>
      </c>
      <c r="F20" s="12">
        <f>IF(F18&lt;='Assumption for solar PV Power P'!$F$10,1/(1+$B$49)^E18,0)</f>
        <v>0.8548050761826822</v>
      </c>
      <c r="G20" s="12">
        <f>IF(G18&lt;='Assumption for solar PV Power P'!$F$10,1/(1+$B$49)^F18,0)</f>
        <v>0.79031575329096171</v>
      </c>
      <c r="H20" s="12">
        <f>IF(H18&lt;='Assumption for solar PV Power P'!$F$10,1/(1+$B$49)^G18,0)</f>
        <v>0.73069171826768109</v>
      </c>
      <c r="I20" s="12">
        <f>IF(I18&lt;='Assumption for solar PV Power P'!$F$10,1/(1+$B$49)^H18,0)</f>
        <v>0.6755659177002542</v>
      </c>
      <c r="J20" s="12">
        <f>IF(J18&lt;='Assumption for solar PV Power P'!$F$10,1/(1+$B$49)^I18,0)</f>
        <v>0.62459898989986007</v>
      </c>
      <c r="K20" s="12">
        <f>IF(K18&lt;='Assumption for solar PV Power P'!$F$10,1/(1+$B$49)^J18,0)</f>
        <v>0.57747717574618951</v>
      </c>
      <c r="L20" s="12">
        <f>IF(L18&lt;='Assumption for solar PV Power P'!$F$10,1/(1+$B$49)^K18,0)</f>
        <v>0.53391038714497618</v>
      </c>
      <c r="M20" s="12">
        <f>IF(M18&lt;='Assumption for solar PV Power P'!$F$10,1/(1+$B$49)^L18,0)</f>
        <v>0.49363042120748163</v>
      </c>
      <c r="N20" s="12">
        <f>IF(N18&lt;='Assumption for solar PV Power P'!$F$10,1/(1+$B$49)^M18,0)</f>
        <v>0.45638930915818676</v>
      </c>
      <c r="O20" s="12">
        <f>IF(O18&lt;='Assumption for solar PV Power P'!$F$10,1/(1+$B$49)^N18,0)</f>
        <v>0.42195778980635085</v>
      </c>
      <c r="P20" s="12">
        <f>IF(P18&lt;='Assumption for solar PV Power P'!$F$10,1/(1+$B$49)^O18,0)</f>
        <v>0.39012389818392551</v>
      </c>
      <c r="Q20" s="12">
        <f>IF(Q18&lt;='Assumption for solar PV Power P'!$F$10,1/(1+$B$49)^P18,0)</f>
        <v>0.36069166066129393</v>
      </c>
      <c r="R20" s="12">
        <f>IF(R18&lt;='Assumption for solar PV Power P'!$F$10,1/(1+$B$49)^Q18,0)</f>
        <v>0.33347988850779542</v>
      </c>
      <c r="S20" s="12">
        <f>IF(S18&lt;='Assumption for solar PV Power P'!$F$10,1/(1+$B$49)^R18,0)</f>
        <v>0.30832106247003549</v>
      </c>
      <c r="T20" s="12">
        <f>IF(T18&lt;='Assumption for solar PV Power P'!$F$10,1/(1+$B$49)^S18,0)</f>
        <v>0.28506030150129841</v>
      </c>
      <c r="U20" s="12">
        <f>IF(U18&lt;='Assumption for solar PV Power P'!$F$10,1/(1+$B$49)^T18,0)</f>
        <v>0.26355440929342416</v>
      </c>
      <c r="V20" s="12">
        <f>IF(V18&lt;='Assumption for solar PV Power P'!$F$10,1/(1+$B$49)^U18,0)</f>
        <v>0.24367099274147574</v>
      </c>
      <c r="W20" s="12">
        <f>IF(W18&lt;='Assumption for solar PV Power P'!$F$10,1/(1+$B$49)^V18,0)</f>
        <v>0.22528764691434727</v>
      </c>
      <c r="X20" s="12">
        <f>IF(X18&lt;='Assumption for solar PV Power P'!$F$10,1/(1+$B$49)^W18,0)</f>
        <v>0.20829120151388694</v>
      </c>
      <c r="Y20" s="12">
        <f>IF(Y18&lt;='Assumption for solar PV Power P'!$F$10,1/(1+$B$49)^X18,0)</f>
        <v>0.19257702418363581</v>
      </c>
      <c r="Z20" s="12">
        <f>IF(Z18&lt;='Assumption for solar PV Power P'!$F$10,1/(1+$B$49)^Y18,0)</f>
        <v>0.17804837637826054</v>
      </c>
      <c r="AA20" s="12">
        <f>IF(AA18&lt;='Assumption for solar PV Power P'!$F$10,1/(1+$B$49)^Z18,0)</f>
        <v>0.16461581782832704</v>
      </c>
      <c r="AB20" s="12">
        <f>IF(AB18&lt;='Assumption for solar PV Power P'!$F$10,1/(1+$B$49)^AA18,0)</f>
        <v>0.15219665593422188</v>
      </c>
    </row>
    <row r="21" spans="1:28" x14ac:dyDescent="0.35">
      <c r="A21" s="185"/>
      <c r="B21" s="185"/>
      <c r="C21" s="185"/>
      <c r="D21" s="265"/>
      <c r="E21" s="185"/>
      <c r="F21" s="185"/>
      <c r="G21" s="185"/>
      <c r="H21" s="185"/>
      <c r="I21" s="185"/>
      <c r="J21" s="185"/>
      <c r="K21" s="185"/>
      <c r="L21" s="185"/>
      <c r="M21" s="185"/>
      <c r="N21" s="185"/>
      <c r="O21" s="185"/>
      <c r="P21" s="185"/>
      <c r="Q21" s="185"/>
      <c r="R21" s="185"/>
      <c r="S21" s="185"/>
      <c r="T21" s="185"/>
      <c r="U21" s="185"/>
      <c r="V21" s="185"/>
      <c r="W21" s="185"/>
      <c r="X21" s="185"/>
      <c r="Y21" s="185"/>
      <c r="Z21" s="185"/>
      <c r="AA21" s="185"/>
      <c r="AB21" s="185"/>
    </row>
    <row r="22" spans="1:28" x14ac:dyDescent="0.35">
      <c r="A22" s="11" t="s">
        <v>70</v>
      </c>
      <c r="B22" s="137">
        <f ca="1">C19</f>
        <v>4.4111991624187832</v>
      </c>
      <c r="C22" s="11" t="s">
        <v>76</v>
      </c>
      <c r="D22" s="276"/>
      <c r="E22" s="187"/>
      <c r="F22" s="265"/>
      <c r="G22" s="185"/>
      <c r="H22" s="185"/>
      <c r="I22" s="185"/>
      <c r="J22" s="185"/>
      <c r="K22" s="185"/>
      <c r="L22" s="185"/>
      <c r="M22" s="185"/>
      <c r="N22" s="185"/>
      <c r="O22" s="185"/>
      <c r="P22" s="185"/>
      <c r="Q22" s="185"/>
      <c r="R22" s="185"/>
      <c r="S22" s="185"/>
      <c r="T22" s="185"/>
      <c r="U22" s="185"/>
      <c r="V22" s="185"/>
      <c r="W22" s="185"/>
      <c r="X22" s="185"/>
      <c r="Y22" s="185"/>
      <c r="Z22" s="185"/>
      <c r="AA22" s="185"/>
      <c r="AB22" s="185"/>
    </row>
    <row r="23" spans="1:28" x14ac:dyDescent="0.35">
      <c r="A23" s="11" t="s">
        <v>210</v>
      </c>
      <c r="B23" s="139">
        <f ca="1">$B$22-$B$80</f>
        <v>3.9996371423872583</v>
      </c>
      <c r="C23" s="123" t="s">
        <v>76</v>
      </c>
      <c r="D23" s="276"/>
      <c r="E23" s="187"/>
      <c r="F23" s="265"/>
      <c r="G23" s="185"/>
      <c r="H23" s="185"/>
      <c r="I23" s="185"/>
      <c r="J23" s="185"/>
      <c r="K23" s="185"/>
      <c r="L23" s="185"/>
      <c r="M23" s="185"/>
      <c r="N23" s="185"/>
      <c r="O23" s="185"/>
      <c r="P23" s="185"/>
      <c r="Q23" s="185"/>
      <c r="R23" s="185"/>
      <c r="S23" s="185"/>
      <c r="T23" s="185"/>
      <c r="U23" s="185"/>
      <c r="V23" s="185"/>
      <c r="W23" s="185"/>
      <c r="X23" s="185"/>
      <c r="Y23" s="185"/>
      <c r="Z23" s="185"/>
      <c r="AA23" s="185"/>
      <c r="AB23" s="185"/>
    </row>
    <row r="24" spans="1:28" x14ac:dyDescent="0.35">
      <c r="A24" s="185"/>
      <c r="B24" s="265"/>
      <c r="C24" s="185"/>
      <c r="D24" s="185"/>
      <c r="E24" s="185"/>
      <c r="F24" s="185"/>
      <c r="G24" s="185"/>
      <c r="H24" s="185"/>
      <c r="I24" s="185"/>
      <c r="J24" s="185"/>
      <c r="K24" s="185"/>
      <c r="L24" s="185"/>
      <c r="M24" s="185"/>
      <c r="N24" s="185"/>
      <c r="O24" s="185"/>
      <c r="P24" s="185"/>
      <c r="Q24" s="185"/>
      <c r="R24" s="185"/>
      <c r="S24" s="185"/>
      <c r="T24" s="185"/>
      <c r="U24" s="185"/>
      <c r="V24" s="185"/>
      <c r="W24" s="185"/>
      <c r="X24" s="185"/>
      <c r="Y24" s="185"/>
      <c r="Z24" s="185"/>
      <c r="AA24" s="185"/>
      <c r="AB24" s="185"/>
    </row>
    <row r="25" spans="1:28" x14ac:dyDescent="0.35">
      <c r="A25" s="28" t="s">
        <v>299</v>
      </c>
      <c r="B25" s="138">
        <f ca="1">B22*$D$7*10</f>
        <v>52.166841294764538</v>
      </c>
      <c r="C25" s="28" t="s">
        <v>246</v>
      </c>
      <c r="D25" s="185"/>
      <c r="E25" s="185"/>
      <c r="F25" s="185"/>
      <c r="G25" s="185"/>
      <c r="H25" s="185"/>
      <c r="I25" s="185"/>
      <c r="J25" s="185"/>
      <c r="K25" s="185"/>
      <c r="L25" s="185"/>
      <c r="M25" s="185"/>
      <c r="N25" s="185"/>
      <c r="O25" s="185"/>
      <c r="P25" s="185"/>
      <c r="Q25" s="185"/>
      <c r="R25" s="185"/>
      <c r="S25" s="185"/>
      <c r="T25" s="185"/>
      <c r="U25" s="185"/>
      <c r="V25" s="185"/>
      <c r="W25" s="185"/>
      <c r="X25" s="185"/>
      <c r="Y25" s="185"/>
      <c r="Z25" s="185"/>
      <c r="AA25" s="185"/>
      <c r="AB25" s="185"/>
    </row>
    <row r="26" spans="1:28" x14ac:dyDescent="0.35">
      <c r="A26" s="28" t="s">
        <v>273</v>
      </c>
      <c r="B26" s="138">
        <f ca="1">B23*$D$7*10</f>
        <v>47.29970884587172</v>
      </c>
      <c r="C26" s="28" t="s">
        <v>246</v>
      </c>
      <c r="D26" s="185"/>
      <c r="E26" s="185"/>
      <c r="F26" s="185"/>
      <c r="G26" s="185"/>
      <c r="H26" s="185"/>
      <c r="I26" s="185"/>
      <c r="J26" s="185"/>
      <c r="K26" s="185"/>
      <c r="L26" s="185"/>
      <c r="M26" s="185"/>
      <c r="N26" s="185"/>
      <c r="O26" s="185"/>
      <c r="P26" s="185"/>
      <c r="Q26" s="185"/>
      <c r="R26" s="185"/>
      <c r="S26" s="185"/>
      <c r="T26" s="185"/>
      <c r="U26" s="185"/>
      <c r="V26" s="185"/>
      <c r="W26" s="185"/>
      <c r="X26" s="185"/>
      <c r="Y26" s="185"/>
      <c r="Z26" s="185"/>
      <c r="AA26" s="185"/>
      <c r="AB26" s="185"/>
    </row>
    <row r="27" spans="1:28" x14ac:dyDescent="0.35">
      <c r="A27" s="185"/>
      <c r="B27" s="185"/>
      <c r="C27" s="185"/>
      <c r="D27" s="185"/>
      <c r="E27" s="185"/>
      <c r="F27" s="185"/>
      <c r="G27" s="185"/>
      <c r="H27" s="185"/>
      <c r="I27" s="185"/>
      <c r="J27" s="185"/>
      <c r="K27" s="185"/>
      <c r="L27" s="185"/>
      <c r="M27" s="185"/>
      <c r="N27" s="185"/>
      <c r="O27" s="185"/>
      <c r="P27" s="185"/>
      <c r="Q27" s="185"/>
      <c r="R27" s="185"/>
      <c r="S27" s="185"/>
      <c r="T27" s="185"/>
      <c r="U27" s="185"/>
      <c r="V27" s="185"/>
      <c r="W27" s="185"/>
      <c r="X27" s="185"/>
      <c r="Y27" s="185"/>
      <c r="Z27" s="185"/>
      <c r="AA27" s="185"/>
      <c r="AB27" s="185"/>
    </row>
    <row r="28" spans="1:28" s="185" customFormat="1" x14ac:dyDescent="0.35">
      <c r="A28" s="284" t="s">
        <v>302</v>
      </c>
      <c r="D28" s="12">
        <f>B58-D10</f>
        <v>330.5367</v>
      </c>
      <c r="E28" s="12">
        <f t="shared" ref="E28:AB28" si="2">D28-E10</f>
        <v>310.07339999999999</v>
      </c>
      <c r="F28" s="12">
        <f t="shared" si="2"/>
        <v>289.61009999999999</v>
      </c>
      <c r="G28" s="12">
        <f t="shared" si="2"/>
        <v>269.14679999999998</v>
      </c>
      <c r="H28" s="12">
        <f t="shared" si="2"/>
        <v>248.68349999999998</v>
      </c>
      <c r="I28" s="12">
        <f t="shared" si="2"/>
        <v>228.22019999999998</v>
      </c>
      <c r="J28" s="12">
        <f t="shared" si="2"/>
        <v>207.75689999999997</v>
      </c>
      <c r="K28" s="12">
        <f t="shared" si="2"/>
        <v>187.29359999999997</v>
      </c>
      <c r="L28" s="12">
        <f t="shared" si="2"/>
        <v>166.83029999999997</v>
      </c>
      <c r="M28" s="12">
        <f t="shared" si="2"/>
        <v>146.36699999999996</v>
      </c>
      <c r="N28" s="12">
        <f t="shared" si="2"/>
        <v>125.90369999999996</v>
      </c>
      <c r="O28" s="12">
        <f t="shared" si="2"/>
        <v>105.44039999999995</v>
      </c>
      <c r="P28" s="12">
        <f t="shared" si="2"/>
        <v>84.97709999999995</v>
      </c>
      <c r="Q28" s="12">
        <f t="shared" si="2"/>
        <v>80.820674999999952</v>
      </c>
      <c r="R28" s="12">
        <f t="shared" si="2"/>
        <v>76.664249999999953</v>
      </c>
      <c r="S28" s="12">
        <f t="shared" si="2"/>
        <v>72.507824999999954</v>
      </c>
      <c r="T28" s="12">
        <f t="shared" si="2"/>
        <v>68.351399999999956</v>
      </c>
      <c r="U28" s="12">
        <f t="shared" si="2"/>
        <v>64.194974999999957</v>
      </c>
      <c r="V28" s="12">
        <f t="shared" si="2"/>
        <v>60.038549999999951</v>
      </c>
      <c r="W28" s="12">
        <f t="shared" si="2"/>
        <v>55.882124999999945</v>
      </c>
      <c r="X28" s="12">
        <f t="shared" si="2"/>
        <v>51.725699999999939</v>
      </c>
      <c r="Y28" s="12">
        <f t="shared" si="2"/>
        <v>47.569274999999934</v>
      </c>
      <c r="Z28" s="12">
        <f t="shared" si="2"/>
        <v>43.412849999999928</v>
      </c>
      <c r="AA28" s="12">
        <f t="shared" si="2"/>
        <v>39.256424999999922</v>
      </c>
      <c r="AB28" s="12">
        <f t="shared" si="2"/>
        <v>35.099999999999916</v>
      </c>
    </row>
    <row r="29" spans="1:28" s="185" customFormat="1" x14ac:dyDescent="0.35"/>
    <row r="30" spans="1:28" s="185" customFormat="1" x14ac:dyDescent="0.35"/>
    <row r="31" spans="1:28" s="185" customFormat="1" x14ac:dyDescent="0.35">
      <c r="A31" s="23" t="s">
        <v>83</v>
      </c>
      <c r="B31" s="24">
        <v>1</v>
      </c>
      <c r="C31" s="24">
        <v>2</v>
      </c>
      <c r="D31" s="24">
        <v>3</v>
      </c>
      <c r="E31" s="24">
        <v>4</v>
      </c>
      <c r="F31" s="24">
        <v>5</v>
      </c>
      <c r="G31" s="24">
        <v>6</v>
      </c>
      <c r="H31" s="24">
        <v>7</v>
      </c>
      <c r="I31" s="24">
        <v>8</v>
      </c>
      <c r="J31" s="24">
        <v>9</v>
      </c>
      <c r="K31" s="24">
        <v>10</v>
      </c>
      <c r="L31" s="24">
        <v>11</v>
      </c>
      <c r="M31" s="24">
        <v>12</v>
      </c>
      <c r="N31" s="24">
        <v>13</v>
      </c>
      <c r="O31" s="24">
        <v>14</v>
      </c>
      <c r="P31" s="24">
        <v>15</v>
      </c>
      <c r="Q31" s="24">
        <v>16</v>
      </c>
      <c r="R31" s="24">
        <v>17</v>
      </c>
      <c r="S31" s="24">
        <v>18</v>
      </c>
      <c r="T31" s="24">
        <v>19</v>
      </c>
      <c r="U31" s="24">
        <v>20</v>
      </c>
      <c r="V31" s="24">
        <v>21</v>
      </c>
      <c r="W31" s="24">
        <v>22</v>
      </c>
      <c r="X31" s="24">
        <v>23</v>
      </c>
      <c r="Y31" s="24">
        <v>24</v>
      </c>
      <c r="Z31" s="24">
        <v>25</v>
      </c>
      <c r="AA31"/>
      <c r="AB31"/>
    </row>
    <row r="32" spans="1:28" s="185" customFormat="1" x14ac:dyDescent="0.35">
      <c r="A32" t="s">
        <v>84</v>
      </c>
      <c r="B32" s="12">
        <f>$D$9/12</f>
        <v>0.33333333333333331</v>
      </c>
      <c r="C32" s="12">
        <f>B32*(1+'Assumption for solar PV Power P'!$F$55/100)*(1+INPUT!$F$20)</f>
        <v>0.35239999999999994</v>
      </c>
      <c r="D32" s="12">
        <f>C32*(1+'Assumption for solar PV Power P'!$F$55/100)*(1+INPUT!$F$20)</f>
        <v>0.37255727999999988</v>
      </c>
      <c r="E32" s="12">
        <f>D32*(1+'Assumption for solar PV Power P'!$F$55/100)*(1+INPUT!$F$20)</f>
        <v>0.39386755641599985</v>
      </c>
      <c r="F32" s="12">
        <f>E32*(1+'Assumption for solar PV Power P'!$F$55/100)*(1+INPUT!$F$20)</f>
        <v>0.41639678064299501</v>
      </c>
      <c r="G32" s="12">
        <f>F32*(1+'Assumption for solar PV Power P'!$F$55/100)*(1+INPUT!$F$20)</f>
        <v>0.44021467649577428</v>
      </c>
      <c r="H32" s="12">
        <f>G32*(1+'Assumption for solar PV Power P'!$F$55/100)*(1+INPUT!$F$20)</f>
        <v>0.46539495599133252</v>
      </c>
      <c r="I32" s="12">
        <f>H32*(1+'Assumption for solar PV Power P'!$F$55/100)*(1+INPUT!$F$20)</f>
        <v>0.4920155474740367</v>
      </c>
      <c r="J32" s="12">
        <f>I32*(1+'Assumption for solar PV Power P'!$F$55/100)*(1+INPUT!$F$20)</f>
        <v>0.52015883678955155</v>
      </c>
      <c r="K32" s="12">
        <f>J32*(1+'Assumption for solar PV Power P'!$F$55/100)*(1+INPUT!$F$20)</f>
        <v>0.54991192225391383</v>
      </c>
      <c r="L32" s="12">
        <f>K32*(1+'Assumption for solar PV Power P'!$F$55/100)*(1+INPUT!$F$20)</f>
        <v>0.58136688420683769</v>
      </c>
      <c r="M32" s="12">
        <f>L32*(1+'Assumption for solar PV Power P'!$F$55/100)*(1+INPUT!$F$20)</f>
        <v>0.61462106998346877</v>
      </c>
      <c r="N32" s="12">
        <f>M32*(1+'Assumption for solar PV Power P'!$F$55/100)*(1+INPUT!$F$20)</f>
        <v>0.64977739518652311</v>
      </c>
      <c r="O32" s="12">
        <f>N32*(1+'Assumption for solar PV Power P'!$F$55/100)*(1+INPUT!$F$20)</f>
        <v>0.68694466219119221</v>
      </c>
      <c r="P32" s="12">
        <f>O32*(1+'Assumption for solar PV Power P'!$F$55/100)*(1+INPUT!$F$20)</f>
        <v>0.72623789686852835</v>
      </c>
      <c r="Q32" s="12">
        <f>P32*(1+'Assumption for solar PV Power P'!$F$55/100)*(1+INPUT!$F$20)</f>
        <v>0.76777870456940811</v>
      </c>
      <c r="R32" s="12">
        <f>Q32*(1+'Assumption for solar PV Power P'!$F$55/100)*(1+INPUT!$F$20)</f>
        <v>0.81169564647077819</v>
      </c>
      <c r="S32" s="12">
        <f>R32*(1+'Assumption for solar PV Power P'!$F$55/100)*(1+INPUT!$F$20)</f>
        <v>0.85812463744890666</v>
      </c>
      <c r="T32" s="12">
        <f>S32*(1+'Assumption for solar PV Power P'!$F$55/100)*(1+INPUT!$F$20)</f>
        <v>0.90720936671098407</v>
      </c>
      <c r="U32" s="12">
        <f>T32*(1+'Assumption for solar PV Power P'!$F$55/100)*(1+INPUT!$F$20)</f>
        <v>0.95910174248685232</v>
      </c>
      <c r="V32" s="12">
        <f>U32*(1+'Assumption for solar PV Power P'!$F$55/100)*(1+INPUT!$F$20)</f>
        <v>1.0139623621571001</v>
      </c>
      <c r="W32" s="12">
        <f>V32*(1+'Assumption for solar PV Power P'!$F$55/100)*(1+INPUT!$F$20)</f>
        <v>1.0719610092724861</v>
      </c>
      <c r="X32" s="12">
        <f>W32*(1+'Assumption for solar PV Power P'!$F$55/100)*(1+INPUT!$F$20)</f>
        <v>1.1332771790028722</v>
      </c>
      <c r="Y32" s="12">
        <f>X32*(1+'Assumption for solar PV Power P'!$F$55/100)*(1+INPUT!$F$20)</f>
        <v>1.1981006336418363</v>
      </c>
      <c r="Z32" s="12">
        <f>Y32*(1+'Assumption for solar PV Power P'!$F$55/100)*(1+INPUT!$F$20)</f>
        <v>1.2666319898861491</v>
      </c>
      <c r="AA32"/>
      <c r="AB32"/>
    </row>
    <row r="33" spans="1:28" s="185" customFormat="1" x14ac:dyDescent="0.35">
      <c r="A33" s="14" t="s">
        <v>85</v>
      </c>
      <c r="B33" s="12">
        <f>('Assumption for solar PV Power P'!$F$48/100)*B$32*12</f>
        <v>0.6</v>
      </c>
      <c r="C33" s="12">
        <f>('Assumption for solar PV Power P'!$F$48/100)*C$32*12</f>
        <v>0.63431999999999988</v>
      </c>
      <c r="D33" s="12">
        <f>('Assumption for solar PV Power P'!$F$48/100)*D$32*12</f>
        <v>0.67060310399999978</v>
      </c>
      <c r="E33" s="12">
        <f>('Assumption for solar PV Power P'!$F$48/100)*E$32*12</f>
        <v>0.70896160154879961</v>
      </c>
      <c r="F33" s="12">
        <f>('Assumption for solar PV Power P'!$F$48/100)*F$32*12</f>
        <v>0.74951420515739098</v>
      </c>
      <c r="G33" s="12">
        <f>('Assumption for solar PV Power P'!$F$48/100)*G$32*12</f>
        <v>0.79238641769239371</v>
      </c>
      <c r="H33" s="12">
        <f>('Assumption for solar PV Power P'!$F$48/100)*H$32*12</f>
        <v>0.83771092078439846</v>
      </c>
      <c r="I33" s="12">
        <f>('Assumption for solar PV Power P'!$F$48/100)*I$32*12</f>
        <v>0.88562798545326604</v>
      </c>
      <c r="J33" s="12">
        <f>('Assumption for solar PV Power P'!$F$48/100)*J$32*12</f>
        <v>0.93628590622119279</v>
      </c>
      <c r="K33" s="12">
        <f>('Assumption for solar PV Power P'!$F$48/100)*K$32*12</f>
        <v>0.98984146005704488</v>
      </c>
      <c r="L33" s="12">
        <f>('Assumption for solar PV Power P'!$F$48/100)*L$32*12</f>
        <v>1.0464603915723079</v>
      </c>
      <c r="M33" s="12">
        <f>('Assumption for solar PV Power P'!$F$48/100)*M$32*12</f>
        <v>1.1063179259702438</v>
      </c>
      <c r="N33" s="12">
        <f>('Assumption for solar PV Power P'!$F$48/100)*N$32*12</f>
        <v>1.1695993113357417</v>
      </c>
      <c r="O33" s="12">
        <f>('Assumption for solar PV Power P'!$F$48/100)*O$32*12</f>
        <v>1.236500391944146</v>
      </c>
      <c r="P33" s="12">
        <f>('Assumption for solar PV Power P'!$F$48/100)*P$32*12</f>
        <v>1.3072282143633511</v>
      </c>
      <c r="Q33" s="12">
        <f>('Assumption for solar PV Power P'!$F$48/100)*Q$32*12</f>
        <v>1.3820016682249345</v>
      </c>
      <c r="R33" s="12">
        <f>('Assumption for solar PV Power P'!$F$48/100)*R$32*12</f>
        <v>1.4610521636474008</v>
      </c>
      <c r="S33" s="12">
        <f>('Assumption for solar PV Power P'!$F$48/100)*S$32*12</f>
        <v>1.5446243474080319</v>
      </c>
      <c r="T33" s="12">
        <f>('Assumption for solar PV Power P'!$F$48/100)*T$32*12</f>
        <v>1.6329768600797714</v>
      </c>
      <c r="U33" s="12">
        <f>('Assumption for solar PV Power P'!$F$48/100)*U$32*12</f>
        <v>1.7263831364763342</v>
      </c>
      <c r="V33" s="12">
        <f>('Assumption for solar PV Power P'!$F$48/100)*V$32*12</f>
        <v>1.8251322518827804</v>
      </c>
      <c r="W33" s="12">
        <f>('Assumption for solar PV Power P'!$F$48/100)*W$32*12</f>
        <v>1.9295298166904749</v>
      </c>
      <c r="X33" s="12">
        <f>('Assumption for solar PV Power P'!$F$48/100)*X$32*12</f>
        <v>2.03989892220517</v>
      </c>
      <c r="Y33" s="12">
        <f>('Assumption for solar PV Power P'!$F$48/100)*Y$32*12</f>
        <v>2.1565811405553053</v>
      </c>
      <c r="Z33" s="12">
        <f>('Assumption for solar PV Power P'!$F$48/100)*Z$32*12</f>
        <v>2.2799375817950684</v>
      </c>
      <c r="AA33"/>
      <c r="AB33"/>
    </row>
    <row r="34" spans="1:28" s="185" customFormat="1" x14ac:dyDescent="0.35">
      <c r="A34" s="309" t="s">
        <v>301</v>
      </c>
      <c r="B34" s="311">
        <f>D14</f>
        <v>0</v>
      </c>
      <c r="C34" s="311">
        <f t="shared" ref="C34:Z34" si="3">E14</f>
        <v>0</v>
      </c>
      <c r="D34" s="311">
        <f t="shared" si="3"/>
        <v>0</v>
      </c>
      <c r="E34" s="311">
        <f t="shared" si="3"/>
        <v>0</v>
      </c>
      <c r="F34" s="311">
        <f t="shared" si="3"/>
        <v>0</v>
      </c>
      <c r="G34" s="311">
        <f t="shared" si="3"/>
        <v>0</v>
      </c>
      <c r="H34" s="311">
        <f t="shared" si="3"/>
        <v>0</v>
      </c>
      <c r="I34" s="311">
        <f t="shared" si="3"/>
        <v>0</v>
      </c>
      <c r="J34" s="311">
        <f t="shared" si="3"/>
        <v>0</v>
      </c>
      <c r="K34" s="311">
        <f t="shared" si="3"/>
        <v>0</v>
      </c>
      <c r="L34" s="311">
        <f t="shared" si="3"/>
        <v>0</v>
      </c>
      <c r="M34" s="311">
        <f t="shared" si="3"/>
        <v>0</v>
      </c>
      <c r="N34" s="311">
        <f t="shared" si="3"/>
        <v>0</v>
      </c>
      <c r="O34" s="311">
        <f t="shared" si="3"/>
        <v>0</v>
      </c>
      <c r="P34" s="311">
        <f t="shared" si="3"/>
        <v>0</v>
      </c>
      <c r="Q34" s="311">
        <f t="shared" si="3"/>
        <v>0</v>
      </c>
      <c r="R34" s="311">
        <f t="shared" si="3"/>
        <v>0</v>
      </c>
      <c r="S34" s="311">
        <f t="shared" si="3"/>
        <v>0</v>
      </c>
      <c r="T34" s="311">
        <f t="shared" si="3"/>
        <v>0</v>
      </c>
      <c r="U34" s="311">
        <f t="shared" si="3"/>
        <v>0</v>
      </c>
      <c r="V34" s="311">
        <f t="shared" si="3"/>
        <v>0</v>
      </c>
      <c r="W34" s="311">
        <f t="shared" si="3"/>
        <v>0</v>
      </c>
      <c r="X34" s="311">
        <f t="shared" si="3"/>
        <v>0</v>
      </c>
      <c r="Y34" s="311">
        <f t="shared" si="3"/>
        <v>0</v>
      </c>
      <c r="Z34" s="311">
        <f t="shared" si="3"/>
        <v>0</v>
      </c>
      <c r="AA34"/>
      <c r="AB34"/>
    </row>
    <row r="35" spans="1:28" x14ac:dyDescent="0.35">
      <c r="A35" s="309" t="s">
        <v>266</v>
      </c>
      <c r="B35" s="312">
        <f>D15</f>
        <v>1.2250000000000001</v>
      </c>
      <c r="C35" s="312">
        <f t="shared" ref="C35:Z35" si="4">E15</f>
        <v>1.15687845</v>
      </c>
      <c r="D35" s="312">
        <f t="shared" si="4"/>
        <v>1.0852569000000001</v>
      </c>
      <c r="E35" s="312">
        <f t="shared" si="4"/>
        <v>1.0136353499999999</v>
      </c>
      <c r="F35" s="312">
        <f t="shared" si="4"/>
        <v>0.94201380000000001</v>
      </c>
      <c r="G35" s="312">
        <f t="shared" si="4"/>
        <v>0.87039224999999998</v>
      </c>
      <c r="H35" s="312">
        <f t="shared" si="4"/>
        <v>0.79877069999999994</v>
      </c>
      <c r="I35" s="312">
        <f t="shared" si="4"/>
        <v>0.72714914999999991</v>
      </c>
      <c r="J35" s="312">
        <f t="shared" si="4"/>
        <v>0.65552759999999988</v>
      </c>
      <c r="K35" s="312">
        <f t="shared" si="4"/>
        <v>0.58390604999999984</v>
      </c>
      <c r="L35" s="312">
        <f t="shared" si="4"/>
        <v>0.51228449999999992</v>
      </c>
      <c r="M35" s="312">
        <f t="shared" si="4"/>
        <v>0.44066294999999989</v>
      </c>
      <c r="N35" s="312">
        <f t="shared" si="4"/>
        <v>0.36904139999999985</v>
      </c>
      <c r="O35" s="312">
        <f t="shared" si="4"/>
        <v>0.29741984999999982</v>
      </c>
      <c r="P35" s="312">
        <f t="shared" si="4"/>
        <v>0.28287236249999986</v>
      </c>
      <c r="Q35" s="312">
        <f t="shared" si="4"/>
        <v>0.26832487499999985</v>
      </c>
      <c r="R35" s="312">
        <f t="shared" si="4"/>
        <v>0.25377738749999984</v>
      </c>
      <c r="S35" s="312">
        <f t="shared" si="4"/>
        <v>0.23922989999999986</v>
      </c>
      <c r="T35" s="312">
        <f t="shared" si="4"/>
        <v>0.22468241249999985</v>
      </c>
      <c r="U35" s="312">
        <f t="shared" si="4"/>
        <v>0.21013492499999983</v>
      </c>
      <c r="V35" s="312">
        <f t="shared" si="4"/>
        <v>0.19558743749999982</v>
      </c>
      <c r="W35" s="312">
        <f t="shared" si="4"/>
        <v>0.18103994999999978</v>
      </c>
      <c r="X35" s="312">
        <f t="shared" si="4"/>
        <v>0.16649246249999977</v>
      </c>
      <c r="Y35" s="312">
        <f t="shared" si="4"/>
        <v>0.15194497499999976</v>
      </c>
      <c r="Z35" s="312">
        <f t="shared" si="4"/>
        <v>0.13739748749999972</v>
      </c>
    </row>
    <row r="36" spans="1:28" s="185" customFormat="1" ht="29.5" thickBot="1" x14ac:dyDescent="0.4">
      <c r="A36" s="14" t="s">
        <v>86</v>
      </c>
      <c r="B36" s="12">
        <f ca="1">(D19*D6*10)*2/12</f>
        <v>10.782634408599749</v>
      </c>
      <c r="C36" s="12">
        <f ca="1">(E19*E6*10)*2/12</f>
        <v>10.461251999912458</v>
      </c>
      <c r="D36" s="12">
        <f t="shared" ref="D36:Z36" ca="1" si="5">(F19*F6*10)*2/12</f>
        <v>10.141488991719017</v>
      </c>
      <c r="E36" s="12">
        <f t="shared" ca="1" si="5"/>
        <v>9.8241353349497036</v>
      </c>
      <c r="F36" s="12">
        <f t="shared" ca="1" si="5"/>
        <v>9.5093288445059816</v>
      </c>
      <c r="G36" s="12">
        <f t="shared" ca="1" si="5"/>
        <v>9.1972152183016753</v>
      </c>
      <c r="H36" s="12">
        <f t="shared" ca="1" si="5"/>
        <v>8.8879484881712774</v>
      </c>
      <c r="I36" s="12">
        <f t="shared" ca="1" si="5"/>
        <v>8.5816914965702171</v>
      </c>
      <c r="J36" s="12">
        <f t="shared" ca="1" si="5"/>
        <v>8.2786164005423668</v>
      </c>
      <c r="K36" s="12">
        <f t="shared" ca="1" si="5"/>
        <v>7.9789052045145228</v>
      </c>
      <c r="L36" s="12">
        <f t="shared" ca="1" si="5"/>
        <v>8.2786756206802874</v>
      </c>
      <c r="M36" s="12">
        <f t="shared" ca="1" si="5"/>
        <v>7.9862804760350237</v>
      </c>
      <c r="N36" s="12">
        <f t="shared" ca="1" si="5"/>
        <v>7.6978601246088472</v>
      </c>
      <c r="O36" s="12">
        <f t="shared" ca="1" si="5"/>
        <v>4.8192658634539756</v>
      </c>
      <c r="P36" s="12">
        <f t="shared" ca="1" si="5"/>
        <v>4.8986331675768406</v>
      </c>
      <c r="Q36" s="12">
        <f t="shared" ca="1" si="5"/>
        <v>4.9826970979770886</v>
      </c>
      <c r="R36" s="12">
        <f t="shared" ca="1" si="5"/>
        <v>5.0717263016777814</v>
      </c>
      <c r="S36" s="12">
        <f t="shared" ca="1" si="5"/>
        <v>5.1660047923117078</v>
      </c>
      <c r="T36" s="12">
        <f t="shared" ca="1" si="5"/>
        <v>5.2658328290914493</v>
      </c>
      <c r="U36" s="12">
        <f t="shared" ca="1" si="5"/>
        <v>5.3715278460565443</v>
      </c>
      <c r="V36" s="12">
        <f t="shared" ca="1" si="5"/>
        <v>5.4834254344735962</v>
      </c>
      <c r="W36" s="12">
        <f t="shared" ca="1" si="5"/>
        <v>5.6018803814296563</v>
      </c>
      <c r="X36" s="12">
        <f t="shared" ca="1" si="5"/>
        <v>5.7272677678331592</v>
      </c>
      <c r="Y36" s="12">
        <f t="shared" ca="1" si="5"/>
        <v>5.8599841292204928</v>
      </c>
      <c r="Z36" s="12">
        <f t="shared" ca="1" si="5"/>
        <v>6.0004486829607346</v>
      </c>
      <c r="AA36"/>
      <c r="AB36"/>
    </row>
    <row r="37" spans="1:28" s="185" customFormat="1" ht="15" thickBot="1" x14ac:dyDescent="0.4">
      <c r="A37" s="25" t="s">
        <v>83</v>
      </c>
      <c r="B37" s="36">
        <f ca="1">SUM(B32:B36)</f>
        <v>12.940967741933083</v>
      </c>
      <c r="C37" s="36">
        <f ca="1">SUM(C32:C36)</f>
        <v>12.604850449912458</v>
      </c>
      <c r="D37" s="36">
        <f ca="1">SUM(D32:D36)</f>
        <v>12.269906275719016</v>
      </c>
      <c r="E37" s="36">
        <f t="shared" ref="E37:Z37" ca="1" si="6">SUM(E32:E36)</f>
        <v>11.940599842914503</v>
      </c>
      <c r="F37" s="36">
        <f t="shared" ca="1" si="6"/>
        <v>11.617253630306369</v>
      </c>
      <c r="G37" s="36">
        <f t="shared" ca="1" si="6"/>
        <v>11.300208562489843</v>
      </c>
      <c r="H37" s="36">
        <f t="shared" ca="1" si="6"/>
        <v>10.989825064947009</v>
      </c>
      <c r="I37" s="36">
        <f t="shared" ca="1" si="6"/>
        <v>10.686484179497519</v>
      </c>
      <c r="J37" s="36">
        <f t="shared" ca="1" si="6"/>
        <v>10.39058874355311</v>
      </c>
      <c r="K37" s="36">
        <f t="shared" ca="1" si="6"/>
        <v>10.10256463682548</v>
      </c>
      <c r="L37" s="36">
        <f t="shared" ca="1" si="6"/>
        <v>10.418787396459432</v>
      </c>
      <c r="M37" s="36">
        <f t="shared" ca="1" si="6"/>
        <v>10.147882421988736</v>
      </c>
      <c r="N37" s="36">
        <f t="shared" ca="1" si="6"/>
        <v>9.8862782311311115</v>
      </c>
      <c r="O37" s="36">
        <f t="shared" ca="1" si="6"/>
        <v>7.0401307675893134</v>
      </c>
      <c r="P37" s="36">
        <f t="shared" ca="1" si="6"/>
        <v>7.2149716413087202</v>
      </c>
      <c r="Q37" s="36">
        <f t="shared" ca="1" si="6"/>
        <v>7.4008023457714316</v>
      </c>
      <c r="R37" s="36">
        <f t="shared" ca="1" si="6"/>
        <v>7.5982514992959604</v>
      </c>
      <c r="S37" s="36">
        <f t="shared" ca="1" si="6"/>
        <v>7.8079836771686466</v>
      </c>
      <c r="T37" s="36">
        <f t="shared" ca="1" si="6"/>
        <v>8.0307014683822047</v>
      </c>
      <c r="U37" s="36">
        <f t="shared" ca="1" si="6"/>
        <v>8.2671476500197301</v>
      </c>
      <c r="V37" s="36">
        <f t="shared" ca="1" si="6"/>
        <v>8.5181074860134771</v>
      </c>
      <c r="W37" s="36">
        <f t="shared" ca="1" si="6"/>
        <v>8.7844111573926167</v>
      </c>
      <c r="X37" s="36">
        <f t="shared" ca="1" si="6"/>
        <v>9.0669363315412017</v>
      </c>
      <c r="Y37" s="36">
        <f t="shared" ca="1" si="6"/>
        <v>9.3666108784176334</v>
      </c>
      <c r="Z37" s="36">
        <f t="shared" ca="1" si="6"/>
        <v>9.6844157421419528</v>
      </c>
      <c r="AA37"/>
      <c r="AB37"/>
    </row>
    <row r="39" spans="1:28" ht="15" thickBot="1" x14ac:dyDescent="0.4"/>
    <row r="40" spans="1:28" ht="15" thickBot="1" x14ac:dyDescent="0.4">
      <c r="A40" s="39" t="s">
        <v>87</v>
      </c>
      <c r="B40" s="16"/>
    </row>
    <row r="41" spans="1:28" x14ac:dyDescent="0.35">
      <c r="A41" s="318" t="str">
        <f>'Assumption for solar PV Power P'!G31</f>
        <v>Post TAX ROE (for 10 yrs)</v>
      </c>
      <c r="B41" s="320">
        <f>'Assumption for solar PV Power P'!I31</f>
        <v>0.13336999999999999</v>
      </c>
    </row>
    <row r="42" spans="1:28" ht="15" thickBot="1" x14ac:dyDescent="0.4">
      <c r="A42" s="319" t="str">
        <f>'Assumption for solar PV Power P'!G32</f>
        <v>Post TAX ROE (for rest yrs)</v>
      </c>
      <c r="B42" s="321">
        <f>'Assumption for solar PV Power P'!I32</f>
        <v>0.14385999999999999</v>
      </c>
    </row>
    <row r="43" spans="1:28" x14ac:dyDescent="0.35">
      <c r="A43" s="318" t="str">
        <f>'Assumption for solar PV Power P'!D38</f>
        <v>MAT Rate</v>
      </c>
      <c r="B43" s="286">
        <f>'Assumption for solar PV Power P'!F38</f>
        <v>0.2155</v>
      </c>
    </row>
    <row r="44" spans="1:28" ht="15" thickBot="1" x14ac:dyDescent="0.4">
      <c r="A44" s="288" t="s">
        <v>88</v>
      </c>
      <c r="B44" s="322">
        <f>'Assumption for solar PV Power P'!$F$37</f>
        <v>0.34610000000000002</v>
      </c>
    </row>
    <row r="45" spans="1:28" x14ac:dyDescent="0.35">
      <c r="A45" s="287" t="s">
        <v>2</v>
      </c>
      <c r="B45" s="269">
        <f>'Assumption for solar PV Power P'!$F$24/100</f>
        <v>9.5000000000000001E-2</v>
      </c>
    </row>
    <row r="46" spans="1:28" ht="15" thickBot="1" x14ac:dyDescent="0.4">
      <c r="A46" s="287" t="s">
        <v>208</v>
      </c>
      <c r="B46" s="323">
        <f>'Assumption for solar PV Power P'!$F$16/100</f>
        <v>0.8</v>
      </c>
    </row>
    <row r="47" spans="1:28" ht="15" thickBot="1" x14ac:dyDescent="0.4">
      <c r="A47" s="37" t="s">
        <v>311</v>
      </c>
      <c r="B47" s="339">
        <f>(B46*B45*(1-B43))+((1-B46)*B41)</f>
        <v>8.6295999999999998E-2</v>
      </c>
    </row>
    <row r="48" spans="1:28" ht="15" thickBot="1" x14ac:dyDescent="0.4">
      <c r="A48" s="37" t="s">
        <v>312</v>
      </c>
      <c r="B48" s="340">
        <f>(B46*B45*(1-B44))+((1-B46)*B42)</f>
        <v>7.8468399999999994E-2</v>
      </c>
    </row>
    <row r="49" spans="1:28" ht="15" thickBot="1" x14ac:dyDescent="0.4">
      <c r="A49" s="325" t="str">
        <f>'Assumption for solar PV Power P'!D33</f>
        <v>Weighted Average Discount Rate</v>
      </c>
      <c r="B49" s="317">
        <f>'Assumption for solar PV Power P'!$F$33</f>
        <v>8.1599439999999995E-2</v>
      </c>
    </row>
    <row r="51" spans="1:28" ht="15" thickBot="1" x14ac:dyDescent="0.4"/>
    <row r="52" spans="1:28" ht="15" thickBot="1" x14ac:dyDescent="0.4">
      <c r="A52" s="85" t="s">
        <v>91</v>
      </c>
      <c r="B52" s="86"/>
      <c r="C52" s="86"/>
      <c r="D52" s="86"/>
      <c r="E52" s="86"/>
      <c r="F52" s="86"/>
      <c r="G52" s="7"/>
      <c r="H52" s="7"/>
      <c r="I52" s="7"/>
      <c r="J52" s="7"/>
      <c r="K52" s="7"/>
      <c r="L52" s="7"/>
      <c r="M52" s="7"/>
      <c r="N52" s="7"/>
      <c r="O52" s="7"/>
      <c r="P52" s="7"/>
      <c r="Q52" s="7"/>
      <c r="R52" s="7"/>
      <c r="S52" s="7"/>
      <c r="T52" s="7"/>
      <c r="U52" s="7"/>
      <c r="V52" s="7"/>
      <c r="W52" s="7"/>
      <c r="X52" s="7"/>
      <c r="Y52" s="7"/>
      <c r="Z52" s="7"/>
      <c r="AA52" s="7"/>
      <c r="AB52" s="16"/>
    </row>
    <row r="53" spans="1:28" ht="15" thickBot="1" x14ac:dyDescent="0.4">
      <c r="A53" s="285" t="s">
        <v>92</v>
      </c>
      <c r="B53" s="286">
        <v>0.9</v>
      </c>
      <c r="AB53" s="17"/>
    </row>
    <row r="54" spans="1:28" x14ac:dyDescent="0.35">
      <c r="A54" s="287" t="s">
        <v>93</v>
      </c>
      <c r="B54" s="269">
        <v>5.28E-2</v>
      </c>
      <c r="D54" s="39" t="s">
        <v>112</v>
      </c>
      <c r="E54" s="111"/>
      <c r="F54" s="111"/>
      <c r="G54" s="111" t="s">
        <v>225</v>
      </c>
      <c r="H54" s="7"/>
      <c r="I54" s="7"/>
      <c r="J54" s="7"/>
      <c r="K54" s="16"/>
      <c r="M54" s="21" t="s">
        <v>224</v>
      </c>
      <c r="X54" s="21" t="s">
        <v>227</v>
      </c>
      <c r="AB54" s="17"/>
    </row>
    <row r="55" spans="1:28" ht="15" thickBot="1" x14ac:dyDescent="0.4">
      <c r="A55" s="215" t="s">
        <v>94</v>
      </c>
      <c r="B55" s="295">
        <v>0.4</v>
      </c>
      <c r="D55" s="112" t="s">
        <v>113</v>
      </c>
      <c r="E55" s="87" t="s">
        <v>114</v>
      </c>
      <c r="K55" s="17"/>
      <c r="M55" s="390" t="s">
        <v>223</v>
      </c>
      <c r="N55" s="390"/>
      <c r="O55" s="390"/>
      <c r="P55" s="390"/>
      <c r="Q55" s="390"/>
      <c r="R55" s="390"/>
      <c r="X55" s="390" t="s">
        <v>226</v>
      </c>
      <c r="Y55" s="390"/>
      <c r="Z55" s="390"/>
      <c r="AA55" s="390"/>
      <c r="AB55" s="17"/>
    </row>
    <row r="56" spans="1:28" ht="15" thickBot="1" x14ac:dyDescent="0.4">
      <c r="A56" s="215" t="s">
        <v>95</v>
      </c>
      <c r="B56" s="296">
        <v>0.2</v>
      </c>
      <c r="D56" s="102">
        <v>0.5</v>
      </c>
      <c r="E56" s="103">
        <v>0.5</v>
      </c>
      <c r="G56" s="107" t="s">
        <v>117</v>
      </c>
      <c r="H56" s="108"/>
      <c r="I56" s="108"/>
      <c r="J56" s="108"/>
      <c r="K56" s="148">
        <f>D57*D56</f>
        <v>0.2</v>
      </c>
      <c r="M56" s="390"/>
      <c r="N56" s="390"/>
      <c r="O56" s="390"/>
      <c r="P56" s="390"/>
      <c r="Q56" s="390"/>
      <c r="R56" s="390"/>
      <c r="X56" s="390"/>
      <c r="Y56" s="390"/>
      <c r="Z56" s="390"/>
      <c r="AA56" s="390"/>
      <c r="AB56" s="17"/>
    </row>
    <row r="57" spans="1:28" ht="15" thickBot="1" x14ac:dyDescent="0.4">
      <c r="A57" s="287" t="s">
        <v>96</v>
      </c>
      <c r="B57" s="269">
        <f>'Assumption for solar PV Power P'!$F$37</f>
        <v>0.34610000000000002</v>
      </c>
      <c r="D57" s="298">
        <f>B55</f>
        <v>0.4</v>
      </c>
      <c r="E57" s="297">
        <f>B56</f>
        <v>0.2</v>
      </c>
      <c r="G57" s="109" t="s">
        <v>118</v>
      </c>
      <c r="H57" s="110"/>
      <c r="I57" s="110"/>
      <c r="J57" s="110"/>
      <c r="K57" s="104">
        <f>D57</f>
        <v>0.4</v>
      </c>
      <c r="M57" s="390"/>
      <c r="N57" s="390"/>
      <c r="O57" s="390"/>
      <c r="P57" s="390"/>
      <c r="Q57" s="390"/>
      <c r="R57" s="390"/>
      <c r="X57" s="390"/>
      <c r="Y57" s="390"/>
      <c r="Z57" s="390"/>
      <c r="AA57" s="390"/>
      <c r="AB57" s="17"/>
    </row>
    <row r="58" spans="1:28" ht="15" thickBot="1" x14ac:dyDescent="0.4">
      <c r="A58" s="288" t="s">
        <v>97</v>
      </c>
      <c r="B58" s="202">
        <f>'Assumption for solar PV Power P'!$F$13</f>
        <v>351</v>
      </c>
      <c r="D58" s="19"/>
      <c r="G58" s="107" t="s">
        <v>115</v>
      </c>
      <c r="H58" s="108"/>
      <c r="I58" s="108"/>
      <c r="J58" s="108"/>
      <c r="K58" s="105">
        <f>D56*D57+E56*E57</f>
        <v>0.30000000000000004</v>
      </c>
      <c r="M58" s="390"/>
      <c r="N58" s="390"/>
      <c r="O58" s="390"/>
      <c r="P58" s="390"/>
      <c r="Q58" s="390"/>
      <c r="R58" s="390"/>
      <c r="X58" s="390"/>
      <c r="Y58" s="390"/>
      <c r="Z58" s="390"/>
      <c r="AA58" s="390"/>
      <c r="AB58" s="17"/>
    </row>
    <row r="59" spans="1:28" ht="15" thickBot="1" x14ac:dyDescent="0.4">
      <c r="A59" s="325" t="s">
        <v>290</v>
      </c>
      <c r="B59" s="26" t="str">
        <f>INPUT!F27</f>
        <v>NO</v>
      </c>
      <c r="D59" s="30"/>
      <c r="E59" s="32"/>
      <c r="F59" s="32"/>
      <c r="G59" s="109" t="s">
        <v>116</v>
      </c>
      <c r="H59" s="110"/>
      <c r="I59" s="110"/>
      <c r="J59" s="110"/>
      <c r="K59" s="106">
        <f>K57+E56*E57</f>
        <v>0.5</v>
      </c>
      <c r="AB59" s="17"/>
    </row>
    <row r="60" spans="1:28" x14ac:dyDescent="0.35">
      <c r="A60" s="19"/>
      <c r="W60" s="17"/>
    </row>
    <row r="61" spans="1:28" x14ac:dyDescent="0.35">
      <c r="A61" s="19"/>
    </row>
    <row r="62" spans="1:28" x14ac:dyDescent="0.35">
      <c r="A62" s="19" t="s">
        <v>204</v>
      </c>
      <c r="D62" s="12">
        <f>IF(B59="NO",D7*10,D7*10/2)</f>
        <v>11.826000000000001</v>
      </c>
      <c r="E62" s="12">
        <f>IF(B59="NO",E7*10,(E7*10/2)+D62)</f>
        <v>11.743218000000002</v>
      </c>
      <c r="F62" s="12">
        <f>IF(B59="NO",F7*10,(F7*10/2)+E62/2)</f>
        <v>11.661015474000003</v>
      </c>
      <c r="G62" s="12">
        <f t="shared" ref="G62:AB62" si="7">IF(C59="NO",G7*10,(G7*10/2)+F62/2)</f>
        <v>11.620201919841001</v>
      </c>
      <c r="H62" s="12">
        <f t="shared" si="7"/>
        <v>11.559267283481613</v>
      </c>
      <c r="I62" s="12">
        <f t="shared" si="7"/>
        <v>11.488555801036993</v>
      </c>
      <c r="J62" s="12">
        <f t="shared" si="7"/>
        <v>11.41323760469961</v>
      </c>
      <c r="K62" s="12">
        <f t="shared" si="7"/>
        <v>11.33589578860165</v>
      </c>
      <c r="L62" s="12">
        <f t="shared" si="7"/>
        <v>11.257819941648906</v>
      </c>
      <c r="M62" s="12">
        <f t="shared" si="7"/>
        <v>11.179652913841096</v>
      </c>
      <c r="N62" s="12">
        <f t="shared" si="7"/>
        <v>11.101714199336076</v>
      </c>
      <c r="O62" s="12">
        <f t="shared" si="7"/>
        <v>11.024161627886656</v>
      </c>
      <c r="P62" s="12">
        <f t="shared" si="7"/>
        <v>10.947072210464416</v>
      </c>
      <c r="Q62" s="12">
        <f t="shared" si="7"/>
        <v>10.870482561977649</v>
      </c>
      <c r="R62" s="12">
        <f t="shared" si="7"/>
        <v>10.794409112537046</v>
      </c>
      <c r="S62" s="12">
        <f t="shared" si="7"/>
        <v>10.718858212995908</v>
      </c>
      <c r="T62" s="12">
        <f t="shared" si="7"/>
        <v>10.643831187628248</v>
      </c>
      <c r="U62" s="12">
        <f t="shared" si="7"/>
        <v>10.569326860376506</v>
      </c>
      <c r="V62" s="12">
        <f t="shared" si="7"/>
        <v>10.495342817884698</v>
      </c>
      <c r="W62" s="12">
        <f t="shared" si="7"/>
        <v>10.421876040924918</v>
      </c>
      <c r="X62" s="12">
        <f t="shared" si="7"/>
        <v>10.348923220021149</v>
      </c>
      <c r="Y62" s="12">
        <f t="shared" si="7"/>
        <v>10.276480913172355</v>
      </c>
      <c r="Z62" s="12">
        <f t="shared" si="7"/>
        <v>10.204545624625826</v>
      </c>
      <c r="AA62" s="12">
        <f t="shared" si="7"/>
        <v>10.133113844176282</v>
      </c>
      <c r="AB62" s="12">
        <f t="shared" si="7"/>
        <v>10.062182066728468</v>
      </c>
    </row>
    <row r="63" spans="1:28" x14ac:dyDescent="0.35">
      <c r="A63" s="88" t="s">
        <v>101</v>
      </c>
      <c r="B63" s="9" t="s">
        <v>11</v>
      </c>
      <c r="C63" s="9"/>
      <c r="D63" s="9">
        <v>1</v>
      </c>
      <c r="E63" s="324">
        <v>2</v>
      </c>
      <c r="F63" s="9">
        <v>3</v>
      </c>
      <c r="G63" s="9">
        <v>4</v>
      </c>
      <c r="H63" s="9">
        <v>5</v>
      </c>
      <c r="I63" s="9">
        <v>6</v>
      </c>
      <c r="J63" s="9">
        <v>7</v>
      </c>
      <c r="K63" s="9">
        <v>8</v>
      </c>
      <c r="L63" s="9">
        <v>9</v>
      </c>
      <c r="M63" s="9">
        <v>10</v>
      </c>
      <c r="N63" s="9">
        <v>11</v>
      </c>
      <c r="O63" s="9">
        <v>12</v>
      </c>
      <c r="P63" s="9">
        <v>13</v>
      </c>
      <c r="Q63" s="9">
        <v>14</v>
      </c>
      <c r="R63" s="9">
        <v>15</v>
      </c>
      <c r="S63" s="9">
        <v>16</v>
      </c>
      <c r="T63" s="9">
        <v>17</v>
      </c>
      <c r="U63" s="9">
        <v>18</v>
      </c>
      <c r="V63" s="9">
        <v>19</v>
      </c>
      <c r="W63" s="9">
        <v>20</v>
      </c>
      <c r="X63" s="9">
        <v>21</v>
      </c>
      <c r="Y63" s="9">
        <v>22</v>
      </c>
      <c r="Z63" s="9">
        <v>23</v>
      </c>
      <c r="AA63" s="9">
        <v>24</v>
      </c>
      <c r="AB63" s="89">
        <v>25</v>
      </c>
    </row>
    <row r="64" spans="1:28" x14ac:dyDescent="0.35">
      <c r="A64" s="19" t="s">
        <v>205</v>
      </c>
      <c r="D64" s="20">
        <f>IF(B59="NO",5.28%,2.64%)</f>
        <v>5.28E-2</v>
      </c>
      <c r="E64" s="20">
        <v>5.28E-2</v>
      </c>
      <c r="F64" s="20">
        <v>5.28E-2</v>
      </c>
      <c r="G64" s="20">
        <v>5.28E-2</v>
      </c>
      <c r="H64" s="20">
        <v>5.28E-2</v>
      </c>
      <c r="I64" s="20">
        <v>5.28E-2</v>
      </c>
      <c r="J64" s="20">
        <v>5.28E-2</v>
      </c>
      <c r="K64" s="20">
        <v>5.28E-2</v>
      </c>
      <c r="L64" s="20">
        <v>5.28E-2</v>
      </c>
      <c r="M64" s="20">
        <v>5.28E-2</v>
      </c>
      <c r="N64" s="20">
        <v>5.28E-2</v>
      </c>
      <c r="O64" s="20">
        <v>5.28E-2</v>
      </c>
      <c r="P64" s="20">
        <v>5.28E-2</v>
      </c>
      <c r="Q64" s="20">
        <v>5.28E-2</v>
      </c>
      <c r="R64" s="20">
        <v>5.28E-2</v>
      </c>
      <c r="S64" s="20">
        <v>5.28E-2</v>
      </c>
      <c r="T64" s="20">
        <v>5.28E-2</v>
      </c>
      <c r="U64" s="20">
        <f>IF(B59="NO",B53-SUM(D64:T64),2.88%)</f>
        <v>2.4000000000002908E-3</v>
      </c>
      <c r="V64" s="84">
        <v>0</v>
      </c>
      <c r="W64" s="84">
        <v>0</v>
      </c>
      <c r="X64" s="84">
        <v>0</v>
      </c>
      <c r="Y64" s="84">
        <v>0</v>
      </c>
      <c r="Z64" s="84">
        <v>0</v>
      </c>
      <c r="AA64" s="84">
        <v>0</v>
      </c>
      <c r="AB64" s="90">
        <v>0</v>
      </c>
    </row>
    <row r="65" spans="1:29" x14ac:dyDescent="0.35">
      <c r="A65" s="19" t="s">
        <v>205</v>
      </c>
      <c r="B65" t="s">
        <v>74</v>
      </c>
      <c r="D65" s="12">
        <f>D64*$B$58</f>
        <v>18.532799999999998</v>
      </c>
      <c r="E65" s="12">
        <f>E64*$B$58</f>
        <v>18.532799999999998</v>
      </c>
      <c r="F65" s="12">
        <f>F64*$B$58</f>
        <v>18.532799999999998</v>
      </c>
      <c r="G65" s="12">
        <f t="shared" ref="G65:U65" si="8">G64*$B$58</f>
        <v>18.532799999999998</v>
      </c>
      <c r="H65" s="12">
        <f t="shared" si="8"/>
        <v>18.532799999999998</v>
      </c>
      <c r="I65" s="12">
        <f t="shared" si="8"/>
        <v>18.532799999999998</v>
      </c>
      <c r="J65" s="12">
        <f t="shared" si="8"/>
        <v>18.532799999999998</v>
      </c>
      <c r="K65" s="12">
        <f t="shared" si="8"/>
        <v>18.532799999999998</v>
      </c>
      <c r="L65" s="12">
        <f t="shared" si="8"/>
        <v>18.532799999999998</v>
      </c>
      <c r="M65" s="12">
        <f t="shared" si="8"/>
        <v>18.532799999999998</v>
      </c>
      <c r="N65" s="12">
        <f t="shared" si="8"/>
        <v>18.532799999999998</v>
      </c>
      <c r="O65" s="12">
        <f t="shared" si="8"/>
        <v>18.532799999999998</v>
      </c>
      <c r="P65" s="12">
        <f t="shared" si="8"/>
        <v>18.532799999999998</v>
      </c>
      <c r="Q65" s="12">
        <f t="shared" si="8"/>
        <v>18.532799999999998</v>
      </c>
      <c r="R65" s="12">
        <f t="shared" si="8"/>
        <v>18.532799999999998</v>
      </c>
      <c r="S65" s="12">
        <f t="shared" si="8"/>
        <v>18.532799999999998</v>
      </c>
      <c r="T65" s="12">
        <f t="shared" si="8"/>
        <v>18.532799999999998</v>
      </c>
      <c r="U65" s="12">
        <f t="shared" si="8"/>
        <v>0.84240000000010207</v>
      </c>
      <c r="V65" s="33">
        <f t="shared" ref="V65:AB65" si="9">V64*$B$58</f>
        <v>0</v>
      </c>
      <c r="W65" s="33">
        <f t="shared" si="9"/>
        <v>0</v>
      </c>
      <c r="X65" s="33">
        <f t="shared" si="9"/>
        <v>0</v>
      </c>
      <c r="Y65" s="33">
        <f t="shared" si="9"/>
        <v>0</v>
      </c>
      <c r="Z65" s="33">
        <f t="shared" si="9"/>
        <v>0</v>
      </c>
      <c r="AA65" s="33">
        <f t="shared" si="9"/>
        <v>0</v>
      </c>
      <c r="AB65" s="91">
        <f t="shared" si="9"/>
        <v>0</v>
      </c>
    </row>
    <row r="66" spans="1:29" x14ac:dyDescent="0.35">
      <c r="A66" s="88" t="s">
        <v>100</v>
      </c>
      <c r="B66" s="9" t="s">
        <v>11</v>
      </c>
      <c r="C66" s="9" t="s">
        <v>120</v>
      </c>
      <c r="D66" s="9">
        <v>1</v>
      </c>
      <c r="E66" s="9">
        <v>2</v>
      </c>
      <c r="F66" s="9">
        <v>3</v>
      </c>
      <c r="G66" s="9">
        <v>4</v>
      </c>
      <c r="H66" s="9">
        <v>5</v>
      </c>
      <c r="I66" s="9">
        <v>6</v>
      </c>
      <c r="J66" s="9">
        <v>7</v>
      </c>
      <c r="K66" s="9">
        <v>8</v>
      </c>
      <c r="L66" s="9">
        <v>9</v>
      </c>
      <c r="M66" s="9">
        <v>10</v>
      </c>
      <c r="N66" s="9">
        <v>11</v>
      </c>
      <c r="O66" s="9">
        <v>12</v>
      </c>
      <c r="P66" s="9">
        <v>13</v>
      </c>
      <c r="Q66" s="9">
        <v>14</v>
      </c>
      <c r="R66" s="9">
        <v>15</v>
      </c>
      <c r="S66" s="9">
        <v>16</v>
      </c>
      <c r="T66" s="9">
        <v>17</v>
      </c>
      <c r="U66" s="9">
        <v>18</v>
      </c>
      <c r="V66" s="9">
        <v>19</v>
      </c>
      <c r="W66" s="9">
        <v>20</v>
      </c>
      <c r="X66" s="9">
        <v>21</v>
      </c>
      <c r="Y66" s="9">
        <v>22</v>
      </c>
      <c r="Z66" s="9">
        <v>23</v>
      </c>
      <c r="AA66" s="9">
        <v>24</v>
      </c>
      <c r="AB66" s="89">
        <v>25</v>
      </c>
    </row>
    <row r="67" spans="1:29" x14ac:dyDescent="0.35">
      <c r="A67" s="19" t="s">
        <v>102</v>
      </c>
      <c r="B67" t="s">
        <v>19</v>
      </c>
      <c r="D67" s="84">
        <v>1</v>
      </c>
      <c r="E67" s="84">
        <f>D67-D68</f>
        <v>0.39999999999999991</v>
      </c>
      <c r="F67" s="84">
        <f t="shared" ref="F67:AB67" si="10">E67-E68</f>
        <v>0.23999999999999994</v>
      </c>
      <c r="G67" s="84">
        <f t="shared" si="10"/>
        <v>0.14399999999999996</v>
      </c>
      <c r="H67" s="84">
        <f t="shared" si="10"/>
        <v>8.6399999999999977E-2</v>
      </c>
      <c r="I67" s="84">
        <f t="shared" si="10"/>
        <v>5.1839999999999983E-2</v>
      </c>
      <c r="J67" s="84">
        <f t="shared" si="10"/>
        <v>3.1103999999999989E-2</v>
      </c>
      <c r="K67" s="84">
        <f t="shared" si="10"/>
        <v>1.8662399999999992E-2</v>
      </c>
      <c r="L67" s="84">
        <f t="shared" si="10"/>
        <v>1.1197439999999996E-2</v>
      </c>
      <c r="M67" s="84">
        <f t="shared" si="10"/>
        <v>6.7184639999999978E-3</v>
      </c>
      <c r="N67" s="84">
        <f t="shared" si="10"/>
        <v>4.0310783999999988E-3</v>
      </c>
      <c r="O67" s="84">
        <f t="shared" si="10"/>
        <v>2.4186470399999993E-3</v>
      </c>
      <c r="P67" s="84">
        <f t="shared" si="10"/>
        <v>1.4511882239999995E-3</v>
      </c>
      <c r="Q67" s="84">
        <f t="shared" si="10"/>
        <v>8.707129343999997E-4</v>
      </c>
      <c r="R67" s="84">
        <f t="shared" si="10"/>
        <v>5.2242776063999978E-4</v>
      </c>
      <c r="S67" s="84">
        <f t="shared" si="10"/>
        <v>3.1345665638399982E-4</v>
      </c>
      <c r="T67" s="84">
        <f t="shared" si="10"/>
        <v>1.8807399383039989E-4</v>
      </c>
      <c r="U67" s="84">
        <f t="shared" si="10"/>
        <v>1.1284439629823993E-4</v>
      </c>
      <c r="V67" s="84">
        <f t="shared" si="10"/>
        <v>6.7706637778943947E-5</v>
      </c>
      <c r="W67" s="84">
        <f t="shared" si="10"/>
        <v>4.0623982667366363E-5</v>
      </c>
      <c r="X67" s="84">
        <f t="shared" si="10"/>
        <v>2.4374389600419818E-5</v>
      </c>
      <c r="Y67" s="84">
        <f t="shared" si="10"/>
        <v>1.462463376025189E-5</v>
      </c>
      <c r="Z67" s="84">
        <f t="shared" si="10"/>
        <v>8.7747802561511333E-6</v>
      </c>
      <c r="AA67" s="84">
        <f t="shared" si="10"/>
        <v>5.2648681536906793E-6</v>
      </c>
      <c r="AB67" s="90">
        <f t="shared" si="10"/>
        <v>3.1589208922144077E-6</v>
      </c>
    </row>
    <row r="68" spans="1:29" x14ac:dyDescent="0.35">
      <c r="A68" s="19" t="s">
        <v>103</v>
      </c>
      <c r="B68" t="s">
        <v>19</v>
      </c>
      <c r="D68" s="84">
        <f>IF(B59="NO",SUM($B$55:$B$56),$K$58)</f>
        <v>0.60000000000000009</v>
      </c>
      <c r="E68" s="84">
        <f>IF($B$59="NO",E67*$K$57,E67*K59)</f>
        <v>0.15999999999999998</v>
      </c>
      <c r="F68" s="93">
        <f>F67*$K$57</f>
        <v>9.5999999999999974E-2</v>
      </c>
      <c r="G68" s="93">
        <f>G67*$K$57</f>
        <v>5.7599999999999985E-2</v>
      </c>
      <c r="H68" s="84">
        <f>H67*$K$57</f>
        <v>3.4559999999999994E-2</v>
      </c>
      <c r="I68" s="84">
        <f t="shared" ref="I68:J68" si="11">I67*$K$57</f>
        <v>2.0735999999999994E-2</v>
      </c>
      <c r="J68" s="93">
        <f t="shared" si="11"/>
        <v>1.2441599999999997E-2</v>
      </c>
      <c r="K68" s="93">
        <f t="shared" ref="K68" si="12">K67*$K$57</f>
        <v>7.464959999999997E-3</v>
      </c>
      <c r="L68" s="93">
        <f t="shared" ref="L68" si="13">L67*$K$57</f>
        <v>4.4789759999999982E-3</v>
      </c>
      <c r="M68" s="93">
        <f t="shared" ref="M68:N68" si="14">M67*$K$57</f>
        <v>2.6873855999999994E-3</v>
      </c>
      <c r="N68" s="93">
        <f t="shared" si="14"/>
        <v>1.6124313599999995E-3</v>
      </c>
      <c r="O68" s="93">
        <f t="shared" ref="O68" si="15">O67*$K$57</f>
        <v>9.6745881599999981E-4</v>
      </c>
      <c r="P68" s="93">
        <f t="shared" ref="P68" si="16">P67*$K$57</f>
        <v>5.804752895999998E-4</v>
      </c>
      <c r="Q68" s="93">
        <f t="shared" ref="Q68:R68" si="17">Q67*$K$57</f>
        <v>3.4828517375999992E-4</v>
      </c>
      <c r="R68" s="84">
        <f t="shared" si="17"/>
        <v>2.0897110425599993E-4</v>
      </c>
      <c r="S68" s="84">
        <f t="shared" ref="S68" si="18">S67*$K$57</f>
        <v>1.2538266255359993E-4</v>
      </c>
      <c r="T68" s="84">
        <f t="shared" ref="T68" si="19">T67*$K$57</f>
        <v>7.5229597532159963E-5</v>
      </c>
      <c r="U68" s="84">
        <f t="shared" ref="U68:V68" si="20">U67*$K$57</f>
        <v>4.5137758519295976E-5</v>
      </c>
      <c r="V68" s="84">
        <f t="shared" si="20"/>
        <v>2.7082655111577581E-5</v>
      </c>
      <c r="W68" s="84">
        <f t="shared" ref="W68" si="21">W67*$K$57</f>
        <v>1.6249593066946545E-5</v>
      </c>
      <c r="X68" s="84">
        <f t="shared" ref="X68" si="22">X67*$K$57</f>
        <v>9.7497558401679278E-6</v>
      </c>
      <c r="Y68" s="84">
        <f t="shared" ref="Y68:Z68" si="23">Y67*$K$57</f>
        <v>5.8498535041007567E-6</v>
      </c>
      <c r="Z68" s="84">
        <f t="shared" si="23"/>
        <v>3.5099121024604536E-6</v>
      </c>
      <c r="AA68" s="84">
        <f t="shared" ref="AA68" si="24">AA67*$K$57</f>
        <v>2.1059472614762716E-6</v>
      </c>
      <c r="AB68" s="84">
        <f t="shared" ref="AB68" si="25">AB67*$K$57</f>
        <v>1.2635683568857632E-6</v>
      </c>
    </row>
    <row r="69" spans="1:29" x14ac:dyDescent="0.35">
      <c r="A69" s="19" t="s">
        <v>104</v>
      </c>
      <c r="B69" t="s">
        <v>19</v>
      </c>
      <c r="D69" s="84">
        <f>D67-D68</f>
        <v>0.39999999999999991</v>
      </c>
      <c r="E69" s="84">
        <f>E67-E68</f>
        <v>0.23999999999999994</v>
      </c>
      <c r="F69" s="84">
        <f>F67-F68</f>
        <v>0.14399999999999996</v>
      </c>
      <c r="G69" s="93">
        <f t="shared" ref="G69:AB69" si="26">G67-G68</f>
        <v>8.6399999999999977E-2</v>
      </c>
      <c r="H69" s="93">
        <f t="shared" si="26"/>
        <v>5.1839999999999983E-2</v>
      </c>
      <c r="I69" s="93">
        <f t="shared" si="26"/>
        <v>3.1103999999999989E-2</v>
      </c>
      <c r="J69" s="93">
        <f t="shared" si="26"/>
        <v>1.8662399999999992E-2</v>
      </c>
      <c r="K69" s="93">
        <f t="shared" si="26"/>
        <v>1.1197439999999996E-2</v>
      </c>
      <c r="L69" s="93">
        <f t="shared" si="26"/>
        <v>6.7184639999999978E-3</v>
      </c>
      <c r="M69" s="93">
        <f t="shared" si="26"/>
        <v>4.0310783999999988E-3</v>
      </c>
      <c r="N69" s="93">
        <f t="shared" si="26"/>
        <v>2.4186470399999993E-3</v>
      </c>
      <c r="O69" s="93">
        <f t="shared" si="26"/>
        <v>1.4511882239999995E-3</v>
      </c>
      <c r="P69" s="93">
        <f t="shared" si="26"/>
        <v>8.707129343999997E-4</v>
      </c>
      <c r="Q69" s="93">
        <f t="shared" si="26"/>
        <v>5.2242776063999978E-4</v>
      </c>
      <c r="R69" s="84">
        <f t="shared" si="26"/>
        <v>3.1345665638399982E-4</v>
      </c>
      <c r="S69" s="84">
        <f t="shared" si="26"/>
        <v>1.8807399383039989E-4</v>
      </c>
      <c r="T69" s="84">
        <f t="shared" si="26"/>
        <v>1.1284439629823993E-4</v>
      </c>
      <c r="U69" s="84">
        <f t="shared" si="26"/>
        <v>6.7706637778943947E-5</v>
      </c>
      <c r="V69" s="84">
        <f t="shared" si="26"/>
        <v>4.0623982667366363E-5</v>
      </c>
      <c r="W69" s="84">
        <f t="shared" si="26"/>
        <v>2.4374389600419818E-5</v>
      </c>
      <c r="X69" s="84">
        <f t="shared" si="26"/>
        <v>1.462463376025189E-5</v>
      </c>
      <c r="Y69" s="84">
        <f t="shared" si="26"/>
        <v>8.7747802561511333E-6</v>
      </c>
      <c r="Z69" s="84">
        <f t="shared" si="26"/>
        <v>5.2648681536906793E-6</v>
      </c>
      <c r="AA69" s="84">
        <f t="shared" si="26"/>
        <v>3.1589208922144077E-6</v>
      </c>
      <c r="AB69" s="90">
        <f t="shared" si="26"/>
        <v>1.8953525353286445E-6</v>
      </c>
    </row>
    <row r="70" spans="1:29" x14ac:dyDescent="0.35">
      <c r="A70" s="19" t="s">
        <v>105</v>
      </c>
      <c r="B70" t="s">
        <v>74</v>
      </c>
      <c r="D70" s="33">
        <f>B58*D68</f>
        <v>210.60000000000002</v>
      </c>
      <c r="E70" s="33">
        <f>($B$58-D72)*Determination_of_Tariff!$K$59</f>
        <v>70.199999999999989</v>
      </c>
      <c r="F70" s="33">
        <f>($B$58-E72)*Determination_of_Tariff!$K$57</f>
        <v>28.08</v>
      </c>
      <c r="G70" s="12">
        <f>($B$58-F72)*Determination_of_Tariff!$K$57</f>
        <v>16.848000000000003</v>
      </c>
      <c r="H70" s="12">
        <f>($B$58-G72)*Determination_of_Tariff!$K$57</f>
        <v>10.108799999999997</v>
      </c>
      <c r="I70" s="12">
        <f>($B$58-H72)*Determination_of_Tariff!$K$57</f>
        <v>6.0652800000000076</v>
      </c>
      <c r="J70" s="12">
        <f>($B$58-I72)*Determination_of_Tariff!$K$57</f>
        <v>3.6391679999999953</v>
      </c>
      <c r="K70" s="12">
        <f>($B$58-J72)*Determination_of_Tariff!$K$57</f>
        <v>2.1835008000000018</v>
      </c>
      <c r="L70" s="12">
        <f>($B$58-K72)*Determination_of_Tariff!$K$57</f>
        <v>1.3101004800000056</v>
      </c>
      <c r="M70" s="12">
        <f>($B$58-L72)*Determination_of_Tariff!$K$57</f>
        <v>0.78606028799999883</v>
      </c>
      <c r="N70" s="12">
        <f>($B$58-M72)*Determination_of_Tariff!$K$57</f>
        <v>0.47163617280000381</v>
      </c>
      <c r="O70" s="12">
        <f>($B$58-N72)*Determination_of_Tariff!$K$57</f>
        <v>0.28298170368000231</v>
      </c>
      <c r="P70" s="12">
        <f>($B$58-O72)*Determination_of_Tariff!$K$57</f>
        <v>0.16978902220801048</v>
      </c>
      <c r="Q70" s="12">
        <f>($B$58-P72)*Determination_of_Tariff!$K$57</f>
        <v>0.10187341332480174</v>
      </c>
      <c r="R70" s="12">
        <f>($B$58-Q72)*Determination_of_Tariff!$K$57</f>
        <v>6.112404799487195E-2</v>
      </c>
      <c r="S70" s="12">
        <f>($B$58-R72)*Determination_of_Tariff!$K$57</f>
        <v>3.6674428796914071E-2</v>
      </c>
      <c r="T70" s="12">
        <f>($B$58-S72)*Determination_of_Tariff!$K$57</f>
        <v>2.2004657278148446E-2</v>
      </c>
      <c r="U70" s="12">
        <f>($B$58-T72)*Determination_of_Tariff!$K$57</f>
        <v>1.320279436688452E-2</v>
      </c>
      <c r="V70" s="12">
        <f>($B$58-U72)*Determination_of_Tariff!$K$57</f>
        <v>7.9216766201398066E-3</v>
      </c>
      <c r="W70" s="12">
        <f>($B$58-V72)*Determination_of_Tariff!$K$57</f>
        <v>4.7530059720884317E-3</v>
      </c>
      <c r="X70" s="12">
        <f>($B$58-W72)*Determination_of_Tariff!$K$57</f>
        <v>2.8518035832576063E-3</v>
      </c>
      <c r="Y70" s="33">
        <f>($B$58-X72)*Determination_of_Tariff!$K$57</f>
        <v>1.7110821499500162E-3</v>
      </c>
      <c r="Z70" s="33">
        <f>($B$58-Y72)*Determination_of_Tariff!$K$57</f>
        <v>1.0266492899745573E-3</v>
      </c>
      <c r="AA70" s="33">
        <f>($B$58-Z72)*Determination_of_Tariff!$K$57</f>
        <v>6.1598957397563942E-4</v>
      </c>
      <c r="AB70" s="91">
        <f>($B$58-AA72)*Determination_of_Tariff!$K$57</f>
        <v>3.6959374438083614E-4</v>
      </c>
    </row>
    <row r="71" spans="1:29" x14ac:dyDescent="0.35">
      <c r="A71" s="19"/>
      <c r="AB71" s="17"/>
    </row>
    <row r="72" spans="1:29" x14ac:dyDescent="0.35">
      <c r="A72" s="70" t="s">
        <v>119</v>
      </c>
      <c r="B72" t="s">
        <v>74</v>
      </c>
      <c r="D72" s="33">
        <f>D70</f>
        <v>210.60000000000002</v>
      </c>
      <c r="E72" s="33">
        <f>D72+E70</f>
        <v>280.8</v>
      </c>
      <c r="F72" s="33">
        <f t="shared" ref="F72:AB72" si="27">E72+F70</f>
        <v>308.88</v>
      </c>
      <c r="G72" s="12">
        <f t="shared" si="27"/>
        <v>325.72800000000001</v>
      </c>
      <c r="H72" s="12">
        <f t="shared" si="27"/>
        <v>335.83679999999998</v>
      </c>
      <c r="I72" s="12">
        <f t="shared" si="27"/>
        <v>341.90208000000001</v>
      </c>
      <c r="J72" s="12">
        <f t="shared" si="27"/>
        <v>345.541248</v>
      </c>
      <c r="K72" s="12">
        <f t="shared" si="27"/>
        <v>347.72474879999999</v>
      </c>
      <c r="L72" s="12">
        <f t="shared" si="27"/>
        <v>349.03484928</v>
      </c>
      <c r="M72" s="12">
        <f t="shared" si="27"/>
        <v>349.82090956799999</v>
      </c>
      <c r="N72" s="12">
        <f t="shared" si="27"/>
        <v>350.29254574079999</v>
      </c>
      <c r="O72" s="12">
        <f t="shared" si="27"/>
        <v>350.57552744447997</v>
      </c>
      <c r="P72" s="12">
        <f t="shared" si="27"/>
        <v>350.745316466688</v>
      </c>
      <c r="Q72" s="12">
        <f t="shared" si="27"/>
        <v>350.84718988001282</v>
      </c>
      <c r="R72" s="12">
        <f t="shared" si="27"/>
        <v>350.90831392800771</v>
      </c>
      <c r="S72" s="12">
        <f t="shared" si="27"/>
        <v>350.94498835680463</v>
      </c>
      <c r="T72" s="12">
        <f t="shared" si="27"/>
        <v>350.96699301408279</v>
      </c>
      <c r="U72" s="12">
        <f t="shared" si="27"/>
        <v>350.98019580844965</v>
      </c>
      <c r="V72" s="12">
        <f t="shared" si="27"/>
        <v>350.98811748506978</v>
      </c>
      <c r="W72" s="12">
        <f t="shared" si="27"/>
        <v>350.99287049104186</v>
      </c>
      <c r="X72" s="12">
        <f t="shared" si="27"/>
        <v>350.99572229462512</v>
      </c>
      <c r="Y72" s="12">
        <f t="shared" si="27"/>
        <v>350.99743337677506</v>
      </c>
      <c r="Z72" s="12">
        <f t="shared" si="27"/>
        <v>350.99846002606506</v>
      </c>
      <c r="AA72" s="12">
        <f t="shared" si="27"/>
        <v>350.99907601563905</v>
      </c>
      <c r="AB72" s="40">
        <f t="shared" si="27"/>
        <v>350.99944560938343</v>
      </c>
    </row>
    <row r="73" spans="1:29" x14ac:dyDescent="0.35">
      <c r="A73" s="19" t="s">
        <v>106</v>
      </c>
      <c r="B73" t="s">
        <v>74</v>
      </c>
      <c r="D73" s="12">
        <f>D70-D65</f>
        <v>192.06720000000001</v>
      </c>
      <c r="E73" s="12">
        <f t="shared" ref="E73:AB73" si="28">E70-E65</f>
        <v>51.667199999999994</v>
      </c>
      <c r="F73" s="12">
        <f>F70-F65</f>
        <v>9.5472000000000001</v>
      </c>
      <c r="G73" s="12">
        <f>G70-G65</f>
        <v>-1.6847999999999956</v>
      </c>
      <c r="H73" s="12">
        <f t="shared" si="28"/>
        <v>-8.4240000000000013</v>
      </c>
      <c r="I73" s="12">
        <f t="shared" si="28"/>
        <v>-12.46751999999999</v>
      </c>
      <c r="J73" s="12">
        <f t="shared" si="28"/>
        <v>-14.893632000000004</v>
      </c>
      <c r="K73" s="12">
        <f t="shared" si="28"/>
        <v>-16.349299199999997</v>
      </c>
      <c r="L73" s="12">
        <f t="shared" si="28"/>
        <v>-17.222699519999992</v>
      </c>
      <c r="M73" s="12">
        <f t="shared" si="28"/>
        <v>-17.746739712</v>
      </c>
      <c r="N73" s="12">
        <f t="shared" si="28"/>
        <v>-18.061163827199994</v>
      </c>
      <c r="O73" s="12">
        <f t="shared" si="28"/>
        <v>-18.249818296319997</v>
      </c>
      <c r="P73" s="12">
        <f t="shared" si="28"/>
        <v>-18.363010977791987</v>
      </c>
      <c r="Q73" s="12">
        <f t="shared" si="28"/>
        <v>-18.430926586675195</v>
      </c>
      <c r="R73" s="12">
        <f t="shared" si="28"/>
        <v>-18.471675952005125</v>
      </c>
      <c r="S73" s="12">
        <f t="shared" si="28"/>
        <v>-18.496125571203084</v>
      </c>
      <c r="T73" s="12">
        <f t="shared" si="28"/>
        <v>-18.510795342721849</v>
      </c>
      <c r="U73" s="12">
        <f t="shared" si="28"/>
        <v>-0.82919720563321753</v>
      </c>
      <c r="V73" s="33">
        <f t="shared" si="28"/>
        <v>7.9216766201398066E-3</v>
      </c>
      <c r="W73" s="33">
        <f t="shared" si="28"/>
        <v>4.7530059720884317E-3</v>
      </c>
      <c r="X73" s="33">
        <f t="shared" si="28"/>
        <v>2.8518035832576063E-3</v>
      </c>
      <c r="Y73" s="33">
        <f t="shared" si="28"/>
        <v>1.7110821499500162E-3</v>
      </c>
      <c r="Z73" s="33">
        <f t="shared" si="28"/>
        <v>1.0266492899745573E-3</v>
      </c>
      <c r="AA73" s="33">
        <f t="shared" si="28"/>
        <v>6.1598957397563942E-4</v>
      </c>
      <c r="AB73" s="91">
        <f t="shared" si="28"/>
        <v>3.6959374438083614E-4</v>
      </c>
    </row>
    <row r="74" spans="1:29" x14ac:dyDescent="0.35">
      <c r="A74" s="92" t="s">
        <v>107</v>
      </c>
      <c r="B74" s="8" t="s">
        <v>74</v>
      </c>
      <c r="C74" s="222">
        <f>IF(B59="NO",SUMPRODUCT(D74:AB74,D76:AB76)/SUM(D76:AB76),SUMPRODUCT(D74:AB74,D77:AB77)/SUM(D77:AB77))</f>
        <v>4.5057346571732655</v>
      </c>
      <c r="D74" s="13">
        <f>IF(D2&lt;='Assumption for solar PV Power P'!$F$10,D73*$B$57,0)</f>
        <v>66.474457920000006</v>
      </c>
      <c r="E74" s="13">
        <f>IF(E2&lt;='Assumption for solar PV Power P'!$F$10,E73*$B$57,0)</f>
        <v>17.882017919999999</v>
      </c>
      <c r="F74" s="13">
        <f>IF(F2&lt;='Assumption for solar PV Power P'!$F$10,F73*$B$57,0)</f>
        <v>3.3042859200000003</v>
      </c>
      <c r="G74" s="13">
        <f>IF(G2&lt;='Assumption for solar PV Power P'!$F$10,G73*$B$57,0)</f>
        <v>-0.58310927999999851</v>
      </c>
      <c r="H74" s="13">
        <f>IF(H2&lt;='Assumption for solar PV Power P'!$F$10,H73*$B$57,0)</f>
        <v>-2.9155464000000006</v>
      </c>
      <c r="I74" s="13">
        <f>IF(I2&lt;='Assumption for solar PV Power P'!$F$10,I73*$B$57,0)</f>
        <v>-4.3150086719999967</v>
      </c>
      <c r="J74" s="13">
        <f>IF(J2&lt;='Assumption for solar PV Power P'!$F$10,J73*$B$57,0)</f>
        <v>-5.1546860352000019</v>
      </c>
      <c r="K74" s="13">
        <f>IF(K2&lt;='Assumption for solar PV Power P'!$F$10,K73*$B$57,0)</f>
        <v>-5.6584924531199992</v>
      </c>
      <c r="L74" s="13">
        <f>IF(L2&lt;='Assumption for solar PV Power P'!$F$10,L73*$B$57,0)</f>
        <v>-5.9607763038719979</v>
      </c>
      <c r="M74" s="13">
        <f>IF(M2&lt;='Assumption for solar PV Power P'!$F$10,M73*$B$57,0)</f>
        <v>-6.1421466143232006</v>
      </c>
      <c r="N74" s="13">
        <f>IF(N2&lt;='Assumption for solar PV Power P'!$F$10,N73*$B$57,0)</f>
        <v>-6.2509688005939186</v>
      </c>
      <c r="O74" s="13">
        <f>IF(O2&lt;='Assumption for solar PV Power P'!$F$10,O73*$B$57,0)</f>
        <v>-6.3162621123563518</v>
      </c>
      <c r="P74" s="13">
        <f>IF(P2&lt;='Assumption for solar PV Power P'!$F$10,P73*$B$57,0)</f>
        <v>-6.3554380994138073</v>
      </c>
      <c r="Q74" s="13">
        <f>IF(Q2&lt;='Assumption for solar PV Power P'!$F$10,Q73*$B$57,0)</f>
        <v>-6.3789436916482849</v>
      </c>
      <c r="R74" s="13">
        <f>IF(R2&lt;='Assumption for solar PV Power P'!$F$10,R73*$B$57,0)</f>
        <v>-6.3930470469889737</v>
      </c>
      <c r="S74" s="13">
        <f>IF(S2&lt;='Assumption for solar PV Power P'!$F$10,S73*$B$57,0)</f>
        <v>-6.4015090601933879</v>
      </c>
      <c r="T74" s="13">
        <f>IF(T2&lt;='Assumption for solar PV Power P'!$F$10,T73*$B$57,0)</f>
        <v>-6.4065862681160324</v>
      </c>
      <c r="U74" s="13">
        <f>IF(U2&lt;='Assumption for solar PV Power P'!$F$10,U73*$B$57,0)</f>
        <v>-0.28698515286965659</v>
      </c>
      <c r="V74" s="13">
        <f>IF(V2&lt;='Assumption for solar PV Power P'!$F$10,V73*$B$57,0)</f>
        <v>2.7416922782303871E-3</v>
      </c>
      <c r="W74" s="13">
        <f>IF(W2&lt;='Assumption for solar PV Power P'!$F$10,W73*$B$57,0)</f>
        <v>1.6450153669398063E-3</v>
      </c>
      <c r="X74" s="13">
        <f>IF(X2&lt;='Assumption for solar PV Power P'!$F$10,X73*$B$57,0)</f>
        <v>9.8700922016545754E-4</v>
      </c>
      <c r="Y74" s="13">
        <f>IF(Y2&lt;='Assumption for solar PV Power P'!$F$10,Y73*$B$57,0)</f>
        <v>5.922055320977007E-4</v>
      </c>
      <c r="Z74" s="13">
        <f>IF(Z2&lt;='Assumption for solar PV Power P'!$F$10,Z73*$B$57,0)</f>
        <v>3.5532331926019429E-4</v>
      </c>
      <c r="AA74" s="13">
        <f>IF(AA2&lt;='Assumption for solar PV Power P'!$F$10,AA73*$B$57,0)</f>
        <v>2.131939915529688E-4</v>
      </c>
      <c r="AB74" s="13">
        <f>IF(AB2&lt;='Assumption for solar PV Power P'!$F$10,AB73*$B$57,0)</f>
        <v>1.2791639493020741E-4</v>
      </c>
    </row>
    <row r="75" spans="1:29" x14ac:dyDescent="0.35">
      <c r="A75" s="19" t="s">
        <v>108</v>
      </c>
      <c r="B75" t="s">
        <v>188</v>
      </c>
      <c r="D75" s="12">
        <f>D62</f>
        <v>11.826000000000001</v>
      </c>
      <c r="E75" s="12">
        <f t="shared" ref="E75:AB75" si="29">E62</f>
        <v>11.743218000000002</v>
      </c>
      <c r="F75" s="12">
        <f t="shared" si="29"/>
        <v>11.661015474000003</v>
      </c>
      <c r="G75" s="12">
        <f t="shared" si="29"/>
        <v>11.620201919841001</v>
      </c>
      <c r="H75" s="12">
        <f t="shared" si="29"/>
        <v>11.559267283481613</v>
      </c>
      <c r="I75" s="12">
        <f t="shared" si="29"/>
        <v>11.488555801036993</v>
      </c>
      <c r="J75" s="12">
        <f t="shared" si="29"/>
        <v>11.41323760469961</v>
      </c>
      <c r="K75" s="12">
        <f t="shared" si="29"/>
        <v>11.33589578860165</v>
      </c>
      <c r="L75" s="12">
        <f t="shared" si="29"/>
        <v>11.257819941648906</v>
      </c>
      <c r="M75" s="12">
        <f t="shared" si="29"/>
        <v>11.179652913841096</v>
      </c>
      <c r="N75" s="12">
        <f t="shared" si="29"/>
        <v>11.101714199336076</v>
      </c>
      <c r="O75" s="12">
        <f t="shared" si="29"/>
        <v>11.024161627886656</v>
      </c>
      <c r="P75" s="12">
        <f t="shared" si="29"/>
        <v>10.947072210464416</v>
      </c>
      <c r="Q75" s="12">
        <f t="shared" si="29"/>
        <v>10.870482561977649</v>
      </c>
      <c r="R75" s="12">
        <f t="shared" si="29"/>
        <v>10.794409112537046</v>
      </c>
      <c r="S75" s="12">
        <f t="shared" si="29"/>
        <v>10.718858212995908</v>
      </c>
      <c r="T75" s="12">
        <f t="shared" si="29"/>
        <v>10.643831187628248</v>
      </c>
      <c r="U75" s="12">
        <f t="shared" si="29"/>
        <v>10.569326860376506</v>
      </c>
      <c r="V75" s="12">
        <f t="shared" si="29"/>
        <v>10.495342817884698</v>
      </c>
      <c r="W75" s="12">
        <f t="shared" si="29"/>
        <v>10.421876040924918</v>
      </c>
      <c r="X75" s="12">
        <f t="shared" si="29"/>
        <v>10.348923220021149</v>
      </c>
      <c r="Y75" s="12">
        <f t="shared" si="29"/>
        <v>10.276480913172355</v>
      </c>
      <c r="Z75" s="12">
        <f t="shared" si="29"/>
        <v>10.204545624625826</v>
      </c>
      <c r="AA75" s="12">
        <f t="shared" si="29"/>
        <v>10.133113844176282</v>
      </c>
      <c r="AB75" s="12">
        <f t="shared" si="29"/>
        <v>10.062182066728468</v>
      </c>
    </row>
    <row r="76" spans="1:29" x14ac:dyDescent="0.35">
      <c r="A76" s="19" t="s">
        <v>109</v>
      </c>
      <c r="D76" s="12">
        <f t="shared" ref="D76:AB76" si="30">D20</f>
        <v>1</v>
      </c>
      <c r="E76" s="12">
        <f t="shared" si="30"/>
        <v>0.92455669170834631</v>
      </c>
      <c r="F76" s="12">
        <f t="shared" si="30"/>
        <v>0.8548050761826822</v>
      </c>
      <c r="G76" s="12">
        <f t="shared" si="30"/>
        <v>0.79031575329096171</v>
      </c>
      <c r="H76" s="12">
        <f t="shared" si="30"/>
        <v>0.73069171826768109</v>
      </c>
      <c r="I76" s="12">
        <f t="shared" si="30"/>
        <v>0.6755659177002542</v>
      </c>
      <c r="J76" s="12">
        <f t="shared" si="30"/>
        <v>0.62459898989986007</v>
      </c>
      <c r="K76" s="12">
        <f t="shared" si="30"/>
        <v>0.57747717574618951</v>
      </c>
      <c r="L76" s="12">
        <f t="shared" si="30"/>
        <v>0.53391038714497618</v>
      </c>
      <c r="M76" s="12">
        <f t="shared" si="30"/>
        <v>0.49363042120748163</v>
      </c>
      <c r="N76" s="12">
        <f t="shared" si="30"/>
        <v>0.45638930915818676</v>
      </c>
      <c r="O76" s="12">
        <f t="shared" si="30"/>
        <v>0.42195778980635085</v>
      </c>
      <c r="P76" s="12">
        <f t="shared" si="30"/>
        <v>0.39012389818392551</v>
      </c>
      <c r="Q76" s="12">
        <f t="shared" si="30"/>
        <v>0.36069166066129393</v>
      </c>
      <c r="R76" s="12">
        <f t="shared" si="30"/>
        <v>0.33347988850779542</v>
      </c>
      <c r="S76" s="12">
        <f t="shared" si="30"/>
        <v>0.30832106247003549</v>
      </c>
      <c r="T76" s="12">
        <f t="shared" si="30"/>
        <v>0.28506030150129841</v>
      </c>
      <c r="U76" s="12">
        <f t="shared" si="30"/>
        <v>0.26355440929342416</v>
      </c>
      <c r="V76" s="12">
        <f t="shared" si="30"/>
        <v>0.24367099274147574</v>
      </c>
      <c r="W76" s="12">
        <f t="shared" si="30"/>
        <v>0.22528764691434727</v>
      </c>
      <c r="X76" s="12">
        <f t="shared" si="30"/>
        <v>0.20829120151388694</v>
      </c>
      <c r="Y76" s="12">
        <f t="shared" si="30"/>
        <v>0.19257702418363581</v>
      </c>
      <c r="Z76" s="12">
        <f t="shared" si="30"/>
        <v>0.17804837637826054</v>
      </c>
      <c r="AA76" s="12">
        <f t="shared" si="30"/>
        <v>0.16461581782832704</v>
      </c>
      <c r="AB76" s="40">
        <f t="shared" si="30"/>
        <v>0.15219665593422188</v>
      </c>
    </row>
    <row r="77" spans="1:29" x14ac:dyDescent="0.35">
      <c r="A77" s="19" t="s">
        <v>282</v>
      </c>
      <c r="D77" s="12">
        <f>1</f>
        <v>1</v>
      </c>
      <c r="E77" s="12">
        <f>IF(E2&lt;='Assumption for solar PV Power P'!$F$10,1/(1+$B$49/2)^D97,0)</f>
        <v>0.96079964356639136</v>
      </c>
      <c r="F77" s="12">
        <f>IF(F2&lt;='Assumption for solar PV Power P'!$F$10,1/(1+$B$49/2)^E97,0)</f>
        <v>0.88694869660159448</v>
      </c>
      <c r="G77" s="12">
        <f>IF(G2&lt;='Assumption for solar PV Power P'!$F$10,1/(1+$B$49/2)^F97,0)</f>
        <v>0.8187742321418835</v>
      </c>
      <c r="H77" s="12">
        <f>IF(H2&lt;='Assumption for solar PV Power P'!$F$10,1/(1+$B$49/2)^G97,0)</f>
        <v>0.75583993278098427</v>
      </c>
      <c r="I77" s="12">
        <f>IF(I2&lt;='Assumption for solar PV Power P'!$F$10,1/(1+$B$49/2)^H97,0)</f>
        <v>0.69774301823333962</v>
      </c>
      <c r="J77" s="12">
        <f>IF(J2&lt;='Assumption for solar PV Power P'!$F$10,1/(1+$B$49/2)^I97,0)</f>
        <v>0.64411166753535509</v>
      </c>
      <c r="K77" s="12">
        <f>IF(K2&lt;='Assumption for solar PV Power P'!$F$10,1/(1+$B$49/2)^J97,0)</f>
        <v>0.59460263938668534</v>
      </c>
      <c r="L77" s="12">
        <f>IF(L2&lt;='Assumption for solar PV Power P'!$F$10,1/(1+$B$49/2)^K97,0)</f>
        <v>0.5488990754017139</v>
      </c>
      <c r="M77" s="12">
        <f>IF(M2&lt;='Assumption for solar PV Power P'!$F$10,1/(1+$B$49/2)^L97,0)</f>
        <v>0.50670847221201065</v>
      </c>
      <c r="N77" s="12">
        <f>IF(N2&lt;='Assumption for solar PV Power P'!$F$10,1/(1+$B$49/2)^M97,0)</f>
        <v>0.46776080944119625</v>
      </c>
      <c r="O77" s="12">
        <f>IF(O2&lt;='Assumption for solar PV Power P'!$F$10,1/(1+$B$49/2)^N97,0)</f>
        <v>0.43180682157123179</v>
      </c>
      <c r="P77" s="12">
        <f>IF(P2&lt;='Assumption for solar PV Power P'!$F$10,1/(1+$B$49/2)^O97,0)</f>
        <v>0.39861640264005432</v>
      </c>
      <c r="Q77" s="12">
        <f>IF(Q2&lt;='Assumption for solar PV Power P'!$F$10,1/(1+$B$49/2)^P97,0)</f>
        <v>0.36797713356060591</v>
      </c>
      <c r="R77" s="12">
        <f>IF(R2&lt;='Assumption for solar PV Power P'!$F$10,1/(1+$B$49/2)^Q97,0)</f>
        <v>0.33969292263607886</v>
      </c>
      <c r="S77" s="12">
        <f>IF(S2&lt;='Assumption for solar PV Power P'!$F$10,1/(1+$B$49/2)^R97,0)</f>
        <v>0.3135827505706576</v>
      </c>
      <c r="T77" s="12">
        <f>IF(T2&lt;='Assumption for solar PV Power P'!$F$10,1/(1+$B$49/2)^S97,0)</f>
        <v>0.28947951194381216</v>
      </c>
      <c r="U77" s="12">
        <f>IF(U2&lt;='Assumption for solar PV Power P'!$F$10,1/(1+$B$49/2)^T97,0)</f>
        <v>0.26722894573356309</v>
      </c>
      <c r="V77" s="12">
        <f>IF(V2&lt;='Assumption for solar PV Power P'!$F$10,1/(1+$B$49/2)^U97,0)</f>
        <v>0.24668864804405397</v>
      </c>
      <c r="W77" s="12">
        <f>IF(W2&lt;='Assumption for solar PV Power P'!$F$10,1/(1+$B$49/2)^V97,0)</f>
        <v>0.22772716071887683</v>
      </c>
      <c r="X77" s="12">
        <f>IF(X2&lt;='Assumption for solar PV Power P'!$F$10,1/(1+$B$49/2)^W97,0)</f>
        <v>0.2102231300072632</v>
      </c>
      <c r="Y77" s="12">
        <f>IF(Y2&lt;='Assumption for solar PV Power P'!$F$10,1/(1+$B$49/2)^X97,0)</f>
        <v>0.19406452989859527</v>
      </c>
      <c r="Z77" s="12">
        <f>IF(Z2&lt;='Assumption for solar PV Power P'!$F$10,1/(1+$B$49/2)^Y97,0)</f>
        <v>0.17914794515456789</v>
      </c>
      <c r="AA77" s="12">
        <f>IF(AA2&lt;='Assumption for solar PV Power P'!$F$10,1/(1+$B$49/2)^Z97,0)</f>
        <v>0.16537790945039862</v>
      </c>
      <c r="AB77" s="12">
        <f>IF(AB2&lt;='Assumption for solar PV Power P'!$F$10,1/(1+$B$49/2)^AA97,0)</f>
        <v>0.15266629438918169</v>
      </c>
    </row>
    <row r="78" spans="1:29" x14ac:dyDescent="0.35">
      <c r="A78" s="19"/>
      <c r="D78" s="12"/>
      <c r="E78" s="93"/>
      <c r="AB78" s="17"/>
    </row>
    <row r="79" spans="1:29" x14ac:dyDescent="0.35">
      <c r="A79" s="19"/>
      <c r="D79" s="94"/>
      <c r="E79" s="95"/>
      <c r="F79" s="95"/>
      <c r="G79" s="95"/>
      <c r="H79" s="95"/>
      <c r="I79" s="95"/>
      <c r="J79" s="95"/>
      <c r="K79" s="95"/>
      <c r="L79" s="95"/>
      <c r="M79" s="95"/>
      <c r="N79" s="95"/>
      <c r="O79" s="95"/>
      <c r="P79" s="95"/>
      <c r="Q79" s="95"/>
      <c r="R79" s="95"/>
      <c r="S79" s="95"/>
      <c r="T79" s="95"/>
      <c r="U79" s="95"/>
      <c r="V79" s="95"/>
      <c r="W79" s="95"/>
      <c r="X79" s="95"/>
      <c r="Y79" s="95"/>
      <c r="Z79" s="95"/>
      <c r="AA79" s="95"/>
      <c r="AB79" s="96"/>
      <c r="AC79" s="33"/>
    </row>
    <row r="80" spans="1:29" x14ac:dyDescent="0.35">
      <c r="A80" s="97" t="s">
        <v>110</v>
      </c>
      <c r="B80" s="137">
        <f>C74/(SUM(D75:AB75)/25)</f>
        <v>0.41156202003152492</v>
      </c>
      <c r="C80" s="11" t="s">
        <v>111</v>
      </c>
      <c r="D80" s="12"/>
      <c r="AB80" s="17"/>
    </row>
    <row r="81" spans="1:29" x14ac:dyDescent="0.35">
      <c r="A81" s="19"/>
      <c r="B81" s="12"/>
      <c r="D81" s="98"/>
      <c r="AB81" s="17"/>
    </row>
    <row r="82" spans="1:29" x14ac:dyDescent="0.35">
      <c r="A82" s="99" t="s">
        <v>169</v>
      </c>
      <c r="B82" s="100" t="s">
        <v>71</v>
      </c>
      <c r="C82" s="101"/>
      <c r="D82" s="100">
        <v>1</v>
      </c>
      <c r="E82" s="9">
        <v>2</v>
      </c>
      <c r="F82" s="9">
        <v>3</v>
      </c>
      <c r="G82" s="9">
        <v>4</v>
      </c>
      <c r="H82" s="9">
        <v>5</v>
      </c>
      <c r="I82" s="9">
        <v>6</v>
      </c>
      <c r="J82" s="9">
        <v>7</v>
      </c>
      <c r="K82" s="9">
        <v>8</v>
      </c>
      <c r="L82" s="9">
        <v>9</v>
      </c>
      <c r="M82" s="9">
        <v>10</v>
      </c>
      <c r="N82" s="9">
        <v>11</v>
      </c>
      <c r="O82" s="9">
        <v>12</v>
      </c>
      <c r="P82" s="9">
        <v>13</v>
      </c>
      <c r="Q82" s="9">
        <v>14</v>
      </c>
      <c r="R82" s="9">
        <v>15</v>
      </c>
      <c r="S82" s="9">
        <v>16</v>
      </c>
      <c r="T82" s="9">
        <v>17</v>
      </c>
      <c r="U82" s="9">
        <v>18</v>
      </c>
      <c r="V82" s="9">
        <v>19</v>
      </c>
      <c r="W82" s="9">
        <v>20</v>
      </c>
      <c r="X82" s="9">
        <v>21</v>
      </c>
      <c r="Y82" s="9">
        <v>22</v>
      </c>
      <c r="Z82" s="9">
        <v>23</v>
      </c>
      <c r="AA82" s="9">
        <v>24</v>
      </c>
      <c r="AB82" s="89">
        <v>25</v>
      </c>
    </row>
    <row r="83" spans="1:29" x14ac:dyDescent="0.35">
      <c r="A83" s="19" t="s">
        <v>267</v>
      </c>
      <c r="D83" s="12">
        <f>$B$58*'Assumption for solar PV Power P'!$F$44</f>
        <v>52.65</v>
      </c>
      <c r="E83" s="12">
        <f>($B$58-D84)*'Assumption for solar PV Power P'!$F$44</f>
        <v>44.752500000000005</v>
      </c>
      <c r="F83" s="12">
        <f>($B$58-E84)*'Assumption for solar PV Power P'!$F$44</f>
        <v>38.039625000000001</v>
      </c>
      <c r="G83" s="12">
        <f>($B$58-F84)*'Assumption for solar PV Power P'!$F$44</f>
        <v>32.333681249999998</v>
      </c>
      <c r="H83" s="12">
        <f>($B$58-G84)*'Assumption for solar PV Power P'!$F$44</f>
        <v>27.483629062499997</v>
      </c>
      <c r="I83" s="12">
        <f>($B$58-H84)*'Assumption for solar PV Power P'!$F$44</f>
        <v>23.361084703124998</v>
      </c>
      <c r="J83" s="12">
        <f>($B$58-I84)*'Assumption for solar PV Power P'!$F$44</f>
        <v>19.856921997656247</v>
      </c>
      <c r="K83" s="12">
        <f>($B$58-J84)*'Assumption for solar PV Power P'!$F$44</f>
        <v>16.878383698007809</v>
      </c>
      <c r="L83" s="12">
        <f>($B$58-K84)*'Assumption for solar PV Power P'!$F$44</f>
        <v>14.346626143306638</v>
      </c>
      <c r="M83" s="12">
        <f>($B$58-L84)*'Assumption for solar PV Power P'!$F$44</f>
        <v>12.194632221810641</v>
      </c>
      <c r="N83" s="12">
        <f>($B$58-M84)*'Assumption for solar PV Power P'!$F$44</f>
        <v>10.365437388539045</v>
      </c>
      <c r="O83" s="12">
        <f>($B$58-N84)*'Assumption for solar PV Power P'!$F$44</f>
        <v>8.8106217802581899</v>
      </c>
      <c r="P83" s="12">
        <f>($B$58-O84)*'Assumption for solar PV Power P'!$F$44</f>
        <v>7.4890285132194601</v>
      </c>
      <c r="Q83" s="12">
        <f>($B$58-P84)*'Assumption for solar PV Power P'!$F$44</f>
        <v>6.3656742362365408</v>
      </c>
      <c r="R83" s="12">
        <f>($B$58-Q84)*'Assumption for solar PV Power P'!$F$44</f>
        <v>5.4108231008010588</v>
      </c>
      <c r="S83" s="12">
        <f>($B$58-R84)*'Assumption for solar PV Power P'!$F$44</f>
        <v>4.5991996356809013</v>
      </c>
      <c r="T83" s="12">
        <f>($B$58-S84)*'Assumption for solar PV Power P'!$F$44</f>
        <v>3.909319690328763</v>
      </c>
      <c r="U83" s="12">
        <f>($B$58-T84)*'Assumption for solar PV Power P'!$F$44</f>
        <v>3.3229217367794517</v>
      </c>
      <c r="V83" s="12">
        <f>($B$58-U84)*'Assumption for solar PV Power P'!$F$44</f>
        <v>2.8244834762625346</v>
      </c>
      <c r="W83" s="12">
        <f>($B$58-V84)*'Assumption for solar PV Power P'!$F$44</f>
        <v>2.4008109548231573</v>
      </c>
      <c r="X83" s="12">
        <f>($B$58-W84)*'Assumption for solar PV Power P'!$F$44</f>
        <v>2.0406893115996838</v>
      </c>
      <c r="Y83" s="12">
        <f>($B$58-X84)*'Assumption for solar PV Power P'!$F$44</f>
        <v>1.7345859148597298</v>
      </c>
      <c r="Z83" s="12">
        <f>($B$58-Y84)*'Assumption for solar PV Power P'!$F$44</f>
        <v>1.4743980276307695</v>
      </c>
      <c r="AA83" s="12">
        <f>($B$58-Z84)*'Assumption for solar PV Power P'!$F$44</f>
        <v>1.2532383234861584</v>
      </c>
      <c r="AB83" s="40">
        <f>($B$58-AA84)*'Assumption for solar PV Power P'!$F$44</f>
        <v>1.0652525749632389</v>
      </c>
    </row>
    <row r="84" spans="1:29" x14ac:dyDescent="0.35">
      <c r="A84" s="19" t="s">
        <v>168</v>
      </c>
      <c r="D84" s="12">
        <f>D83</f>
        <v>52.65</v>
      </c>
      <c r="E84" s="12">
        <f>D84+E83</f>
        <v>97.402500000000003</v>
      </c>
      <c r="F84" s="12">
        <f t="shared" ref="F84:AB84" si="31">E84+F83</f>
        <v>135.442125</v>
      </c>
      <c r="G84" s="12">
        <f>F84+G83</f>
        <v>167.77580625000002</v>
      </c>
      <c r="H84" s="12">
        <f t="shared" si="31"/>
        <v>195.25943531250002</v>
      </c>
      <c r="I84" s="12">
        <f t="shared" si="31"/>
        <v>218.620520015625</v>
      </c>
      <c r="J84" s="12">
        <f t="shared" si="31"/>
        <v>238.47744201328126</v>
      </c>
      <c r="K84" s="12">
        <f t="shared" si="31"/>
        <v>255.35582571128907</v>
      </c>
      <c r="L84" s="12">
        <f t="shared" si="31"/>
        <v>269.70245185459572</v>
      </c>
      <c r="M84" s="12">
        <f t="shared" si="31"/>
        <v>281.89708407640637</v>
      </c>
      <c r="N84" s="12">
        <f t="shared" si="31"/>
        <v>292.26252146494539</v>
      </c>
      <c r="O84" s="12">
        <f t="shared" si="31"/>
        <v>301.0731432452036</v>
      </c>
      <c r="P84" s="12">
        <f t="shared" si="31"/>
        <v>308.56217175842306</v>
      </c>
      <c r="Q84" s="12">
        <f t="shared" si="31"/>
        <v>314.92784599465961</v>
      </c>
      <c r="R84" s="12">
        <f t="shared" si="31"/>
        <v>320.33866909546066</v>
      </c>
      <c r="S84" s="12">
        <f t="shared" si="31"/>
        <v>324.93786873114158</v>
      </c>
      <c r="T84" s="12">
        <f t="shared" si="31"/>
        <v>328.84718842147032</v>
      </c>
      <c r="U84" s="12">
        <f t="shared" si="31"/>
        <v>332.17011015824977</v>
      </c>
      <c r="V84" s="12">
        <f t="shared" si="31"/>
        <v>334.99459363451228</v>
      </c>
      <c r="W84" s="12">
        <f t="shared" si="31"/>
        <v>337.39540458933544</v>
      </c>
      <c r="X84" s="12">
        <f t="shared" si="31"/>
        <v>339.43609390093513</v>
      </c>
      <c r="Y84" s="12">
        <f t="shared" si="31"/>
        <v>341.17067981579487</v>
      </c>
      <c r="Z84" s="12">
        <f t="shared" si="31"/>
        <v>342.64507784342561</v>
      </c>
      <c r="AA84" s="12">
        <f t="shared" si="31"/>
        <v>343.89831616691174</v>
      </c>
      <c r="AB84" s="40">
        <f t="shared" si="31"/>
        <v>344.96356874187495</v>
      </c>
    </row>
    <row r="85" spans="1:29" ht="15" thickBot="1" x14ac:dyDescent="0.4">
      <c r="A85" s="30"/>
      <c r="B85" s="32"/>
      <c r="C85" s="32"/>
      <c r="D85" s="32"/>
      <c r="E85" s="32"/>
      <c r="F85" s="32"/>
      <c r="G85" s="32"/>
      <c r="H85" s="32"/>
      <c r="I85" s="32"/>
      <c r="J85" s="32"/>
      <c r="K85" s="32"/>
      <c r="L85" s="32"/>
      <c r="M85" s="32"/>
      <c r="N85" s="32"/>
      <c r="O85" s="32"/>
      <c r="P85" s="32"/>
      <c r="Q85" s="32"/>
      <c r="R85" s="32"/>
      <c r="S85" s="32"/>
      <c r="T85" s="32"/>
      <c r="U85" s="32"/>
      <c r="V85" s="32"/>
      <c r="W85" s="32"/>
      <c r="X85" s="32"/>
      <c r="Y85" s="32"/>
      <c r="Z85" s="32"/>
      <c r="AA85" s="32"/>
      <c r="AB85" s="2"/>
    </row>
    <row r="86" spans="1:29" x14ac:dyDescent="0.35">
      <c r="AC86" s="12"/>
    </row>
    <row r="87" spans="1:29" ht="29" x14ac:dyDescent="0.35">
      <c r="A87" s="122" t="s">
        <v>199</v>
      </c>
      <c r="B87" s="122"/>
      <c r="C87" s="122"/>
    </row>
    <row r="88" spans="1:29" x14ac:dyDescent="0.35">
      <c r="A88" t="s">
        <v>200</v>
      </c>
      <c r="D88" s="12">
        <f>D70-D83</f>
        <v>157.95000000000002</v>
      </c>
      <c r="E88" s="12">
        <f>E70-E83</f>
        <v>25.447499999999984</v>
      </c>
      <c r="F88" s="12">
        <f t="shared" ref="E88:AB88" si="32">F70-F83</f>
        <v>-9.9596250000000026</v>
      </c>
      <c r="G88" s="12">
        <f t="shared" si="32"/>
        <v>-15.485681249999995</v>
      </c>
      <c r="H88" s="12">
        <f t="shared" si="32"/>
        <v>-17.374829062499998</v>
      </c>
      <c r="I88" s="12">
        <f t="shared" si="32"/>
        <v>-17.29580470312499</v>
      </c>
      <c r="J88" s="12">
        <f t="shared" si="32"/>
        <v>-16.217753997656253</v>
      </c>
      <c r="K88" s="12">
        <f t="shared" si="32"/>
        <v>-14.694882898007808</v>
      </c>
      <c r="L88" s="12">
        <f t="shared" si="32"/>
        <v>-13.036525663306632</v>
      </c>
      <c r="M88" s="12">
        <f t="shared" si="32"/>
        <v>-11.408571933810643</v>
      </c>
      <c r="N88" s="12">
        <f t="shared" si="32"/>
        <v>-9.8938012157390407</v>
      </c>
      <c r="O88" s="12">
        <f t="shared" si="32"/>
        <v>-8.5276400765781872</v>
      </c>
      <c r="P88" s="12">
        <f t="shared" si="32"/>
        <v>-7.3192394910114498</v>
      </c>
      <c r="Q88" s="12">
        <f t="shared" si="32"/>
        <v>-6.2638008229117395</v>
      </c>
      <c r="R88" s="12">
        <f t="shared" si="32"/>
        <v>-5.3496990528061872</v>
      </c>
      <c r="S88" s="12">
        <f t="shared" si="32"/>
        <v>-4.5625252068839872</v>
      </c>
      <c r="T88" s="12">
        <f t="shared" si="32"/>
        <v>-3.8873150330506148</v>
      </c>
      <c r="U88" s="12">
        <f t="shared" si="32"/>
        <v>-3.3097189424125673</v>
      </c>
      <c r="V88" s="12">
        <f t="shared" si="32"/>
        <v>-2.8165617996423946</v>
      </c>
      <c r="W88" s="12">
        <f t="shared" si="32"/>
        <v>-2.3960579488510687</v>
      </c>
      <c r="X88" s="12">
        <f t="shared" si="32"/>
        <v>-2.0378375080164264</v>
      </c>
      <c r="Y88" s="12">
        <f t="shared" si="32"/>
        <v>-1.7328748327097798</v>
      </c>
      <c r="Z88" s="12">
        <f t="shared" si="32"/>
        <v>-1.4733713783407949</v>
      </c>
      <c r="AA88" s="12">
        <f t="shared" si="32"/>
        <v>-1.2526223339121827</v>
      </c>
      <c r="AB88" s="12">
        <f t="shared" si="32"/>
        <v>-1.064882981218858</v>
      </c>
    </row>
    <row r="89" spans="1:29" x14ac:dyDescent="0.35">
      <c r="A89" t="s">
        <v>201</v>
      </c>
      <c r="D89" s="82">
        <f>D88*'Assumption for solar PV Power P'!$F$37</f>
        <v>54.666495000000012</v>
      </c>
      <c r="E89" s="82">
        <f>E88*'Assumption for solar PV Power P'!$F$37</f>
        <v>8.8073797499999955</v>
      </c>
      <c r="F89" s="82">
        <f>F88*'Assumption for solar PV Power P'!$F$37</f>
        <v>-3.4470262125000013</v>
      </c>
      <c r="G89" s="82">
        <f>G88*'Assumption for solar PV Power P'!$F$37</f>
        <v>-5.3595942806249983</v>
      </c>
      <c r="H89" s="82">
        <f>H88*'Assumption for solar PV Power P'!$F$37</f>
        <v>-6.0134283385312495</v>
      </c>
      <c r="I89" s="82">
        <f>I88*'Assumption for solar PV Power P'!$F$37</f>
        <v>-5.9860780077515594</v>
      </c>
      <c r="J89" s="82">
        <f>J88*'Assumption for solar PV Power P'!$F$37</f>
        <v>-5.6129646585888295</v>
      </c>
      <c r="K89" s="82">
        <f>K88*'Assumption for solar PV Power P'!$F$37</f>
        <v>-5.0858989710005025</v>
      </c>
      <c r="L89" s="82">
        <f>L88*'Assumption for solar PV Power P'!$F$37</f>
        <v>-4.5119415320704253</v>
      </c>
      <c r="M89" s="82">
        <f>M88*'Assumption for solar PV Power P'!$F$37</f>
        <v>-3.9485067462918639</v>
      </c>
      <c r="N89" s="82">
        <f>N88*'Assumption for solar PV Power P'!$F$37</f>
        <v>-3.424244600767282</v>
      </c>
      <c r="O89" s="82">
        <f>O88*'Assumption for solar PV Power P'!$F$37</f>
        <v>-2.9514162305037108</v>
      </c>
      <c r="P89" s="82">
        <f>P88*'Assumption for solar PV Power P'!$F$37</f>
        <v>-2.5331887878390629</v>
      </c>
      <c r="Q89" s="82">
        <f>Q88*'Assumption for solar PV Power P'!$F$37</f>
        <v>-2.167901464809753</v>
      </c>
      <c r="R89" s="82">
        <f>R88*'Assumption for solar PV Power P'!$F$37</f>
        <v>-1.8515308421762215</v>
      </c>
      <c r="S89" s="82">
        <f>S88*'Assumption for solar PV Power P'!$F$37</f>
        <v>-1.5790899741025481</v>
      </c>
      <c r="T89" s="82">
        <f>T88*'Assumption for solar PV Power P'!$F$37</f>
        <v>-1.3453997329388179</v>
      </c>
      <c r="U89" s="82">
        <f>U88*'Assumption for solar PV Power P'!$F$37</f>
        <v>-1.1454937259689897</v>
      </c>
      <c r="V89" s="82">
        <f>V88*'Assumption for solar PV Power P'!$F$37</f>
        <v>-0.9748120388562328</v>
      </c>
      <c r="W89" s="82">
        <f>W88*'Assumption for solar PV Power P'!$F$37</f>
        <v>-0.82927565609735487</v>
      </c>
      <c r="X89" s="82">
        <f>X88*'Assumption for solar PV Power P'!$F$37</f>
        <v>-0.70529556152448525</v>
      </c>
      <c r="Y89" s="82">
        <f>Y88*'Assumption for solar PV Power P'!$F$37</f>
        <v>-0.5997479796008548</v>
      </c>
      <c r="Z89" s="82">
        <f>Z88*'Assumption for solar PV Power P'!$F$37</f>
        <v>-0.50993383404374915</v>
      </c>
      <c r="AA89" s="82">
        <f>AA88*'Assumption for solar PV Power P'!$F$37</f>
        <v>-0.43353258976700643</v>
      </c>
      <c r="AB89" s="82">
        <f>AB88*'Assumption for solar PV Power P'!$F$37</f>
        <v>-0.36855599979984677</v>
      </c>
    </row>
    <row r="90" spans="1:29" x14ac:dyDescent="0.35">
      <c r="A90" t="s">
        <v>202</v>
      </c>
      <c r="D90" s="82">
        <f>D89/D62</f>
        <v>4.6225684931506859</v>
      </c>
      <c r="E90" s="82">
        <f>E89/E62</f>
        <v>0.74999712600072599</v>
      </c>
      <c r="F90" s="82">
        <f t="shared" ref="F90:AB90" si="33">F89/F62</f>
        <v>-0.29560257596653289</v>
      </c>
      <c r="G90" s="82">
        <f t="shared" si="33"/>
        <v>-0.46123073571326834</v>
      </c>
      <c r="H90" s="82">
        <f t="shared" si="33"/>
        <v>-0.52022573672334227</v>
      </c>
      <c r="I90" s="82">
        <f t="shared" si="33"/>
        <v>-0.52104704119653034</v>
      </c>
      <c r="J90" s="82">
        <f t="shared" si="33"/>
        <v>-0.49179425269106714</v>
      </c>
      <c r="K90" s="82">
        <f t="shared" si="33"/>
        <v>-0.44865435126127584</v>
      </c>
      <c r="L90" s="82">
        <f t="shared" si="33"/>
        <v>-0.40078288296104797</v>
      </c>
      <c r="M90" s="82">
        <f t="shared" si="33"/>
        <v>-0.3531868812674292</v>
      </c>
      <c r="N90" s="82">
        <f t="shared" si="33"/>
        <v>-0.3084428710092415</v>
      </c>
      <c r="O90" s="82">
        <f t="shared" si="33"/>
        <v>-0.26772251080189402</v>
      </c>
      <c r="P90" s="82">
        <f t="shared" si="33"/>
        <v>-0.23140331397627598</v>
      </c>
      <c r="Q90" s="82">
        <f t="shared" si="33"/>
        <v>-0.19943010371890521</v>
      </c>
      <c r="R90" s="82">
        <f t="shared" si="33"/>
        <v>-0.17152683605680477</v>
      </c>
      <c r="S90" s="82">
        <f t="shared" si="33"/>
        <v>-0.14731886015508683</v>
      </c>
      <c r="T90" s="82">
        <f t="shared" si="33"/>
        <v>-0.12640182930584526</v>
      </c>
      <c r="U90" s="82">
        <f t="shared" si="33"/>
        <v>-0.10837906151463124</v>
      </c>
      <c r="V90" s="82">
        <f t="shared" si="33"/>
        <v>-9.2880438092512257E-2</v>
      </c>
      <c r="W90" s="82">
        <f t="shared" si="33"/>
        <v>-7.9570669699095611E-2</v>
      </c>
      <c r="X90" s="82">
        <f t="shared" si="33"/>
        <v>-6.815158896531498E-2</v>
      </c>
      <c r="Y90" s="82">
        <f t="shared" si="33"/>
        <v>-5.8361221576551568E-2</v>
      </c>
      <c r="Z90" s="82">
        <f t="shared" si="33"/>
        <v>-4.9971243483214578E-2</v>
      </c>
      <c r="AA90" s="82">
        <f t="shared" si="33"/>
        <v>-4.2783748059454292E-2</v>
      </c>
      <c r="AB90" s="82">
        <f t="shared" si="33"/>
        <v>-3.6627840497789353E-2</v>
      </c>
    </row>
    <row r="91" spans="1:29" x14ac:dyDescent="0.35">
      <c r="A91" s="123" t="s">
        <v>203</v>
      </c>
      <c r="B91" s="139">
        <f>SUMPRODUCT(D90:AB90,D76:AB76)/SUM(D76:AB76)</f>
        <v>0.20556926030500536</v>
      </c>
      <c r="C91" s="123" t="s">
        <v>76</v>
      </c>
    </row>
    <row r="92" spans="1:29" x14ac:dyDescent="0.35">
      <c r="B92" s="326"/>
      <c r="C92" s="1"/>
    </row>
    <row r="97" spans="1:28" x14ac:dyDescent="0.35">
      <c r="A97" s="9" t="s">
        <v>283</v>
      </c>
      <c r="B97" s="9"/>
      <c r="C97" s="9"/>
      <c r="D97" s="9">
        <v>1</v>
      </c>
      <c r="E97" s="9">
        <v>3</v>
      </c>
      <c r="F97" s="9">
        <v>5</v>
      </c>
      <c r="G97" s="9">
        <v>7</v>
      </c>
      <c r="H97" s="9">
        <v>9</v>
      </c>
      <c r="I97" s="9">
        <v>11</v>
      </c>
      <c r="J97" s="9">
        <v>13</v>
      </c>
      <c r="K97" s="9">
        <v>15</v>
      </c>
      <c r="L97" s="9">
        <v>17</v>
      </c>
      <c r="M97" s="9">
        <v>19</v>
      </c>
      <c r="N97" s="9">
        <v>21</v>
      </c>
      <c r="O97" s="9">
        <v>23</v>
      </c>
      <c r="P97" s="9">
        <v>25</v>
      </c>
      <c r="Q97" s="9">
        <v>27</v>
      </c>
      <c r="R97" s="9">
        <v>29</v>
      </c>
      <c r="S97" s="9">
        <v>31</v>
      </c>
      <c r="T97" s="9">
        <v>33</v>
      </c>
      <c r="U97" s="9">
        <v>35</v>
      </c>
      <c r="V97" s="9">
        <v>37</v>
      </c>
      <c r="W97" s="9">
        <v>39</v>
      </c>
      <c r="X97" s="9">
        <v>41</v>
      </c>
      <c r="Y97" s="9">
        <v>43</v>
      </c>
      <c r="Z97" s="9">
        <v>45</v>
      </c>
      <c r="AA97" s="9">
        <v>47</v>
      </c>
      <c r="AB97" s="9">
        <v>49</v>
      </c>
    </row>
    <row r="101" spans="1:28" x14ac:dyDescent="0.35">
      <c r="E101" s="12"/>
      <c r="F101" s="12"/>
      <c r="G101" s="12"/>
      <c r="H101" s="12"/>
      <c r="I101" s="12"/>
      <c r="J101" s="12"/>
      <c r="K101" s="12"/>
      <c r="L101" s="12"/>
      <c r="M101" s="12"/>
      <c r="N101" s="12"/>
      <c r="O101" s="12"/>
      <c r="P101" s="12"/>
      <c r="Q101" s="12"/>
      <c r="R101" s="12"/>
      <c r="S101" s="12"/>
      <c r="T101" s="12"/>
      <c r="U101" s="12"/>
      <c r="V101" s="12"/>
      <c r="W101" s="12"/>
      <c r="X101" s="12"/>
      <c r="Y101" s="12"/>
      <c r="Z101" s="12"/>
      <c r="AA101" s="12"/>
      <c r="AB101" s="12"/>
    </row>
    <row r="102" spans="1:28" x14ac:dyDescent="0.35">
      <c r="D102" s="12"/>
      <c r="E102" s="12"/>
      <c r="F102" s="12"/>
      <c r="G102" s="12"/>
      <c r="H102" s="12"/>
      <c r="I102" s="12"/>
      <c r="J102" s="12"/>
      <c r="K102" s="12"/>
      <c r="L102" s="12"/>
      <c r="M102" s="12"/>
      <c r="N102" s="12"/>
      <c r="O102" s="12"/>
      <c r="P102" s="12"/>
      <c r="Q102" s="12"/>
      <c r="R102" s="12"/>
      <c r="S102" s="12"/>
      <c r="T102" s="12"/>
      <c r="U102" s="12"/>
      <c r="V102" s="12"/>
      <c r="W102" s="12"/>
      <c r="X102" s="12"/>
      <c r="Y102" s="12"/>
      <c r="Z102" s="12"/>
      <c r="AA102" s="12"/>
      <c r="AB102" s="12"/>
    </row>
    <row r="103" spans="1:28" x14ac:dyDescent="0.35">
      <c r="D103" s="12"/>
      <c r="E103" s="12"/>
      <c r="F103" s="12"/>
      <c r="G103" s="12"/>
      <c r="H103" s="12"/>
      <c r="I103" s="12"/>
      <c r="J103" s="12"/>
    </row>
    <row r="104" spans="1:28" x14ac:dyDescent="0.35">
      <c r="D104" s="1"/>
    </row>
  </sheetData>
  <mergeCells count="2">
    <mergeCell ref="M55:R58"/>
    <mergeCell ref="X55:AA58"/>
  </mergeCells>
  <hyperlinks>
    <hyperlink ref="M54" r:id="rId1" xr:uid="{92A87883-2B71-47F8-BD81-67DEF6065B39}"/>
    <hyperlink ref="X54" r:id="rId2" xr:uid="{F104C5BE-E421-43D1-BCDC-4F96DB65C4B8}"/>
  </hyperlinks>
  <pageMargins left="0.7" right="0.7" top="0.75" bottom="0.75" header="0.3" footer="0.3"/>
  <pageSetup paperSize="9" orientation="portrait"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C6CDE9-D2D8-4835-AA9B-E218F42DE5AB}">
  <sheetPr>
    <tabColor theme="9"/>
  </sheetPr>
  <dimension ref="A3:Z36"/>
  <sheetViews>
    <sheetView topLeftCell="A25" zoomScale="103" workbookViewId="0">
      <selection activeCell="D17" sqref="D17"/>
    </sheetView>
  </sheetViews>
  <sheetFormatPr defaultRowHeight="14.5" x14ac:dyDescent="0.35"/>
  <cols>
    <col min="1" max="1" width="15.453125" bestFit="1" customWidth="1"/>
    <col min="2" max="2" width="13.26953125" bestFit="1" customWidth="1"/>
    <col min="3" max="3" width="10.26953125" bestFit="1" customWidth="1"/>
    <col min="4" max="4" width="17.453125" bestFit="1" customWidth="1"/>
    <col min="5" max="5" width="12.453125" bestFit="1" customWidth="1"/>
    <col min="6" max="6" width="8.36328125" bestFit="1" customWidth="1"/>
    <col min="7" max="7" width="22" bestFit="1" customWidth="1"/>
    <col min="8" max="8" width="7.81640625" bestFit="1" customWidth="1"/>
    <col min="9" max="9" width="7.36328125" bestFit="1" customWidth="1"/>
    <col min="10" max="13" width="9.36328125" bestFit="1" customWidth="1"/>
    <col min="14" max="14" width="8.81640625" bestFit="1" customWidth="1"/>
    <col min="15" max="15" width="9" bestFit="1" customWidth="1"/>
    <col min="16" max="22" width="10" bestFit="1" customWidth="1"/>
    <col min="23" max="26" width="11" bestFit="1" customWidth="1"/>
  </cols>
  <sheetData>
    <row r="3" spans="1:26" x14ac:dyDescent="0.35">
      <c r="A3" s="28" t="s">
        <v>71</v>
      </c>
      <c r="B3" s="28">
        <v>1</v>
      </c>
      <c r="C3" s="28">
        <v>2</v>
      </c>
      <c r="D3" s="28">
        <v>3</v>
      </c>
      <c r="E3" s="28">
        <v>4</v>
      </c>
      <c r="F3" s="28">
        <v>5</v>
      </c>
      <c r="G3" s="28">
        <v>6</v>
      </c>
      <c r="H3" s="28">
        <v>7</v>
      </c>
      <c r="I3" s="28">
        <v>8</v>
      </c>
      <c r="J3" s="28">
        <v>9</v>
      </c>
      <c r="K3" s="28">
        <v>10</v>
      </c>
      <c r="L3" s="28">
        <v>11</v>
      </c>
      <c r="M3" s="28">
        <v>12</v>
      </c>
      <c r="N3" s="28">
        <v>13</v>
      </c>
      <c r="O3" s="28">
        <v>14</v>
      </c>
      <c r="P3" s="28">
        <v>15</v>
      </c>
      <c r="Q3" s="28">
        <v>16</v>
      </c>
      <c r="R3" s="28">
        <v>17</v>
      </c>
      <c r="S3" s="28">
        <v>18</v>
      </c>
      <c r="T3" s="28">
        <v>19</v>
      </c>
      <c r="U3" s="28">
        <v>20</v>
      </c>
      <c r="V3" s="28">
        <v>21</v>
      </c>
      <c r="W3" s="28">
        <v>22</v>
      </c>
      <c r="X3" s="28">
        <v>23</v>
      </c>
      <c r="Y3" s="28">
        <v>24</v>
      </c>
      <c r="Z3" s="28">
        <v>25</v>
      </c>
    </row>
    <row r="4" spans="1:26" x14ac:dyDescent="0.35">
      <c r="A4" s="28" t="s">
        <v>209</v>
      </c>
      <c r="B4" s="12">
        <f>E12</f>
        <v>25.65</v>
      </c>
      <c r="C4" s="12">
        <f>E13</f>
        <v>23.597999999999999</v>
      </c>
      <c r="D4" s="12">
        <f>E14</f>
        <v>21.546000000000003</v>
      </c>
      <c r="E4" s="12">
        <f>E15</f>
        <v>19.494</v>
      </c>
      <c r="F4" s="12">
        <f>E16</f>
        <v>17.442000000000004</v>
      </c>
      <c r="G4" s="12">
        <f>E17</f>
        <v>15.39</v>
      </c>
      <c r="H4" s="12">
        <f>E18</f>
        <v>13.338000000000003</v>
      </c>
      <c r="I4" s="12">
        <f>E19</f>
        <v>11.286000000000003</v>
      </c>
      <c r="J4" s="12">
        <f>E20</f>
        <v>9.2340000000000035</v>
      </c>
      <c r="K4" s="12">
        <f>E21</f>
        <v>7.1820000000000039</v>
      </c>
      <c r="L4" s="12">
        <f>E22</f>
        <v>5.1300000000000043</v>
      </c>
      <c r="M4" s="12">
        <f>E23</f>
        <v>3.0780000000000034</v>
      </c>
      <c r="N4" s="12">
        <f>E24</f>
        <v>1.0260000000000034</v>
      </c>
      <c r="O4" s="12">
        <f>E25</f>
        <v>-1.0259999999999967</v>
      </c>
      <c r="P4" s="12">
        <f>E26</f>
        <v>-3.0779999999999967</v>
      </c>
      <c r="Q4" s="12">
        <f>E27</f>
        <v>-5.1299999999999972</v>
      </c>
      <c r="R4" s="12">
        <f>E28</f>
        <v>-7.1819999999999968</v>
      </c>
      <c r="S4" s="12">
        <f>E29</f>
        <v>-9.2339999999999982</v>
      </c>
      <c r="T4" s="12">
        <f>E30</f>
        <v>-11.285999999999998</v>
      </c>
      <c r="U4" s="12">
        <f>E31</f>
        <v>-13.337999999999997</v>
      </c>
      <c r="V4" s="12">
        <f>E32</f>
        <v>-15.389999999999995</v>
      </c>
      <c r="W4" s="12">
        <f>E33</f>
        <v>-17.441999999999997</v>
      </c>
      <c r="X4" s="12">
        <f>E34</f>
        <v>-19.493999999999993</v>
      </c>
      <c r="Y4" s="12">
        <f>E35</f>
        <v>-21.545999999999996</v>
      </c>
      <c r="Z4" s="12">
        <f>E36</f>
        <v>-23.597999999999992</v>
      </c>
    </row>
    <row r="7" spans="1:26" ht="15" thickBot="1" x14ac:dyDescent="0.4"/>
    <row r="8" spans="1:26" x14ac:dyDescent="0.35">
      <c r="B8" s="18" t="s">
        <v>33</v>
      </c>
      <c r="C8" s="7">
        <f>'Assumption for solar PV Power P'!$F$21</f>
        <v>280.8</v>
      </c>
      <c r="D8" s="7" t="s">
        <v>81</v>
      </c>
      <c r="E8" s="16"/>
    </row>
    <row r="9" spans="1:26" x14ac:dyDescent="0.35">
      <c r="B9" s="19" t="s">
        <v>82</v>
      </c>
      <c r="C9">
        <f>'Assumption for solar PV Power P'!$F$23</f>
        <v>13</v>
      </c>
      <c r="D9" t="s">
        <v>26</v>
      </c>
      <c r="E9" s="17"/>
    </row>
    <row r="10" spans="1:26" ht="15" thickBot="1" x14ac:dyDescent="0.4">
      <c r="B10" s="19">
        <f>'Assumption for solar PV Power P'!$F$24/100</f>
        <v>9.5000000000000001E-2</v>
      </c>
      <c r="C10" s="20"/>
      <c r="E10" s="17"/>
      <c r="H10" t="s">
        <v>277</v>
      </c>
    </row>
    <row r="11" spans="1:26" ht="15" thickBot="1" x14ac:dyDescent="0.4">
      <c r="B11" s="5" t="s">
        <v>79</v>
      </c>
      <c r="C11" s="5" t="s">
        <v>78</v>
      </c>
      <c r="D11" s="5" t="s">
        <v>80</v>
      </c>
      <c r="E11" s="15" t="s">
        <v>77</v>
      </c>
      <c r="H11" s="98">
        <f>-PMT(B10/12,C9*12,C8,0,0)</f>
        <v>3.1409507149933096</v>
      </c>
      <c r="I11" t="s">
        <v>281</v>
      </c>
    </row>
    <row r="12" spans="1:26" x14ac:dyDescent="0.35">
      <c r="A12">
        <v>1</v>
      </c>
      <c r="B12" s="142">
        <f>'Assumption for solar PV Power P'!$F$21</f>
        <v>280.8</v>
      </c>
      <c r="C12" s="82">
        <f>$B$12/$C$9</f>
        <v>21.6</v>
      </c>
      <c r="D12" s="82">
        <f>B12-C12</f>
        <v>259.2</v>
      </c>
      <c r="E12" s="142">
        <f t="shared" ref="E12:E36" si="0">$B$10*(B12+D12)/2</f>
        <v>25.65</v>
      </c>
      <c r="H12" s="98"/>
    </row>
    <row r="13" spans="1:26" x14ac:dyDescent="0.35">
      <c r="A13">
        <v>2</v>
      </c>
      <c r="B13" s="143">
        <f>B12-C12</f>
        <v>259.2</v>
      </c>
      <c r="C13" s="82">
        <f t="shared" ref="C13:C36" si="1">$B$12/$C$9</f>
        <v>21.6</v>
      </c>
      <c r="D13" s="82">
        <f>B13-C13</f>
        <v>237.6</v>
      </c>
      <c r="E13" s="143">
        <f t="shared" si="0"/>
        <v>23.597999999999999</v>
      </c>
      <c r="H13" s="98"/>
    </row>
    <row r="14" spans="1:26" x14ac:dyDescent="0.35">
      <c r="A14">
        <v>3</v>
      </c>
      <c r="B14" s="143">
        <f t="shared" ref="B14:B36" si="2">B13-C13</f>
        <v>237.6</v>
      </c>
      <c r="C14" s="82">
        <f>$B$12/$C$9</f>
        <v>21.6</v>
      </c>
      <c r="D14" s="82">
        <f t="shared" ref="D14:D24" si="3">B14-C14</f>
        <v>216</v>
      </c>
      <c r="E14" s="143">
        <f t="shared" si="0"/>
        <v>21.546000000000003</v>
      </c>
      <c r="G14" t="s">
        <v>278</v>
      </c>
      <c r="H14" s="98">
        <f>B12+SUM($E$12:INDEX(E12:E36,C9))</f>
        <v>454.19400000000007</v>
      </c>
      <c r="I14" t="s">
        <v>281</v>
      </c>
      <c r="J14" s="82"/>
    </row>
    <row r="15" spans="1:26" x14ac:dyDescent="0.35">
      <c r="A15">
        <v>4</v>
      </c>
      <c r="B15" s="143">
        <f t="shared" si="2"/>
        <v>216</v>
      </c>
      <c r="C15" s="82">
        <f>$B$12/$C$9</f>
        <v>21.6</v>
      </c>
      <c r="D15" s="82">
        <f t="shared" si="3"/>
        <v>194.4</v>
      </c>
      <c r="E15" s="143">
        <f t="shared" si="0"/>
        <v>19.494</v>
      </c>
      <c r="G15" t="s">
        <v>279</v>
      </c>
      <c r="H15" s="98">
        <f>H14/12</f>
        <v>37.849500000000006</v>
      </c>
      <c r="I15" t="s">
        <v>281</v>
      </c>
      <c r="J15" s="82"/>
    </row>
    <row r="16" spans="1:26" x14ac:dyDescent="0.35">
      <c r="A16">
        <v>5</v>
      </c>
      <c r="B16" s="143">
        <f t="shared" si="2"/>
        <v>194.4</v>
      </c>
      <c r="C16" s="82">
        <f t="shared" si="1"/>
        <v>21.6</v>
      </c>
      <c r="D16" s="82">
        <f t="shared" si="3"/>
        <v>172.8</v>
      </c>
      <c r="E16" s="143">
        <f t="shared" si="0"/>
        <v>17.442000000000004</v>
      </c>
      <c r="G16" t="s">
        <v>280</v>
      </c>
      <c r="H16" s="98">
        <f>H15/12</f>
        <v>3.1541250000000005</v>
      </c>
      <c r="I16" t="s">
        <v>281</v>
      </c>
      <c r="J16" s="82"/>
    </row>
    <row r="17" spans="1:8" x14ac:dyDescent="0.35">
      <c r="A17">
        <v>6</v>
      </c>
      <c r="B17" s="143">
        <f t="shared" si="2"/>
        <v>172.8</v>
      </c>
      <c r="C17" s="82">
        <f t="shared" si="1"/>
        <v>21.6</v>
      </c>
      <c r="D17" s="82">
        <f t="shared" si="3"/>
        <v>151.20000000000002</v>
      </c>
      <c r="E17" s="143">
        <f t="shared" si="0"/>
        <v>15.39</v>
      </c>
      <c r="H17" s="98"/>
    </row>
    <row r="18" spans="1:8" x14ac:dyDescent="0.35">
      <c r="A18">
        <v>7</v>
      </c>
      <c r="B18" s="143">
        <f t="shared" si="2"/>
        <v>151.20000000000002</v>
      </c>
      <c r="C18" s="82">
        <f t="shared" si="1"/>
        <v>21.6</v>
      </c>
      <c r="D18" s="82">
        <f t="shared" si="3"/>
        <v>129.60000000000002</v>
      </c>
      <c r="E18" s="143">
        <f t="shared" si="0"/>
        <v>13.338000000000003</v>
      </c>
      <c r="H18" s="98"/>
    </row>
    <row r="19" spans="1:8" x14ac:dyDescent="0.35">
      <c r="A19">
        <v>8</v>
      </c>
      <c r="B19" s="143">
        <f t="shared" si="2"/>
        <v>129.60000000000002</v>
      </c>
      <c r="C19" s="82">
        <f t="shared" si="1"/>
        <v>21.6</v>
      </c>
      <c r="D19" s="82">
        <f t="shared" si="3"/>
        <v>108.00000000000003</v>
      </c>
      <c r="E19" s="143">
        <f t="shared" si="0"/>
        <v>11.286000000000003</v>
      </c>
      <c r="H19" s="98"/>
    </row>
    <row r="20" spans="1:8" x14ac:dyDescent="0.35">
      <c r="A20">
        <v>9</v>
      </c>
      <c r="B20" s="143">
        <f t="shared" si="2"/>
        <v>108.00000000000003</v>
      </c>
      <c r="C20" s="82">
        <f t="shared" si="1"/>
        <v>21.6</v>
      </c>
      <c r="D20" s="82">
        <f t="shared" si="3"/>
        <v>86.400000000000034</v>
      </c>
      <c r="E20" s="143">
        <f t="shared" si="0"/>
        <v>9.2340000000000035</v>
      </c>
      <c r="H20" s="98"/>
    </row>
    <row r="21" spans="1:8" x14ac:dyDescent="0.35">
      <c r="A21">
        <v>10</v>
      </c>
      <c r="B21" s="143">
        <f t="shared" si="2"/>
        <v>86.400000000000034</v>
      </c>
      <c r="C21" s="82">
        <f t="shared" si="1"/>
        <v>21.6</v>
      </c>
      <c r="D21" s="82">
        <f t="shared" si="3"/>
        <v>64.80000000000004</v>
      </c>
      <c r="E21" s="143">
        <f t="shared" si="0"/>
        <v>7.1820000000000039</v>
      </c>
      <c r="H21" s="98"/>
    </row>
    <row r="22" spans="1:8" x14ac:dyDescent="0.35">
      <c r="A22">
        <v>11</v>
      </c>
      <c r="B22" s="143">
        <f t="shared" si="2"/>
        <v>64.80000000000004</v>
      </c>
      <c r="C22" s="82">
        <f t="shared" si="1"/>
        <v>21.6</v>
      </c>
      <c r="D22" s="82">
        <f t="shared" si="3"/>
        <v>43.200000000000038</v>
      </c>
      <c r="E22" s="143">
        <f t="shared" si="0"/>
        <v>5.1300000000000043</v>
      </c>
      <c r="H22" s="98"/>
    </row>
    <row r="23" spans="1:8" x14ac:dyDescent="0.35">
      <c r="A23">
        <v>12</v>
      </c>
      <c r="B23" s="143">
        <f t="shared" si="2"/>
        <v>43.200000000000038</v>
      </c>
      <c r="C23" s="82">
        <f t="shared" si="1"/>
        <v>21.6</v>
      </c>
      <c r="D23" s="82">
        <f t="shared" si="3"/>
        <v>21.600000000000037</v>
      </c>
      <c r="E23" s="143">
        <f t="shared" si="0"/>
        <v>3.0780000000000034</v>
      </c>
      <c r="H23" s="98"/>
    </row>
    <row r="24" spans="1:8" ht="15" thickBot="1" x14ac:dyDescent="0.4">
      <c r="A24">
        <v>13</v>
      </c>
      <c r="B24" s="144">
        <f t="shared" si="2"/>
        <v>21.600000000000037</v>
      </c>
      <c r="C24" s="145">
        <f t="shared" si="1"/>
        <v>21.6</v>
      </c>
      <c r="D24" s="145">
        <f t="shared" si="3"/>
        <v>3.5527136788005009E-14</v>
      </c>
      <c r="E24" s="144">
        <f t="shared" si="0"/>
        <v>1.0260000000000034</v>
      </c>
      <c r="H24" s="98"/>
    </row>
    <row r="25" spans="1:8" x14ac:dyDescent="0.35">
      <c r="A25">
        <v>14</v>
      </c>
      <c r="B25" s="142">
        <f>B24-C24</f>
        <v>3.5527136788005009E-14</v>
      </c>
      <c r="C25" s="147">
        <f t="shared" si="1"/>
        <v>21.6</v>
      </c>
      <c r="D25" s="147">
        <f>B25-C25</f>
        <v>-21.599999999999966</v>
      </c>
      <c r="E25" s="142">
        <f t="shared" si="0"/>
        <v>-1.0259999999999967</v>
      </c>
    </row>
    <row r="26" spans="1:8" x14ac:dyDescent="0.35">
      <c r="A26">
        <v>15</v>
      </c>
      <c r="B26" s="143">
        <f t="shared" si="2"/>
        <v>-21.599999999999966</v>
      </c>
      <c r="C26" s="82">
        <f t="shared" si="1"/>
        <v>21.6</v>
      </c>
      <c r="D26" s="82">
        <f>B26-C26</f>
        <v>-43.199999999999967</v>
      </c>
      <c r="E26" s="143">
        <f t="shared" si="0"/>
        <v>-3.0779999999999967</v>
      </c>
    </row>
    <row r="27" spans="1:8" x14ac:dyDescent="0.35">
      <c r="A27">
        <v>16</v>
      </c>
      <c r="B27" s="143">
        <f t="shared" si="2"/>
        <v>-43.199999999999967</v>
      </c>
      <c r="C27" s="82">
        <f t="shared" si="1"/>
        <v>21.6</v>
      </c>
      <c r="D27" s="82">
        <f t="shared" ref="D27:D36" si="4">B27-C27</f>
        <v>-64.799999999999969</v>
      </c>
      <c r="E27" s="143">
        <f t="shared" si="0"/>
        <v>-5.1299999999999972</v>
      </c>
    </row>
    <row r="28" spans="1:8" x14ac:dyDescent="0.35">
      <c r="A28">
        <v>17</v>
      </c>
      <c r="B28" s="143">
        <f t="shared" si="2"/>
        <v>-64.799999999999969</v>
      </c>
      <c r="C28" s="82">
        <f t="shared" si="1"/>
        <v>21.6</v>
      </c>
      <c r="D28" s="82">
        <f t="shared" si="4"/>
        <v>-86.399999999999977</v>
      </c>
      <c r="E28" s="143">
        <f t="shared" si="0"/>
        <v>-7.1819999999999968</v>
      </c>
    </row>
    <row r="29" spans="1:8" x14ac:dyDescent="0.35">
      <c r="A29">
        <v>18</v>
      </c>
      <c r="B29" s="143">
        <f t="shared" si="2"/>
        <v>-86.399999999999977</v>
      </c>
      <c r="C29" s="82">
        <f t="shared" si="1"/>
        <v>21.6</v>
      </c>
      <c r="D29" s="82">
        <f t="shared" si="4"/>
        <v>-107.99999999999997</v>
      </c>
      <c r="E29" s="143">
        <f t="shared" si="0"/>
        <v>-9.2339999999999982</v>
      </c>
    </row>
    <row r="30" spans="1:8" x14ac:dyDescent="0.35">
      <c r="A30">
        <v>19</v>
      </c>
      <c r="B30" s="143">
        <f t="shared" si="2"/>
        <v>-107.99999999999997</v>
      </c>
      <c r="C30" s="82">
        <f t="shared" si="1"/>
        <v>21.6</v>
      </c>
      <c r="D30" s="82">
        <f t="shared" si="4"/>
        <v>-129.59999999999997</v>
      </c>
      <c r="E30" s="143">
        <f t="shared" si="0"/>
        <v>-11.285999999999998</v>
      </c>
    </row>
    <row r="31" spans="1:8" x14ac:dyDescent="0.35">
      <c r="A31">
        <v>20</v>
      </c>
      <c r="B31" s="143">
        <f t="shared" si="2"/>
        <v>-129.59999999999997</v>
      </c>
      <c r="C31" s="82">
        <f t="shared" si="1"/>
        <v>21.6</v>
      </c>
      <c r="D31" s="82">
        <f t="shared" si="4"/>
        <v>-151.19999999999996</v>
      </c>
      <c r="E31" s="143">
        <f t="shared" si="0"/>
        <v>-13.337999999999997</v>
      </c>
    </row>
    <row r="32" spans="1:8" x14ac:dyDescent="0.35">
      <c r="A32">
        <v>21</v>
      </c>
      <c r="B32" s="143">
        <f t="shared" si="2"/>
        <v>-151.19999999999996</v>
      </c>
      <c r="C32" s="82">
        <f t="shared" si="1"/>
        <v>21.6</v>
      </c>
      <c r="D32" s="82">
        <f t="shared" si="4"/>
        <v>-172.79999999999995</v>
      </c>
      <c r="E32" s="143">
        <f t="shared" si="0"/>
        <v>-15.389999999999995</v>
      </c>
    </row>
    <row r="33" spans="1:5" x14ac:dyDescent="0.35">
      <c r="A33">
        <v>22</v>
      </c>
      <c r="B33" s="143">
        <f t="shared" si="2"/>
        <v>-172.79999999999995</v>
      </c>
      <c r="C33" s="82">
        <f t="shared" si="1"/>
        <v>21.6</v>
      </c>
      <c r="D33" s="82">
        <f t="shared" si="4"/>
        <v>-194.39999999999995</v>
      </c>
      <c r="E33" s="143">
        <f t="shared" si="0"/>
        <v>-17.441999999999997</v>
      </c>
    </row>
    <row r="34" spans="1:5" x14ac:dyDescent="0.35">
      <c r="A34">
        <v>23</v>
      </c>
      <c r="B34" s="143">
        <f t="shared" si="2"/>
        <v>-194.39999999999995</v>
      </c>
      <c r="C34" s="82">
        <f t="shared" si="1"/>
        <v>21.6</v>
      </c>
      <c r="D34" s="82">
        <f t="shared" si="4"/>
        <v>-215.99999999999994</v>
      </c>
      <c r="E34" s="143">
        <f t="shared" si="0"/>
        <v>-19.493999999999993</v>
      </c>
    </row>
    <row r="35" spans="1:5" x14ac:dyDescent="0.35">
      <c r="A35">
        <v>24</v>
      </c>
      <c r="B35" s="143">
        <f t="shared" si="2"/>
        <v>-215.99999999999994</v>
      </c>
      <c r="C35" s="82">
        <f t="shared" si="1"/>
        <v>21.6</v>
      </c>
      <c r="D35" s="82">
        <f t="shared" si="4"/>
        <v>-237.59999999999994</v>
      </c>
      <c r="E35" s="143">
        <f t="shared" si="0"/>
        <v>-21.545999999999996</v>
      </c>
    </row>
    <row r="36" spans="1:5" ht="15" thickBot="1" x14ac:dyDescent="0.4">
      <c r="A36">
        <v>25</v>
      </c>
      <c r="B36" s="144">
        <f t="shared" si="2"/>
        <v>-237.59999999999994</v>
      </c>
      <c r="C36" s="145">
        <f t="shared" si="1"/>
        <v>21.6</v>
      </c>
      <c r="D36" s="145">
        <f t="shared" si="4"/>
        <v>-259.19999999999993</v>
      </c>
      <c r="E36" s="144">
        <f t="shared" si="0"/>
        <v>-23.597999999999992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934A33-C7E0-481B-B1A9-CDF378B0C2B2}">
  <sheetPr>
    <tabColor rgb="FF7030A0"/>
  </sheetPr>
  <dimension ref="A3:AC106"/>
  <sheetViews>
    <sheetView topLeftCell="A19" zoomScale="110" workbookViewId="0">
      <selection activeCell="D80" sqref="D80"/>
    </sheetView>
  </sheetViews>
  <sheetFormatPr defaultRowHeight="14.5" x14ac:dyDescent="0.35"/>
  <cols>
    <col min="1" max="1" width="12.453125" bestFit="1" customWidth="1"/>
    <col min="2" max="2" width="40.81640625" bestFit="1" customWidth="1"/>
    <col min="3" max="3" width="12.453125" bestFit="1" customWidth="1"/>
    <col min="4" max="4" width="10" bestFit="1" customWidth="1"/>
    <col min="5" max="5" width="17.1796875" bestFit="1" customWidth="1"/>
    <col min="6" max="6" width="16.08984375" bestFit="1" customWidth="1"/>
    <col min="7" max="7" width="11.26953125" customWidth="1"/>
    <col min="8" max="8" width="11.81640625" customWidth="1"/>
    <col min="9" max="15" width="16.08984375" bestFit="1" customWidth="1"/>
    <col min="16" max="17" width="15.08984375" bestFit="1" customWidth="1"/>
    <col min="18" max="28" width="14.453125" bestFit="1" customWidth="1"/>
  </cols>
  <sheetData>
    <row r="3" spans="2:11" ht="15" thickBot="1" x14ac:dyDescent="0.4"/>
    <row r="4" spans="2:11" ht="15" thickBot="1" x14ac:dyDescent="0.4">
      <c r="B4" s="22" t="s">
        <v>135</v>
      </c>
      <c r="C4" s="37" t="s">
        <v>137</v>
      </c>
      <c r="D4" s="37" t="s">
        <v>136</v>
      </c>
    </row>
    <row r="5" spans="2:11" x14ac:dyDescent="0.35">
      <c r="B5" s="19" t="s">
        <v>138</v>
      </c>
      <c r="C5" s="3"/>
      <c r="D5" s="3" t="s">
        <v>124</v>
      </c>
    </row>
    <row r="6" spans="2:11" x14ac:dyDescent="0.35">
      <c r="B6" s="19" t="s">
        <v>183</v>
      </c>
      <c r="C6" s="3"/>
      <c r="D6" s="3">
        <v>1</v>
      </c>
      <c r="G6" s="24" t="s">
        <v>122</v>
      </c>
      <c r="J6" t="s">
        <v>128</v>
      </c>
      <c r="K6">
        <f>IF('Assumption for solar PV Power P'!$F$5&gt;H7,K8,K7)</f>
        <v>7.06</v>
      </c>
    </row>
    <row r="7" spans="2:11" x14ac:dyDescent="0.35">
      <c r="B7" s="19" t="s">
        <v>28</v>
      </c>
      <c r="C7" s="3" t="s">
        <v>74</v>
      </c>
      <c r="D7" s="3">
        <f>'Assumption for solar PV Power P'!$F$26</f>
        <v>70.2</v>
      </c>
      <c r="G7" s="391" t="s">
        <v>131</v>
      </c>
      <c r="H7" s="8">
        <f>'Assumption for solar PV Power P'!$D$56</f>
        <v>5</v>
      </c>
      <c r="I7" t="s">
        <v>15</v>
      </c>
      <c r="J7" t="s">
        <v>128</v>
      </c>
      <c r="K7" s="8">
        <f>'Assumption for solar PV Power P'!$F$56</f>
        <v>7.06</v>
      </c>
    </row>
    <row r="8" spans="2:11" x14ac:dyDescent="0.35">
      <c r="B8" s="19" t="s">
        <v>150</v>
      </c>
      <c r="C8" s="3" t="s">
        <v>26</v>
      </c>
      <c r="D8" s="3">
        <f>'Assumption for solar PV Power P'!$F$10</f>
        <v>25</v>
      </c>
      <c r="G8" s="391"/>
      <c r="H8" s="8" t="s">
        <v>130</v>
      </c>
      <c r="I8" t="s">
        <v>129</v>
      </c>
      <c r="J8" t="s">
        <v>128</v>
      </c>
      <c r="K8" s="8">
        <f>'Assumption for solar PV Power P'!$F$57</f>
        <v>6</v>
      </c>
    </row>
    <row r="9" spans="2:11" x14ac:dyDescent="0.35">
      <c r="B9" s="19" t="s">
        <v>151</v>
      </c>
      <c r="C9" s="3" t="s">
        <v>19</v>
      </c>
      <c r="D9" s="31">
        <f>'Assumption for solar PV Power P'!$F$37</f>
        <v>0.34610000000000002</v>
      </c>
    </row>
    <row r="10" spans="2:11" x14ac:dyDescent="0.35">
      <c r="B10" s="19" t="s">
        <v>147</v>
      </c>
      <c r="C10" s="3" t="s">
        <v>19</v>
      </c>
      <c r="D10" s="31">
        <f>'Assumption for solar PV Power P'!$F$38</f>
        <v>0.2155</v>
      </c>
    </row>
    <row r="11" spans="2:11" x14ac:dyDescent="0.35">
      <c r="B11" s="70" t="s">
        <v>152</v>
      </c>
      <c r="C11" s="3" t="s">
        <v>26</v>
      </c>
      <c r="D11" s="80">
        <f>'Assumption for solar PV Power P'!F58</f>
        <v>1</v>
      </c>
    </row>
    <row r="12" spans="2:11" x14ac:dyDescent="0.35">
      <c r="B12" s="70" t="s">
        <v>153</v>
      </c>
      <c r="C12" s="3" t="s">
        <v>26</v>
      </c>
      <c r="D12" s="80">
        <f>'Assumption for solar PV Power P'!$F$59</f>
        <v>0</v>
      </c>
    </row>
    <row r="13" spans="2:11" x14ac:dyDescent="0.35">
      <c r="B13" s="70" t="s">
        <v>154</v>
      </c>
      <c r="C13" s="3" t="s">
        <v>26</v>
      </c>
      <c r="D13" s="80">
        <f>'Assumption for solar PV Power P'!F60</f>
        <v>16</v>
      </c>
      <c r="E13" s="392" t="s">
        <v>276</v>
      </c>
      <c r="F13" s="393"/>
      <c r="G13" s="393"/>
      <c r="H13" s="393"/>
      <c r="I13" s="393"/>
    </row>
    <row r="14" spans="2:11" x14ac:dyDescent="0.35">
      <c r="B14" s="70" t="s">
        <v>155</v>
      </c>
      <c r="C14" s="3" t="s">
        <v>26</v>
      </c>
      <c r="D14" s="80">
        <f>'Assumption for solar PV Power P'!F61</f>
        <v>10</v>
      </c>
      <c r="E14" s="69" t="s">
        <v>174</v>
      </c>
    </row>
    <row r="15" spans="2:11" ht="15" thickBot="1" x14ac:dyDescent="0.4">
      <c r="B15" s="71" t="s">
        <v>156</v>
      </c>
      <c r="C15" s="4" t="s">
        <v>26</v>
      </c>
      <c r="D15" s="224">
        <f>'Assumption for solar PV Power P'!F62</f>
        <v>5</v>
      </c>
      <c r="E15" s="72"/>
      <c r="F15" s="73" t="s">
        <v>175</v>
      </c>
    </row>
    <row r="16" spans="2:11" x14ac:dyDescent="0.35">
      <c r="E16" s="69"/>
      <c r="F16" s="69"/>
    </row>
    <row r="17" spans="1:28" ht="15" thickBot="1" x14ac:dyDescent="0.4"/>
    <row r="18" spans="1:28" x14ac:dyDescent="0.35">
      <c r="A18" s="83" t="s">
        <v>184</v>
      </c>
      <c r="B18" s="49" t="s">
        <v>139</v>
      </c>
      <c r="C18" s="50"/>
      <c r="D18" s="50"/>
      <c r="E18" s="50"/>
      <c r="F18" s="50"/>
      <c r="G18" s="50"/>
      <c r="H18" s="50"/>
      <c r="I18" s="50"/>
      <c r="J18" s="50"/>
      <c r="K18" s="50"/>
      <c r="L18" s="50"/>
      <c r="M18" s="50"/>
      <c r="N18" s="50"/>
      <c r="O18" s="50"/>
      <c r="P18" s="50"/>
      <c r="Q18" s="50"/>
      <c r="R18" s="50"/>
      <c r="S18" s="50"/>
      <c r="T18" s="50"/>
      <c r="U18" s="50"/>
      <c r="V18" s="50"/>
      <c r="W18" s="50"/>
      <c r="X18" s="50"/>
      <c r="Y18" s="50"/>
      <c r="Z18" s="50"/>
      <c r="AA18" s="50"/>
      <c r="AB18" s="51"/>
    </row>
    <row r="19" spans="1:28" x14ac:dyDescent="0.35">
      <c r="B19" s="52" t="s">
        <v>71</v>
      </c>
      <c r="C19" s="10"/>
      <c r="D19" s="10">
        <v>1</v>
      </c>
      <c r="E19" s="10">
        <v>2</v>
      </c>
      <c r="F19" s="10">
        <v>3</v>
      </c>
      <c r="G19" s="10">
        <v>4</v>
      </c>
      <c r="H19" s="10">
        <v>5</v>
      </c>
      <c r="I19" s="10">
        <v>6</v>
      </c>
      <c r="J19" s="10">
        <v>7</v>
      </c>
      <c r="K19" s="10">
        <v>8</v>
      </c>
      <c r="L19" s="10">
        <v>9</v>
      </c>
      <c r="M19" s="10">
        <v>10</v>
      </c>
      <c r="N19" s="10">
        <v>11</v>
      </c>
      <c r="O19" s="10">
        <v>12</v>
      </c>
      <c r="P19" s="10">
        <v>13</v>
      </c>
      <c r="Q19" s="10">
        <v>14</v>
      </c>
      <c r="R19" s="10">
        <v>15</v>
      </c>
      <c r="S19" s="10">
        <v>16</v>
      </c>
      <c r="T19" s="10">
        <v>17</v>
      </c>
      <c r="U19" s="10">
        <v>18</v>
      </c>
      <c r="V19" s="10">
        <v>19</v>
      </c>
      <c r="W19" s="10">
        <v>20</v>
      </c>
      <c r="X19" s="10">
        <v>21</v>
      </c>
      <c r="Y19" s="10">
        <v>22</v>
      </c>
      <c r="Z19" s="10">
        <v>23</v>
      </c>
      <c r="AA19" s="10">
        <v>24</v>
      </c>
      <c r="AB19" s="53">
        <v>25</v>
      </c>
    </row>
    <row r="20" spans="1:28" x14ac:dyDescent="0.35">
      <c r="B20" s="54" t="s">
        <v>157</v>
      </c>
      <c r="C20" t="s">
        <v>158</v>
      </c>
      <c r="D20" s="82">
        <f>Determination_of_Tariff!D62</f>
        <v>11.826000000000001</v>
      </c>
      <c r="E20" s="82">
        <f>Determination_of_Tariff!E62</f>
        <v>11.743218000000002</v>
      </c>
      <c r="F20" s="82">
        <f>Determination_of_Tariff!F62</f>
        <v>11.661015474000003</v>
      </c>
      <c r="G20" s="82">
        <f>Determination_of_Tariff!G62</f>
        <v>11.620201919841001</v>
      </c>
      <c r="H20" s="82">
        <f>Determination_of_Tariff!H62</f>
        <v>11.559267283481613</v>
      </c>
      <c r="I20" s="82">
        <f>Determination_of_Tariff!I62</f>
        <v>11.488555801036993</v>
      </c>
      <c r="J20" s="82">
        <f>Determination_of_Tariff!J62</f>
        <v>11.41323760469961</v>
      </c>
      <c r="K20" s="82">
        <f>Determination_of_Tariff!K62</f>
        <v>11.33589578860165</v>
      </c>
      <c r="L20" s="82">
        <f>Determination_of_Tariff!L62</f>
        <v>11.257819941648906</v>
      </c>
      <c r="M20" s="82">
        <f>Determination_of_Tariff!M62</f>
        <v>11.179652913841096</v>
      </c>
      <c r="N20" s="82">
        <f>Determination_of_Tariff!N62</f>
        <v>11.101714199336076</v>
      </c>
      <c r="O20" s="82">
        <f>Determination_of_Tariff!O62</f>
        <v>11.024161627886656</v>
      </c>
      <c r="P20" s="82">
        <f>Determination_of_Tariff!P62</f>
        <v>10.947072210464416</v>
      </c>
      <c r="Q20" s="82">
        <f>Determination_of_Tariff!Q62</f>
        <v>10.870482561977649</v>
      </c>
      <c r="R20" s="82">
        <f>Determination_of_Tariff!R62</f>
        <v>10.794409112537046</v>
      </c>
      <c r="S20" s="82">
        <f>Determination_of_Tariff!S62</f>
        <v>10.718858212995908</v>
      </c>
      <c r="T20" s="82">
        <f>Determination_of_Tariff!T62</f>
        <v>10.643831187628248</v>
      </c>
      <c r="U20" s="82">
        <f>Determination_of_Tariff!U62</f>
        <v>10.569326860376506</v>
      </c>
      <c r="V20" s="82">
        <f>Determination_of_Tariff!V62</f>
        <v>10.495342817884698</v>
      </c>
      <c r="W20" s="82">
        <f>Determination_of_Tariff!W62</f>
        <v>10.421876040924918</v>
      </c>
      <c r="X20" s="82">
        <f>Determination_of_Tariff!X62</f>
        <v>10.348923220021149</v>
      </c>
      <c r="Y20" s="82">
        <f>Determination_of_Tariff!Y62</f>
        <v>10.276480913172355</v>
      </c>
      <c r="Z20" s="82">
        <f>Determination_of_Tariff!Z62</f>
        <v>10.204545624625826</v>
      </c>
      <c r="AA20" s="82">
        <f>Determination_of_Tariff!AA62</f>
        <v>10.133113844176282</v>
      </c>
      <c r="AB20" s="82">
        <f>Determination_of_Tariff!AB62</f>
        <v>10.062182066728468</v>
      </c>
    </row>
    <row r="21" spans="1:28" ht="15" thickBot="1" x14ac:dyDescent="0.4">
      <c r="B21" s="54"/>
      <c r="AB21" s="55"/>
    </row>
    <row r="22" spans="1:28" x14ac:dyDescent="0.35">
      <c r="B22" s="56" t="s">
        <v>132</v>
      </c>
      <c r="C22" s="7"/>
      <c r="D22" s="7"/>
      <c r="E22" s="7"/>
      <c r="F22" s="7"/>
      <c r="G22" s="7"/>
      <c r="H22" s="7"/>
      <c r="I22" s="7"/>
      <c r="J22" s="7"/>
      <c r="K22" s="7"/>
      <c r="L22" s="7"/>
      <c r="M22" s="7"/>
      <c r="N22" s="7"/>
      <c r="O22" s="7"/>
      <c r="P22" s="7"/>
      <c r="Q22" s="7"/>
      <c r="R22" s="7"/>
      <c r="S22" s="7"/>
      <c r="T22" s="7"/>
      <c r="U22" s="7"/>
      <c r="V22" s="7"/>
      <c r="W22" s="7"/>
      <c r="X22" s="7"/>
      <c r="Y22" s="7"/>
      <c r="Z22" s="7"/>
      <c r="AA22" s="7"/>
      <c r="AB22" s="57"/>
    </row>
    <row r="23" spans="1:28" x14ac:dyDescent="0.35">
      <c r="B23" s="54" t="s">
        <v>159</v>
      </c>
      <c r="C23" t="s">
        <v>75</v>
      </c>
      <c r="D23" s="12">
        <f ca="1">Determination_of_Tariff!$B$22</f>
        <v>4.4111991624187832</v>
      </c>
      <c r="E23" s="12">
        <f ca="1">Determination_of_Tariff!$B$22</f>
        <v>4.4111991624187832</v>
      </c>
      <c r="F23" s="12">
        <f ca="1">Determination_of_Tariff!$B$22</f>
        <v>4.4111991624187832</v>
      </c>
      <c r="G23" s="12">
        <f ca="1">Determination_of_Tariff!$B$22</f>
        <v>4.4111991624187832</v>
      </c>
      <c r="H23" s="12">
        <f ca="1">Determination_of_Tariff!$B$22</f>
        <v>4.4111991624187832</v>
      </c>
      <c r="I23" s="12">
        <f ca="1">Determination_of_Tariff!$B$22</f>
        <v>4.4111991624187832</v>
      </c>
      <c r="J23" s="12">
        <f ca="1">Determination_of_Tariff!$B$22</f>
        <v>4.4111991624187832</v>
      </c>
      <c r="K23" s="12">
        <f ca="1">Determination_of_Tariff!$B$22</f>
        <v>4.4111991624187832</v>
      </c>
      <c r="L23" s="12">
        <f ca="1">Determination_of_Tariff!$B$22</f>
        <v>4.4111991624187832</v>
      </c>
      <c r="M23" s="12">
        <f ca="1">Determination_of_Tariff!$B$22</f>
        <v>4.4111991624187832</v>
      </c>
      <c r="N23" s="12">
        <f ca="1">Determination_of_Tariff!$B$22</f>
        <v>4.4111991624187832</v>
      </c>
      <c r="O23" s="12">
        <f ca="1">Determination_of_Tariff!$B$22</f>
        <v>4.4111991624187832</v>
      </c>
      <c r="P23" s="12">
        <f ca="1">Determination_of_Tariff!$B$22</f>
        <v>4.4111991624187832</v>
      </c>
      <c r="Q23" s="12">
        <f ca="1">Determination_of_Tariff!$B$22</f>
        <v>4.4111991624187832</v>
      </c>
      <c r="R23" s="12">
        <f ca="1">Determination_of_Tariff!$B$22</f>
        <v>4.4111991624187832</v>
      </c>
      <c r="S23" s="12">
        <f ca="1">Determination_of_Tariff!$B$22</f>
        <v>4.4111991624187832</v>
      </c>
      <c r="T23" s="12">
        <f ca="1">Determination_of_Tariff!$B$22</f>
        <v>4.4111991624187832</v>
      </c>
      <c r="U23" s="12">
        <f ca="1">Determination_of_Tariff!$B$22</f>
        <v>4.4111991624187832</v>
      </c>
      <c r="V23" s="12">
        <f ca="1">Determination_of_Tariff!$B$22</f>
        <v>4.4111991624187832</v>
      </c>
      <c r="W23" s="12">
        <f ca="1">Determination_of_Tariff!$B$22</f>
        <v>4.4111991624187832</v>
      </c>
      <c r="X23" s="12">
        <f ca="1">Determination_of_Tariff!$B$22</f>
        <v>4.4111991624187832</v>
      </c>
      <c r="Y23" s="12">
        <f ca="1">Determination_of_Tariff!$B$22</f>
        <v>4.4111991624187832</v>
      </c>
      <c r="Z23" s="12">
        <f ca="1">Determination_of_Tariff!$B$22</f>
        <v>4.4111991624187832</v>
      </c>
      <c r="AA23" s="12">
        <f ca="1">Determination_of_Tariff!$B$22</f>
        <v>4.4111991624187832</v>
      </c>
      <c r="AB23" s="58">
        <f ca="1">Determination_of_Tariff!$B$22</f>
        <v>4.4111991624187832</v>
      </c>
    </row>
    <row r="24" spans="1:28" x14ac:dyDescent="0.35">
      <c r="B24" s="54" t="s">
        <v>161</v>
      </c>
      <c r="C24" t="s">
        <v>165</v>
      </c>
      <c r="D24" s="12">
        <f ca="1">D23*D20</f>
        <v>52.166841294764531</v>
      </c>
      <c r="E24" s="12">
        <f ca="1">E23*E20</f>
        <v>51.801673405701187</v>
      </c>
      <c r="F24" s="12">
        <f t="shared" ref="F24:AB24" ca="1" si="0">F23*F20</f>
        <v>51.439061691861284</v>
      </c>
      <c r="G24" s="12">
        <f t="shared" ca="1" si="0"/>
        <v>51.259024975939759</v>
      </c>
      <c r="H24" s="12">
        <f t="shared" ca="1" si="0"/>
        <v>50.990230159068936</v>
      </c>
      <c r="I24" s="12">
        <f t="shared" ca="1" si="0"/>
        <v>50.678307726935834</v>
      </c>
      <c r="J24" s="12">
        <f t="shared" ca="1" si="0"/>
        <v>50.346064162337477</v>
      </c>
      <c r="K24" s="12">
        <f t="shared" ca="1" si="0"/>
        <v>50.004894007946213</v>
      </c>
      <c r="L24" s="12">
        <f t="shared" ca="1" si="0"/>
        <v>49.660485897263129</v>
      </c>
      <c r="M24" s="12">
        <f t="shared" ca="1" si="0"/>
        <v>49.315675569668549</v>
      </c>
      <c r="N24" s="12">
        <f t="shared" ca="1" si="0"/>
        <v>48.971872377524008</v>
      </c>
      <c r="O24" s="12">
        <f t="shared" ca="1" si="0"/>
        <v>48.629772539302905</v>
      </c>
      <c r="P24" s="12">
        <f t="shared" ca="1" si="0"/>
        <v>48.28971576573857</v>
      </c>
      <c r="Q24" s="12">
        <f t="shared" ca="1" si="0"/>
        <v>47.951863572483795</v>
      </c>
      <c r="R24" s="12">
        <f t="shared" ca="1" si="0"/>
        <v>47.616288436029102</v>
      </c>
      <c r="S24" s="12">
        <f t="shared" ca="1" si="0"/>
        <v>47.283018371253242</v>
      </c>
      <c r="T24" s="12">
        <f t="shared" ca="1" si="0"/>
        <v>46.952059219792645</v>
      </c>
      <c r="U24" s="12">
        <f t="shared" ca="1" si="0"/>
        <v>46.623405793823189</v>
      </c>
      <c r="V24" s="12">
        <f t="shared" ca="1" si="0"/>
        <v>46.297047447550973</v>
      </c>
      <c r="W24" s="12">
        <f t="shared" ca="1" si="0"/>
        <v>45.972970862560381</v>
      </c>
      <c r="X24" s="12">
        <f t="shared" ca="1" si="0"/>
        <v>45.651161440093588</v>
      </c>
      <c r="Y24" s="12">
        <f t="shared" ca="1" si="0"/>
        <v>45.331603996798506</v>
      </c>
      <c r="Z24" s="12">
        <f t="shared" ca="1" si="0"/>
        <v>45.014283112213704</v>
      </c>
      <c r="AA24" s="12">
        <f t="shared" ca="1" si="0"/>
        <v>44.699183302124595</v>
      </c>
      <c r="AB24" s="58">
        <f t="shared" ca="1" si="0"/>
        <v>44.386289104857916</v>
      </c>
    </row>
    <row r="25" spans="1:28" ht="15" thickBot="1" x14ac:dyDescent="0.4">
      <c r="B25" s="67" t="s">
        <v>140</v>
      </c>
      <c r="C25" s="61"/>
      <c r="D25" s="62">
        <f ca="1">D24</f>
        <v>52.166841294764531</v>
      </c>
      <c r="E25" s="62">
        <f t="shared" ref="E25:AB25" ca="1" si="1">E24</f>
        <v>51.801673405701187</v>
      </c>
      <c r="F25" s="62">
        <f t="shared" ca="1" si="1"/>
        <v>51.439061691861284</v>
      </c>
      <c r="G25" s="62">
        <f t="shared" ca="1" si="1"/>
        <v>51.259024975939759</v>
      </c>
      <c r="H25" s="62">
        <f t="shared" ca="1" si="1"/>
        <v>50.990230159068936</v>
      </c>
      <c r="I25" s="62">
        <f t="shared" ca="1" si="1"/>
        <v>50.678307726935834</v>
      </c>
      <c r="J25" s="62">
        <f t="shared" ca="1" si="1"/>
        <v>50.346064162337477</v>
      </c>
      <c r="K25" s="62">
        <f t="shared" ca="1" si="1"/>
        <v>50.004894007946213</v>
      </c>
      <c r="L25" s="62">
        <f t="shared" ca="1" si="1"/>
        <v>49.660485897263129</v>
      </c>
      <c r="M25" s="62">
        <f t="shared" ca="1" si="1"/>
        <v>49.315675569668549</v>
      </c>
      <c r="N25" s="62">
        <f t="shared" ca="1" si="1"/>
        <v>48.971872377524008</v>
      </c>
      <c r="O25" s="62">
        <f t="shared" ca="1" si="1"/>
        <v>48.629772539302905</v>
      </c>
      <c r="P25" s="62">
        <f t="shared" ca="1" si="1"/>
        <v>48.28971576573857</v>
      </c>
      <c r="Q25" s="62">
        <f t="shared" ca="1" si="1"/>
        <v>47.951863572483795</v>
      </c>
      <c r="R25" s="62">
        <f t="shared" ca="1" si="1"/>
        <v>47.616288436029102</v>
      </c>
      <c r="S25" s="62">
        <f t="shared" ca="1" si="1"/>
        <v>47.283018371253242</v>
      </c>
      <c r="T25" s="62">
        <f t="shared" ca="1" si="1"/>
        <v>46.952059219792645</v>
      </c>
      <c r="U25" s="62">
        <f t="shared" ca="1" si="1"/>
        <v>46.623405793823189</v>
      </c>
      <c r="V25" s="62">
        <f t="shared" ca="1" si="1"/>
        <v>46.297047447550973</v>
      </c>
      <c r="W25" s="62">
        <f t="shared" ca="1" si="1"/>
        <v>45.972970862560381</v>
      </c>
      <c r="X25" s="62">
        <f t="shared" ca="1" si="1"/>
        <v>45.651161440093588</v>
      </c>
      <c r="Y25" s="62">
        <f t="shared" ca="1" si="1"/>
        <v>45.331603996798506</v>
      </c>
      <c r="Z25" s="62">
        <f t="shared" ca="1" si="1"/>
        <v>45.014283112213704</v>
      </c>
      <c r="AA25" s="62">
        <f t="shared" ca="1" si="1"/>
        <v>44.699183302124595</v>
      </c>
      <c r="AB25" s="68">
        <f t="shared" ca="1" si="1"/>
        <v>44.386289104857916</v>
      </c>
    </row>
    <row r="26" spans="1:28" x14ac:dyDescent="0.35">
      <c r="B26" s="56" t="s">
        <v>133</v>
      </c>
      <c r="C26" s="7"/>
      <c r="D26" s="7"/>
      <c r="E26" s="7"/>
      <c r="F26" s="7"/>
      <c r="G26" s="7"/>
      <c r="H26" s="7"/>
      <c r="I26" s="7"/>
      <c r="J26" s="7"/>
      <c r="K26" s="7"/>
      <c r="L26" s="7"/>
      <c r="M26" s="7"/>
      <c r="N26" s="7"/>
      <c r="O26" s="7"/>
      <c r="P26" s="7"/>
      <c r="Q26" s="7"/>
      <c r="R26" s="7"/>
      <c r="S26" s="7"/>
      <c r="T26" s="7"/>
      <c r="U26" s="7"/>
      <c r="V26" s="7"/>
      <c r="W26" s="7"/>
      <c r="X26" s="7"/>
      <c r="Y26" s="7"/>
      <c r="Z26" s="7"/>
      <c r="AA26" s="7"/>
      <c r="AB26" s="57"/>
    </row>
    <row r="27" spans="1:28" x14ac:dyDescent="0.35">
      <c r="B27" s="54" t="s">
        <v>163</v>
      </c>
      <c r="C27" t="s">
        <v>75</v>
      </c>
      <c r="D27" s="12">
        <f ca="1">Determination_of_Tariff!$B$23</f>
        <v>3.9996371423872583</v>
      </c>
      <c r="E27" s="12">
        <f ca="1">Determination_of_Tariff!$B$23</f>
        <v>3.9996371423872583</v>
      </c>
      <c r="F27" s="12">
        <f ca="1">Determination_of_Tariff!$B$23</f>
        <v>3.9996371423872583</v>
      </c>
      <c r="G27" s="12">
        <f ca="1">Determination_of_Tariff!$B$23</f>
        <v>3.9996371423872583</v>
      </c>
      <c r="H27" s="12">
        <f ca="1">Determination_of_Tariff!$B$23</f>
        <v>3.9996371423872583</v>
      </c>
      <c r="I27" s="12">
        <f ca="1">Determination_of_Tariff!$B$23</f>
        <v>3.9996371423872583</v>
      </c>
      <c r="J27" s="12">
        <f ca="1">Determination_of_Tariff!$B$23</f>
        <v>3.9996371423872583</v>
      </c>
      <c r="K27" s="12">
        <f ca="1">Determination_of_Tariff!$B$23</f>
        <v>3.9996371423872583</v>
      </c>
      <c r="L27" s="12">
        <f ca="1">Determination_of_Tariff!$B$23</f>
        <v>3.9996371423872583</v>
      </c>
      <c r="M27" s="12">
        <f ca="1">Determination_of_Tariff!$B$23</f>
        <v>3.9996371423872583</v>
      </c>
      <c r="N27" s="12">
        <f ca="1">Determination_of_Tariff!$B$23</f>
        <v>3.9996371423872583</v>
      </c>
      <c r="O27" s="12">
        <f ca="1">Determination_of_Tariff!$B$23</f>
        <v>3.9996371423872583</v>
      </c>
      <c r="P27" s="12">
        <f ca="1">Determination_of_Tariff!$B$23</f>
        <v>3.9996371423872583</v>
      </c>
      <c r="Q27" s="12">
        <f ca="1">Determination_of_Tariff!$B$23</f>
        <v>3.9996371423872583</v>
      </c>
      <c r="R27" s="12">
        <f ca="1">Determination_of_Tariff!$B$23</f>
        <v>3.9996371423872583</v>
      </c>
      <c r="S27" s="12">
        <f ca="1">Determination_of_Tariff!$B$23</f>
        <v>3.9996371423872583</v>
      </c>
      <c r="T27" s="12">
        <f ca="1">Determination_of_Tariff!$B$23</f>
        <v>3.9996371423872583</v>
      </c>
      <c r="U27" s="12">
        <f ca="1">Determination_of_Tariff!$B$23</f>
        <v>3.9996371423872583</v>
      </c>
      <c r="V27" s="12">
        <f ca="1">Determination_of_Tariff!$B$23</f>
        <v>3.9996371423872583</v>
      </c>
      <c r="W27" s="12">
        <f ca="1">Determination_of_Tariff!$B$23</f>
        <v>3.9996371423872583</v>
      </c>
      <c r="X27" s="12">
        <f ca="1">Determination_of_Tariff!$B$23</f>
        <v>3.9996371423872583</v>
      </c>
      <c r="Y27" s="12">
        <f ca="1">Determination_of_Tariff!$B$23</f>
        <v>3.9996371423872583</v>
      </c>
      <c r="Z27" s="12">
        <f ca="1">Determination_of_Tariff!$B$23</f>
        <v>3.9996371423872583</v>
      </c>
      <c r="AA27" s="12">
        <f ca="1">Determination_of_Tariff!$B$23</f>
        <v>3.9996371423872583</v>
      </c>
      <c r="AB27" s="12">
        <f ca="1">Determination_of_Tariff!$B$23</f>
        <v>3.9996371423872583</v>
      </c>
    </row>
    <row r="28" spans="1:28" x14ac:dyDescent="0.35">
      <c r="B28" s="54" t="s">
        <v>162</v>
      </c>
      <c r="C28" t="s">
        <v>165</v>
      </c>
      <c r="D28" s="12">
        <f ca="1">D27*D20</f>
        <v>47.29970884587172</v>
      </c>
      <c r="E28" s="12">
        <f t="shared" ref="E28:AB28" ca="1" si="2">E27*E20</f>
        <v>46.968610883950625</v>
      </c>
      <c r="F28" s="12">
        <f t="shared" ca="1" si="2"/>
        <v>46.639830607762974</v>
      </c>
      <c r="G28" s="12">
        <f t="shared" ca="1" si="2"/>
        <v>46.476591200635795</v>
      </c>
      <c r="H28" s="12">
        <f t="shared" ca="1" si="2"/>
        <v>46.232874765794925</v>
      </c>
      <c r="I28" s="12">
        <f t="shared" ca="1" si="2"/>
        <v>45.950054494216161</v>
      </c>
      <c r="J28" s="12">
        <f t="shared" ca="1" si="2"/>
        <v>45.648809038647542</v>
      </c>
      <c r="K28" s="12">
        <f t="shared" ca="1" si="2"/>
        <v>45.339469838322458</v>
      </c>
      <c r="L28" s="12">
        <f t="shared" ca="1" si="2"/>
        <v>45.027194780926919</v>
      </c>
      <c r="M28" s="12">
        <f t="shared" ca="1" si="2"/>
        <v>44.714555033196788</v>
      </c>
      <c r="N28" s="12">
        <f t="shared" ca="1" si="2"/>
        <v>44.402828455832591</v>
      </c>
      <c r="O28" s="12">
        <f t="shared" ca="1" si="2"/>
        <v>44.092646310575851</v>
      </c>
      <c r="P28" s="12">
        <f t="shared" ca="1" si="2"/>
        <v>43.784316613368865</v>
      </c>
      <c r="Q28" s="12">
        <f t="shared" ca="1" si="2"/>
        <v>43.477985810558806</v>
      </c>
      <c r="R28" s="12">
        <f t="shared" ca="1" si="2"/>
        <v>43.173719616626656</v>
      </c>
      <c r="S28" s="12">
        <f t="shared" ca="1" si="2"/>
        <v>42.87154343268115</v>
      </c>
      <c r="T28" s="12">
        <f t="shared" ca="1" si="2"/>
        <v>42.571462555337824</v>
      </c>
      <c r="U28" s="12">
        <f t="shared" ca="1" si="2"/>
        <v>42.273472280793179</v>
      </c>
      <c r="V28" s="12">
        <f t="shared" ca="1" si="2"/>
        <v>41.977562956498986</v>
      </c>
      <c r="W28" s="12">
        <f t="shared" ca="1" si="2"/>
        <v>41.683722506639171</v>
      </c>
      <c r="X28" s="12">
        <f t="shared" ca="1" si="2"/>
        <v>41.391937694510531</v>
      </c>
      <c r="Y28" s="12">
        <f t="shared" ca="1" si="2"/>
        <v>41.102194753357878</v>
      </c>
      <c r="Z28" s="12">
        <f t="shared" ca="1" si="2"/>
        <v>40.814479701438842</v>
      </c>
      <c r="AA28" s="12">
        <f t="shared" ca="1" si="2"/>
        <v>40.528778499205991</v>
      </c>
      <c r="AB28" s="58">
        <f t="shared" ca="1" si="2"/>
        <v>40.245077127550168</v>
      </c>
    </row>
    <row r="29" spans="1:28" ht="15" thickBot="1" x14ac:dyDescent="0.4">
      <c r="B29" s="67" t="s">
        <v>140</v>
      </c>
      <c r="C29" s="61"/>
      <c r="D29" s="62">
        <f ca="1">D28</f>
        <v>47.29970884587172</v>
      </c>
      <c r="E29" s="62">
        <f t="shared" ref="E29:AB29" ca="1" si="3">E28</f>
        <v>46.968610883950625</v>
      </c>
      <c r="F29" s="62">
        <f t="shared" ca="1" si="3"/>
        <v>46.639830607762974</v>
      </c>
      <c r="G29" s="62">
        <f t="shared" ca="1" si="3"/>
        <v>46.476591200635795</v>
      </c>
      <c r="H29" s="62">
        <f t="shared" ca="1" si="3"/>
        <v>46.232874765794925</v>
      </c>
      <c r="I29" s="62">
        <f t="shared" ca="1" si="3"/>
        <v>45.950054494216161</v>
      </c>
      <c r="J29" s="62">
        <f t="shared" ca="1" si="3"/>
        <v>45.648809038647542</v>
      </c>
      <c r="K29" s="62">
        <f t="shared" ca="1" si="3"/>
        <v>45.339469838322458</v>
      </c>
      <c r="L29" s="62">
        <f t="shared" ca="1" si="3"/>
        <v>45.027194780926919</v>
      </c>
      <c r="M29" s="62">
        <f t="shared" ca="1" si="3"/>
        <v>44.714555033196788</v>
      </c>
      <c r="N29" s="62">
        <f t="shared" ca="1" si="3"/>
        <v>44.402828455832591</v>
      </c>
      <c r="O29" s="62">
        <f t="shared" ca="1" si="3"/>
        <v>44.092646310575851</v>
      </c>
      <c r="P29" s="62">
        <f t="shared" ca="1" si="3"/>
        <v>43.784316613368865</v>
      </c>
      <c r="Q29" s="62">
        <f t="shared" ca="1" si="3"/>
        <v>43.477985810558806</v>
      </c>
      <c r="R29" s="62">
        <f t="shared" ca="1" si="3"/>
        <v>43.173719616626656</v>
      </c>
      <c r="S29" s="62">
        <f t="shared" ca="1" si="3"/>
        <v>42.87154343268115</v>
      </c>
      <c r="T29" s="62">
        <f t="shared" ca="1" si="3"/>
        <v>42.571462555337824</v>
      </c>
      <c r="U29" s="62">
        <f t="shared" ca="1" si="3"/>
        <v>42.273472280793179</v>
      </c>
      <c r="V29" s="62">
        <f t="shared" ca="1" si="3"/>
        <v>41.977562956498986</v>
      </c>
      <c r="W29" s="62">
        <f t="shared" ca="1" si="3"/>
        <v>41.683722506639171</v>
      </c>
      <c r="X29" s="62">
        <f t="shared" ca="1" si="3"/>
        <v>41.391937694510531</v>
      </c>
      <c r="Y29" s="62">
        <f t="shared" ca="1" si="3"/>
        <v>41.102194753357878</v>
      </c>
      <c r="Z29" s="62">
        <f t="shared" ca="1" si="3"/>
        <v>40.814479701438842</v>
      </c>
      <c r="AA29" s="62">
        <f t="shared" ca="1" si="3"/>
        <v>40.528778499205991</v>
      </c>
      <c r="AB29" s="68">
        <f t="shared" ca="1" si="3"/>
        <v>40.245077127550168</v>
      </c>
    </row>
    <row r="30" spans="1:28" x14ac:dyDescent="0.35">
      <c r="B30" s="56" t="s">
        <v>134</v>
      </c>
      <c r="C30" s="7"/>
      <c r="D30" s="44"/>
      <c r="E30" s="44"/>
      <c r="F30" s="44"/>
      <c r="G30" s="44"/>
      <c r="H30" s="44"/>
      <c r="I30" s="44"/>
      <c r="J30" s="44"/>
      <c r="K30" s="44"/>
      <c r="L30" s="44"/>
      <c r="M30" s="44"/>
      <c r="N30" s="44"/>
      <c r="O30" s="44"/>
      <c r="P30" s="44"/>
      <c r="Q30" s="44"/>
      <c r="R30" s="44"/>
      <c r="S30" s="44"/>
      <c r="T30" s="44"/>
      <c r="U30" s="44"/>
      <c r="V30" s="44"/>
      <c r="W30" s="44"/>
      <c r="X30" s="44"/>
      <c r="Y30" s="44"/>
      <c r="Z30" s="44"/>
      <c r="AA30" s="44"/>
      <c r="AB30" s="59"/>
    </row>
    <row r="31" spans="1:28" x14ac:dyDescent="0.35">
      <c r="B31" s="54" t="s">
        <v>164</v>
      </c>
      <c r="C31" t="s">
        <v>160</v>
      </c>
      <c r="D31" s="12">
        <f>$K$6</f>
        <v>7.06</v>
      </c>
      <c r="E31" s="12">
        <f t="shared" ref="E31:AB31" si="4">$K$6</f>
        <v>7.06</v>
      </c>
      <c r="F31" s="12">
        <f t="shared" si="4"/>
        <v>7.06</v>
      </c>
      <c r="G31" s="12">
        <f t="shared" si="4"/>
        <v>7.06</v>
      </c>
      <c r="H31" s="12">
        <f t="shared" si="4"/>
        <v>7.06</v>
      </c>
      <c r="I31" s="12">
        <f t="shared" si="4"/>
        <v>7.06</v>
      </c>
      <c r="J31" s="12">
        <f t="shared" si="4"/>
        <v>7.06</v>
      </c>
      <c r="K31" s="12">
        <f t="shared" si="4"/>
        <v>7.06</v>
      </c>
      <c r="L31" s="12">
        <f t="shared" si="4"/>
        <v>7.06</v>
      </c>
      <c r="M31" s="12">
        <f t="shared" si="4"/>
        <v>7.06</v>
      </c>
      <c r="N31" s="12">
        <f t="shared" si="4"/>
        <v>7.06</v>
      </c>
      <c r="O31" s="12">
        <f t="shared" si="4"/>
        <v>7.06</v>
      </c>
      <c r="P31" s="12">
        <f t="shared" si="4"/>
        <v>7.06</v>
      </c>
      <c r="Q31" s="12">
        <f t="shared" si="4"/>
        <v>7.06</v>
      </c>
      <c r="R31" s="12">
        <f t="shared" si="4"/>
        <v>7.06</v>
      </c>
      <c r="S31" s="12">
        <f t="shared" si="4"/>
        <v>7.06</v>
      </c>
      <c r="T31" s="12">
        <f t="shared" si="4"/>
        <v>7.06</v>
      </c>
      <c r="U31" s="12">
        <f t="shared" si="4"/>
        <v>7.06</v>
      </c>
      <c r="V31" s="12">
        <f t="shared" si="4"/>
        <v>7.06</v>
      </c>
      <c r="W31" s="12">
        <f t="shared" si="4"/>
        <v>7.06</v>
      </c>
      <c r="X31" s="12">
        <f t="shared" si="4"/>
        <v>7.06</v>
      </c>
      <c r="Y31" s="12">
        <f t="shared" si="4"/>
        <v>7.06</v>
      </c>
      <c r="Z31" s="12">
        <f t="shared" si="4"/>
        <v>7.06</v>
      </c>
      <c r="AA31" s="12">
        <f t="shared" si="4"/>
        <v>7.06</v>
      </c>
      <c r="AB31" s="58">
        <f t="shared" si="4"/>
        <v>7.06</v>
      </c>
    </row>
    <row r="32" spans="1:28" x14ac:dyDescent="0.35">
      <c r="B32" s="54" t="s">
        <v>162</v>
      </c>
      <c r="C32" t="s">
        <v>165</v>
      </c>
      <c r="D32" s="12">
        <f>D31*D20</f>
        <v>83.491559999999993</v>
      </c>
      <c r="E32" s="12">
        <f t="shared" ref="E32:AB32" si="5">E31*E20</f>
        <v>82.907119080000015</v>
      </c>
      <c r="F32" s="12">
        <f t="shared" si="5"/>
        <v>82.326769246440008</v>
      </c>
      <c r="G32" s="12">
        <f t="shared" si="5"/>
        <v>82.03862555407747</v>
      </c>
      <c r="H32" s="12">
        <f t="shared" si="5"/>
        <v>81.60842702138018</v>
      </c>
      <c r="I32" s="12">
        <f t="shared" si="5"/>
        <v>81.109203955321163</v>
      </c>
      <c r="J32" s="12">
        <f t="shared" si="5"/>
        <v>80.577457489179238</v>
      </c>
      <c r="K32" s="12">
        <f t="shared" si="5"/>
        <v>80.031424267527655</v>
      </c>
      <c r="L32" s="12">
        <f t="shared" si="5"/>
        <v>79.480208788041267</v>
      </c>
      <c r="M32" s="12">
        <f t="shared" si="5"/>
        <v>78.92834957171813</v>
      </c>
      <c r="N32" s="12">
        <f t="shared" si="5"/>
        <v>78.378102247312697</v>
      </c>
      <c r="O32" s="12">
        <f t="shared" si="5"/>
        <v>77.830581092879783</v>
      </c>
      <c r="P32" s="12">
        <f t="shared" si="5"/>
        <v>77.286329805878779</v>
      </c>
      <c r="Q32" s="12">
        <f t="shared" si="5"/>
        <v>76.745606887562204</v>
      </c>
      <c r="R32" s="12">
        <f t="shared" si="5"/>
        <v>76.208528334511541</v>
      </c>
      <c r="S32" s="12">
        <f t="shared" si="5"/>
        <v>75.675138983751111</v>
      </c>
      <c r="T32" s="12">
        <f t="shared" si="5"/>
        <v>75.145448184655422</v>
      </c>
      <c r="U32" s="12">
        <f t="shared" si="5"/>
        <v>74.619447634258137</v>
      </c>
      <c r="V32" s="12">
        <f t="shared" si="5"/>
        <v>74.097120294265963</v>
      </c>
      <c r="W32" s="12">
        <f t="shared" si="5"/>
        <v>73.578444848929919</v>
      </c>
      <c r="X32" s="12">
        <f t="shared" si="5"/>
        <v>73.063397933349307</v>
      </c>
      <c r="Y32" s="12">
        <f t="shared" si="5"/>
        <v>72.551955246996826</v>
      </c>
      <c r="Z32" s="12">
        <f t="shared" si="5"/>
        <v>72.044092109858326</v>
      </c>
      <c r="AA32" s="12">
        <f t="shared" si="5"/>
        <v>71.539783739884555</v>
      </c>
      <c r="AB32" s="58">
        <f t="shared" si="5"/>
        <v>71.039005391102975</v>
      </c>
    </row>
    <row r="33" spans="1:29" ht="15" thickBot="1" x14ac:dyDescent="0.4">
      <c r="B33" s="63" t="s">
        <v>141</v>
      </c>
      <c r="C33" s="64"/>
      <c r="D33" s="65">
        <f>D32</f>
        <v>83.491559999999993</v>
      </c>
      <c r="E33" s="65">
        <f t="shared" ref="E33:AB33" si="6">E32</f>
        <v>82.907119080000015</v>
      </c>
      <c r="F33" s="65">
        <f t="shared" si="6"/>
        <v>82.326769246440008</v>
      </c>
      <c r="G33" s="65">
        <f t="shared" si="6"/>
        <v>82.03862555407747</v>
      </c>
      <c r="H33" s="65">
        <f t="shared" si="6"/>
        <v>81.60842702138018</v>
      </c>
      <c r="I33" s="65">
        <f t="shared" si="6"/>
        <v>81.109203955321163</v>
      </c>
      <c r="J33" s="65">
        <f t="shared" si="6"/>
        <v>80.577457489179238</v>
      </c>
      <c r="K33" s="65">
        <f t="shared" si="6"/>
        <v>80.031424267527655</v>
      </c>
      <c r="L33" s="65">
        <f t="shared" si="6"/>
        <v>79.480208788041267</v>
      </c>
      <c r="M33" s="65">
        <f t="shared" si="6"/>
        <v>78.92834957171813</v>
      </c>
      <c r="N33" s="65">
        <f t="shared" si="6"/>
        <v>78.378102247312697</v>
      </c>
      <c r="O33" s="65">
        <f t="shared" si="6"/>
        <v>77.830581092879783</v>
      </c>
      <c r="P33" s="65">
        <f t="shared" si="6"/>
        <v>77.286329805878779</v>
      </c>
      <c r="Q33" s="65">
        <f t="shared" si="6"/>
        <v>76.745606887562204</v>
      </c>
      <c r="R33" s="65">
        <f t="shared" si="6"/>
        <v>76.208528334511541</v>
      </c>
      <c r="S33" s="65">
        <f t="shared" si="6"/>
        <v>75.675138983751111</v>
      </c>
      <c r="T33" s="65">
        <f t="shared" si="6"/>
        <v>75.145448184655422</v>
      </c>
      <c r="U33" s="65">
        <f t="shared" si="6"/>
        <v>74.619447634258137</v>
      </c>
      <c r="V33" s="65">
        <f t="shared" si="6"/>
        <v>74.097120294265963</v>
      </c>
      <c r="W33" s="65">
        <f t="shared" si="6"/>
        <v>73.578444848929919</v>
      </c>
      <c r="X33" s="65">
        <f t="shared" si="6"/>
        <v>73.063397933349307</v>
      </c>
      <c r="Y33" s="65">
        <f t="shared" si="6"/>
        <v>72.551955246996826</v>
      </c>
      <c r="Z33" s="65">
        <f t="shared" si="6"/>
        <v>72.044092109858326</v>
      </c>
      <c r="AA33" s="65">
        <f t="shared" si="6"/>
        <v>71.539783739884555</v>
      </c>
      <c r="AB33" s="66">
        <f t="shared" si="6"/>
        <v>71.039005391102975</v>
      </c>
    </row>
    <row r="34" spans="1:29" x14ac:dyDescent="0.35">
      <c r="B34" s="1"/>
      <c r="D34" s="12"/>
      <c r="E34" s="12"/>
      <c r="F34" s="12"/>
      <c r="G34" s="12"/>
      <c r="H34" s="12"/>
      <c r="I34" s="12"/>
      <c r="J34" s="12"/>
      <c r="K34" s="12"/>
      <c r="L34" s="12"/>
      <c r="M34" s="12"/>
      <c r="N34" s="12"/>
      <c r="O34" s="12"/>
      <c r="P34" s="12"/>
      <c r="Q34" s="12"/>
      <c r="R34" s="12"/>
      <c r="S34" s="12"/>
      <c r="T34" s="12"/>
      <c r="U34" s="12"/>
      <c r="V34" s="12"/>
      <c r="W34" s="12"/>
      <c r="X34" s="12"/>
      <c r="Y34" s="12"/>
      <c r="Z34" s="12"/>
      <c r="AA34" s="12"/>
      <c r="AB34" s="12"/>
      <c r="AC34" s="48"/>
    </row>
    <row r="35" spans="1:29" ht="15" thickBot="1" x14ac:dyDescent="0.4">
      <c r="D35" s="12"/>
      <c r="E35" s="12"/>
      <c r="F35" s="12"/>
      <c r="G35" s="12"/>
      <c r="H35" s="12"/>
      <c r="I35" s="12"/>
      <c r="J35" s="12"/>
      <c r="K35" s="12"/>
      <c r="L35" s="12"/>
      <c r="M35" s="12"/>
      <c r="N35" s="12"/>
      <c r="O35" s="12"/>
      <c r="P35" s="12"/>
      <c r="Q35" s="12"/>
      <c r="R35" s="12"/>
      <c r="S35" s="12"/>
      <c r="T35" s="12"/>
      <c r="U35" s="12"/>
      <c r="V35" s="12"/>
      <c r="W35" s="12"/>
      <c r="X35" s="12"/>
      <c r="Y35" s="12"/>
      <c r="Z35" s="12"/>
      <c r="AA35" s="12"/>
      <c r="AB35" s="12"/>
    </row>
    <row r="36" spans="1:29" x14ac:dyDescent="0.35">
      <c r="A36" s="83" t="s">
        <v>185</v>
      </c>
      <c r="B36" s="39" t="s">
        <v>142</v>
      </c>
      <c r="C36" s="7"/>
      <c r="D36" s="44"/>
      <c r="E36" s="44"/>
      <c r="F36" s="44"/>
      <c r="G36" s="44"/>
      <c r="H36" s="44"/>
      <c r="I36" s="44"/>
      <c r="J36" s="44"/>
      <c r="K36" s="44"/>
      <c r="L36" s="44"/>
      <c r="M36" s="44"/>
      <c r="N36" s="44"/>
      <c r="O36" s="44"/>
      <c r="P36" s="44"/>
      <c r="Q36" s="44"/>
      <c r="R36" s="44"/>
      <c r="S36" s="44"/>
      <c r="T36" s="44"/>
      <c r="U36" s="44"/>
      <c r="V36" s="44"/>
      <c r="W36" s="44"/>
      <c r="X36" s="44"/>
      <c r="Y36" s="44"/>
      <c r="Z36" s="44"/>
      <c r="AA36" s="44"/>
      <c r="AB36" s="45"/>
    </row>
    <row r="37" spans="1:29" x14ac:dyDescent="0.35">
      <c r="B37" s="43" t="s">
        <v>71</v>
      </c>
      <c r="C37" s="8"/>
      <c r="D37" s="46">
        <v>1</v>
      </c>
      <c r="E37" s="46">
        <v>2</v>
      </c>
      <c r="F37" s="46">
        <v>3</v>
      </c>
      <c r="G37" s="46">
        <v>4</v>
      </c>
      <c r="H37" s="46">
        <v>5</v>
      </c>
      <c r="I37" s="46">
        <v>6</v>
      </c>
      <c r="J37" s="46">
        <v>7</v>
      </c>
      <c r="K37" s="46">
        <v>8</v>
      </c>
      <c r="L37" s="46">
        <v>9</v>
      </c>
      <c r="M37" s="46">
        <v>10</v>
      </c>
      <c r="N37" s="46">
        <v>11</v>
      </c>
      <c r="O37" s="46">
        <v>12</v>
      </c>
      <c r="P37" s="46">
        <v>13</v>
      </c>
      <c r="Q37" s="46">
        <v>14</v>
      </c>
      <c r="R37" s="46">
        <v>15</v>
      </c>
      <c r="S37" s="46">
        <v>16</v>
      </c>
      <c r="T37" s="46">
        <v>17</v>
      </c>
      <c r="U37" s="46">
        <v>18</v>
      </c>
      <c r="V37" s="46">
        <v>19</v>
      </c>
      <c r="W37" s="46">
        <v>20</v>
      </c>
      <c r="X37" s="46">
        <v>21</v>
      </c>
      <c r="Y37" s="46">
        <v>22</v>
      </c>
      <c r="Z37" s="46">
        <v>23</v>
      </c>
      <c r="AA37" s="46">
        <v>24</v>
      </c>
      <c r="AB37" s="47">
        <v>25</v>
      </c>
    </row>
    <row r="38" spans="1:29" x14ac:dyDescent="0.35">
      <c r="B38" s="19" t="s">
        <v>166</v>
      </c>
      <c r="C38" t="s">
        <v>165</v>
      </c>
      <c r="D38" s="12">
        <f>Determination_of_Tariff!D9</f>
        <v>4</v>
      </c>
      <c r="E38" s="12">
        <f>Determination_of_Tariff!E9</f>
        <v>4.2287999999999997</v>
      </c>
      <c r="F38" s="12">
        <f>Determination_of_Tariff!F9</f>
        <v>4.4706873599999994</v>
      </c>
      <c r="G38" s="12">
        <f>Determination_of_Tariff!G9</f>
        <v>4.7264106769919989</v>
      </c>
      <c r="H38" s="12">
        <f>Determination_of_Tariff!H9</f>
        <v>4.9967613677159406</v>
      </c>
      <c r="I38" s="12">
        <f>Determination_of_Tariff!I9</f>
        <v>5.2825761179492918</v>
      </c>
      <c r="J38" s="12">
        <f>Determination_of_Tariff!J9</f>
        <v>5.5847394718959906</v>
      </c>
      <c r="K38" s="12">
        <f>Determination_of_Tariff!K9</f>
        <v>5.9041865696884406</v>
      </c>
      <c r="L38" s="12">
        <f>Determination_of_Tariff!L9</f>
        <v>6.2419060414746186</v>
      </c>
      <c r="M38" s="12">
        <f>Determination_of_Tariff!M9</f>
        <v>6.5989430670469664</v>
      </c>
      <c r="N38" s="12">
        <f>Determination_of_Tariff!N9</f>
        <v>6.9764026104820527</v>
      </c>
      <c r="O38" s="12">
        <f>Determination_of_Tariff!O9</f>
        <v>7.3754528398016257</v>
      </c>
      <c r="P38" s="12">
        <f>Determination_of_Tariff!P9</f>
        <v>7.7973287422382782</v>
      </c>
      <c r="Q38" s="12">
        <f>Determination_of_Tariff!Q9</f>
        <v>8.243335946294307</v>
      </c>
      <c r="R38" s="12">
        <f>Determination_of_Tariff!R9</f>
        <v>8.7148547624223411</v>
      </c>
      <c r="S38" s="12">
        <f>Determination_of_Tariff!S9</f>
        <v>9.2133444548328978</v>
      </c>
      <c r="T38" s="12">
        <f>Determination_of_Tariff!T9</f>
        <v>9.7403477576493387</v>
      </c>
      <c r="U38" s="12">
        <f>Determination_of_Tariff!U9</f>
        <v>10.29749564938688</v>
      </c>
      <c r="V38" s="12">
        <f>Determination_of_Tariff!V9</f>
        <v>10.886512400531808</v>
      </c>
      <c r="W38" s="12">
        <f>Determination_of_Tariff!W9</f>
        <v>11.509220909842227</v>
      </c>
      <c r="X38" s="12">
        <f>Determination_of_Tariff!X9</f>
        <v>12.167548345885201</v>
      </c>
      <c r="Y38" s="12">
        <f>Determination_of_Tariff!Y9</f>
        <v>12.863532111269834</v>
      </c>
      <c r="Z38" s="12">
        <f>Determination_of_Tariff!Z9</f>
        <v>13.599326148034468</v>
      </c>
      <c r="AA38" s="12">
        <f>Determination_of_Tariff!AA9</f>
        <v>14.377207603702038</v>
      </c>
      <c r="AB38" s="12">
        <f>Determination_of_Tariff!AB9</f>
        <v>15.199583878633794</v>
      </c>
    </row>
    <row r="39" spans="1:29" x14ac:dyDescent="0.35">
      <c r="B39" s="19" t="s">
        <v>300</v>
      </c>
      <c r="C39" t="s">
        <v>165</v>
      </c>
      <c r="D39" s="12">
        <f>Determination_of_Tariff!D14</f>
        <v>0</v>
      </c>
      <c r="E39" s="12">
        <f>Determination_of_Tariff!E14</f>
        <v>0</v>
      </c>
      <c r="F39" s="12">
        <f>Determination_of_Tariff!F14</f>
        <v>0</v>
      </c>
      <c r="G39" s="12">
        <f>Determination_of_Tariff!G14</f>
        <v>0</v>
      </c>
      <c r="H39" s="12">
        <f>Determination_of_Tariff!H14</f>
        <v>0</v>
      </c>
      <c r="I39" s="12">
        <f>Determination_of_Tariff!I14</f>
        <v>0</v>
      </c>
      <c r="J39" s="12">
        <f>Determination_of_Tariff!J14</f>
        <v>0</v>
      </c>
      <c r="K39" s="12">
        <f>Determination_of_Tariff!K14</f>
        <v>0</v>
      </c>
      <c r="L39" s="12">
        <f>Determination_of_Tariff!L14</f>
        <v>0</v>
      </c>
      <c r="M39" s="12">
        <f>Determination_of_Tariff!M14</f>
        <v>0</v>
      </c>
      <c r="N39" s="12">
        <f>Determination_of_Tariff!N14</f>
        <v>0</v>
      </c>
      <c r="O39" s="12">
        <f>Determination_of_Tariff!O14</f>
        <v>0</v>
      </c>
      <c r="P39" s="12">
        <f>Determination_of_Tariff!P14</f>
        <v>0</v>
      </c>
      <c r="Q39" s="12">
        <f>Determination_of_Tariff!Q14</f>
        <v>0</v>
      </c>
      <c r="R39" s="12">
        <f>Determination_of_Tariff!R14</f>
        <v>0</v>
      </c>
      <c r="S39" s="12">
        <f>Determination_of_Tariff!S14</f>
        <v>0</v>
      </c>
      <c r="T39" s="12">
        <f>Determination_of_Tariff!T14</f>
        <v>0</v>
      </c>
      <c r="U39" s="12">
        <f>Determination_of_Tariff!U14</f>
        <v>0</v>
      </c>
      <c r="V39" s="12">
        <f>Determination_of_Tariff!V14</f>
        <v>0</v>
      </c>
      <c r="W39" s="12">
        <f>Determination_of_Tariff!W14</f>
        <v>0</v>
      </c>
      <c r="X39" s="12">
        <f>Determination_of_Tariff!X14</f>
        <v>0</v>
      </c>
      <c r="Y39" s="12">
        <f>Determination_of_Tariff!Y14</f>
        <v>0</v>
      </c>
      <c r="Z39" s="12">
        <f>Determination_of_Tariff!Z14</f>
        <v>0</v>
      </c>
      <c r="AA39" s="12">
        <f>Determination_of_Tariff!AA14</f>
        <v>0</v>
      </c>
      <c r="AB39" s="12">
        <f>Determination_of_Tariff!AB14</f>
        <v>0</v>
      </c>
    </row>
    <row r="40" spans="1:29" x14ac:dyDescent="0.35">
      <c r="B40" s="19" t="str">
        <f>Determination_of_Tariff!A15</f>
        <v xml:space="preserve">INSURANCE </v>
      </c>
      <c r="C40" t="s">
        <v>165</v>
      </c>
      <c r="D40" s="12">
        <f>Determination_of_Tariff!D15</f>
        <v>1.2250000000000001</v>
      </c>
      <c r="E40" s="12">
        <f>Determination_of_Tariff!E15</f>
        <v>1.15687845</v>
      </c>
      <c r="F40" s="12">
        <f>Determination_of_Tariff!F15</f>
        <v>1.0852569000000001</v>
      </c>
      <c r="G40" s="12">
        <f>Determination_of_Tariff!G15</f>
        <v>1.0136353499999999</v>
      </c>
      <c r="H40" s="12">
        <f>Determination_of_Tariff!H15</f>
        <v>0.94201380000000001</v>
      </c>
      <c r="I40" s="12">
        <f>Determination_of_Tariff!I15</f>
        <v>0.87039224999999998</v>
      </c>
      <c r="J40" s="12">
        <f>Determination_of_Tariff!J15</f>
        <v>0.79877069999999994</v>
      </c>
      <c r="K40" s="12">
        <f>Determination_of_Tariff!K15</f>
        <v>0.72714914999999991</v>
      </c>
      <c r="L40" s="12">
        <f>Determination_of_Tariff!L15</f>
        <v>0.65552759999999988</v>
      </c>
      <c r="M40" s="12">
        <f>Determination_of_Tariff!M15</f>
        <v>0.58390604999999984</v>
      </c>
      <c r="N40" s="12">
        <f>Determination_of_Tariff!N15</f>
        <v>0.51228449999999992</v>
      </c>
      <c r="O40" s="12">
        <f>Determination_of_Tariff!O15</f>
        <v>0.44066294999999989</v>
      </c>
      <c r="P40" s="12">
        <f>Determination_of_Tariff!P15</f>
        <v>0.36904139999999985</v>
      </c>
      <c r="Q40" s="12">
        <f>Determination_of_Tariff!Q15</f>
        <v>0.29741984999999982</v>
      </c>
      <c r="R40" s="12">
        <f>Determination_of_Tariff!R15</f>
        <v>0.28287236249999986</v>
      </c>
      <c r="S40" s="12">
        <f>Determination_of_Tariff!S15</f>
        <v>0.26832487499999985</v>
      </c>
      <c r="T40" s="12">
        <f>Determination_of_Tariff!T15</f>
        <v>0.25377738749999984</v>
      </c>
      <c r="U40" s="12">
        <f>Determination_of_Tariff!U15</f>
        <v>0.23922989999999986</v>
      </c>
      <c r="V40" s="12">
        <f>Determination_of_Tariff!V15</f>
        <v>0.22468241249999985</v>
      </c>
      <c r="W40" s="12">
        <f>Determination_of_Tariff!W15</f>
        <v>0.21013492499999983</v>
      </c>
      <c r="X40" s="12">
        <f>Determination_of_Tariff!X15</f>
        <v>0.19558743749999982</v>
      </c>
      <c r="Y40" s="12">
        <f>Determination_of_Tariff!Y15</f>
        <v>0.18103994999999978</v>
      </c>
      <c r="Z40" s="12">
        <f>Determination_of_Tariff!Z15</f>
        <v>0.16649246249999977</v>
      </c>
      <c r="AA40" s="12">
        <f>Determination_of_Tariff!AA15</f>
        <v>0.15194497499999976</v>
      </c>
      <c r="AB40" s="12">
        <f>Determination_of_Tariff!AB15</f>
        <v>0.13739748749999972</v>
      </c>
    </row>
    <row r="41" spans="1:29" ht="15" thickBot="1" x14ac:dyDescent="0.4">
      <c r="B41" s="60" t="s">
        <v>294</v>
      </c>
      <c r="C41" s="61" t="s">
        <v>165</v>
      </c>
      <c r="D41" s="62">
        <f>SUM(D38:D40)</f>
        <v>5.2249999999999996</v>
      </c>
      <c r="E41" s="62">
        <f t="shared" ref="E41:AB41" si="7">SUM(E38:E40)</f>
        <v>5.3856784499999995</v>
      </c>
      <c r="F41" s="62">
        <f t="shared" si="7"/>
        <v>5.5559442599999995</v>
      </c>
      <c r="G41" s="62">
        <f t="shared" si="7"/>
        <v>5.7400460269919993</v>
      </c>
      <c r="H41" s="62">
        <f t="shared" si="7"/>
        <v>5.9387751677159404</v>
      </c>
      <c r="I41" s="62">
        <f t="shared" si="7"/>
        <v>6.1529683679492919</v>
      </c>
      <c r="J41" s="62">
        <f t="shared" si="7"/>
        <v>6.3835101718959901</v>
      </c>
      <c r="K41" s="62">
        <f t="shared" si="7"/>
        <v>6.6313357196884404</v>
      </c>
      <c r="L41" s="62">
        <f t="shared" si="7"/>
        <v>6.8974336414746187</v>
      </c>
      <c r="M41" s="62">
        <f t="shared" si="7"/>
        <v>7.1828491170469659</v>
      </c>
      <c r="N41" s="62">
        <f t="shared" si="7"/>
        <v>7.4886871104820525</v>
      </c>
      <c r="O41" s="62">
        <f t="shared" si="7"/>
        <v>7.8161157898016258</v>
      </c>
      <c r="P41" s="62">
        <f t="shared" si="7"/>
        <v>8.1663701422382786</v>
      </c>
      <c r="Q41" s="62">
        <f t="shared" si="7"/>
        <v>8.5407557962943059</v>
      </c>
      <c r="R41" s="62">
        <f t="shared" si="7"/>
        <v>8.9977271249223403</v>
      </c>
      <c r="S41" s="62">
        <f t="shared" si="7"/>
        <v>9.4816693298328971</v>
      </c>
      <c r="T41" s="62">
        <f t="shared" si="7"/>
        <v>9.9941251451493383</v>
      </c>
      <c r="U41" s="62">
        <f t="shared" si="7"/>
        <v>10.53672554938688</v>
      </c>
      <c r="V41" s="62">
        <f t="shared" si="7"/>
        <v>11.111194813031808</v>
      </c>
      <c r="W41" s="62">
        <f t="shared" si="7"/>
        <v>11.719355834842228</v>
      </c>
      <c r="X41" s="62">
        <f t="shared" si="7"/>
        <v>12.363135783385202</v>
      </c>
      <c r="Y41" s="62">
        <f t="shared" si="7"/>
        <v>13.044572061269834</v>
      </c>
      <c r="Z41" s="62">
        <f t="shared" si="7"/>
        <v>13.765818610534467</v>
      </c>
      <c r="AA41" s="62">
        <f t="shared" si="7"/>
        <v>14.529152578702037</v>
      </c>
      <c r="AB41" s="62">
        <f t="shared" si="7"/>
        <v>15.336981366133793</v>
      </c>
    </row>
    <row r="42" spans="1:29" ht="15" thickBot="1" x14ac:dyDescent="0.4">
      <c r="D42" s="12"/>
      <c r="E42" s="12"/>
      <c r="F42" s="12"/>
      <c r="G42" s="12"/>
      <c r="H42" s="12"/>
      <c r="I42" s="12"/>
      <c r="J42" s="12"/>
      <c r="K42" s="12"/>
      <c r="L42" s="12"/>
      <c r="M42" s="12"/>
      <c r="N42" s="12"/>
      <c r="O42" s="12"/>
      <c r="P42" s="12"/>
      <c r="Q42" s="12"/>
      <c r="R42" s="12"/>
      <c r="S42" s="12"/>
      <c r="T42" s="12"/>
      <c r="U42" s="12"/>
      <c r="V42" s="12"/>
      <c r="W42" s="12"/>
      <c r="X42" s="12"/>
      <c r="Y42" s="12"/>
      <c r="Z42" s="12"/>
      <c r="AA42" s="12"/>
      <c r="AB42" s="12"/>
    </row>
    <row r="43" spans="1:29" x14ac:dyDescent="0.35">
      <c r="A43" s="83" t="s">
        <v>291</v>
      </c>
      <c r="B43" s="313" t="s">
        <v>298</v>
      </c>
      <c r="C43" s="7"/>
      <c r="D43" s="44">
        <f ca="1">D25-D$41</f>
        <v>46.941841294764529</v>
      </c>
      <c r="E43" s="44">
        <f t="shared" ref="E43:AB43" ca="1" si="8">E25-E$41</f>
        <v>46.415994955701187</v>
      </c>
      <c r="F43" s="44">
        <f t="shared" ca="1" si="8"/>
        <v>45.883117431861287</v>
      </c>
      <c r="G43" s="44">
        <f t="shared" ca="1" si="8"/>
        <v>45.518978948947762</v>
      </c>
      <c r="H43" s="44">
        <f t="shared" ca="1" si="8"/>
        <v>45.051454991352998</v>
      </c>
      <c r="I43" s="44">
        <f t="shared" ca="1" si="8"/>
        <v>44.525339358986542</v>
      </c>
      <c r="J43" s="44">
        <f t="shared" ca="1" si="8"/>
        <v>43.962553990441485</v>
      </c>
      <c r="K43" s="44">
        <f t="shared" ca="1" si="8"/>
        <v>43.373558288257769</v>
      </c>
      <c r="L43" s="44">
        <f t="shared" ca="1" si="8"/>
        <v>42.763052255788509</v>
      </c>
      <c r="M43" s="44">
        <f t="shared" ca="1" si="8"/>
        <v>42.132826452621586</v>
      </c>
      <c r="N43" s="44">
        <f t="shared" ca="1" si="8"/>
        <v>41.483185267041954</v>
      </c>
      <c r="O43" s="44">
        <f t="shared" ca="1" si="8"/>
        <v>40.813656749501277</v>
      </c>
      <c r="P43" s="44">
        <f t="shared" ca="1" si="8"/>
        <v>40.123345623500292</v>
      </c>
      <c r="Q43" s="44">
        <f t="shared" ca="1" si="8"/>
        <v>39.411107776189489</v>
      </c>
      <c r="R43" s="44">
        <f t="shared" ca="1" si="8"/>
        <v>38.61856131110676</v>
      </c>
      <c r="S43" s="44">
        <f t="shared" ca="1" si="8"/>
        <v>37.801349041420345</v>
      </c>
      <c r="T43" s="44">
        <f t="shared" ca="1" si="8"/>
        <v>36.957934074643305</v>
      </c>
      <c r="U43" s="44">
        <f t="shared" ca="1" si="8"/>
        <v>36.086680244436309</v>
      </c>
      <c r="V43" s="44">
        <f t="shared" ca="1" si="8"/>
        <v>35.185852634519165</v>
      </c>
      <c r="W43" s="44">
        <f t="shared" ca="1" si="8"/>
        <v>34.253615027718155</v>
      </c>
      <c r="X43" s="44">
        <f t="shared" ca="1" si="8"/>
        <v>33.288025656708385</v>
      </c>
      <c r="Y43" s="44">
        <f t="shared" ca="1" si="8"/>
        <v>32.287031935528674</v>
      </c>
      <c r="Z43" s="44">
        <f t="shared" ca="1" si="8"/>
        <v>31.248464501679237</v>
      </c>
      <c r="AA43" s="44">
        <f t="shared" ca="1" si="8"/>
        <v>30.170030723422556</v>
      </c>
      <c r="AB43" s="44">
        <f t="shared" ca="1" si="8"/>
        <v>29.049307738724124</v>
      </c>
    </row>
    <row r="44" spans="1:29" x14ac:dyDescent="0.35">
      <c r="A44" s="307"/>
      <c r="B44" s="19"/>
      <c r="D44" s="12">
        <f ca="1">D29-D$41</f>
        <v>42.074708845871719</v>
      </c>
      <c r="E44" s="12">
        <f t="shared" ref="E44:AB44" ca="1" si="9">E29-E$41</f>
        <v>41.582932433950624</v>
      </c>
      <c r="F44" s="12">
        <f t="shared" ca="1" si="9"/>
        <v>41.083886347762977</v>
      </c>
      <c r="G44" s="12">
        <f t="shared" ca="1" si="9"/>
        <v>40.736545173643798</v>
      </c>
      <c r="H44" s="12">
        <f t="shared" ca="1" si="9"/>
        <v>40.294099598078986</v>
      </c>
      <c r="I44" s="12">
        <f t="shared" ca="1" si="9"/>
        <v>39.797086126266869</v>
      </c>
      <c r="J44" s="12">
        <f t="shared" ca="1" si="9"/>
        <v>39.26529886675155</v>
      </c>
      <c r="K44" s="12">
        <f t="shared" ca="1" si="9"/>
        <v>38.708134118634021</v>
      </c>
      <c r="L44" s="12">
        <f t="shared" ca="1" si="9"/>
        <v>38.129761139452299</v>
      </c>
      <c r="M44" s="12">
        <f t="shared" ca="1" si="9"/>
        <v>37.531705916149825</v>
      </c>
      <c r="N44" s="12">
        <f t="shared" ca="1" si="9"/>
        <v>36.914141345350536</v>
      </c>
      <c r="O44" s="12">
        <f t="shared" ca="1" si="9"/>
        <v>36.276530520774223</v>
      </c>
      <c r="P44" s="12">
        <f t="shared" ca="1" si="9"/>
        <v>35.617946471130587</v>
      </c>
      <c r="Q44" s="12">
        <f t="shared" ca="1" si="9"/>
        <v>34.9372300142645</v>
      </c>
      <c r="R44" s="12">
        <f t="shared" ca="1" si="9"/>
        <v>34.175992491704314</v>
      </c>
      <c r="S44" s="12">
        <f t="shared" ca="1" si="9"/>
        <v>33.389874102848253</v>
      </c>
      <c r="T44" s="12">
        <f t="shared" ca="1" si="9"/>
        <v>32.577337410188484</v>
      </c>
      <c r="U44" s="12">
        <f t="shared" ca="1" si="9"/>
        <v>31.736746731406299</v>
      </c>
      <c r="V44" s="12">
        <f t="shared" ca="1" si="9"/>
        <v>30.866368143467177</v>
      </c>
      <c r="W44" s="12">
        <f t="shared" ca="1" si="9"/>
        <v>29.964366671796945</v>
      </c>
      <c r="X44" s="12">
        <f t="shared" ca="1" si="9"/>
        <v>29.028801911125328</v>
      </c>
      <c r="Y44" s="12">
        <f t="shared" ca="1" si="9"/>
        <v>28.057622692088046</v>
      </c>
      <c r="Z44" s="12">
        <f t="shared" ca="1" si="9"/>
        <v>27.048661090904375</v>
      </c>
      <c r="AA44" s="12">
        <f t="shared" ca="1" si="9"/>
        <v>25.999625920503952</v>
      </c>
      <c r="AB44" s="12">
        <f t="shared" ca="1" si="9"/>
        <v>24.908095761416376</v>
      </c>
    </row>
    <row r="45" spans="1:29" ht="15" thickBot="1" x14ac:dyDescent="0.4">
      <c r="A45" s="307"/>
      <c r="B45" s="30"/>
      <c r="C45" s="32"/>
      <c r="D45" s="41">
        <f>D33-D$41</f>
        <v>78.266559999999998</v>
      </c>
      <c r="E45" s="41">
        <f t="shared" ref="E45:AB45" si="10">E33-E$41</f>
        <v>77.521440630000015</v>
      </c>
      <c r="F45" s="41">
        <f t="shared" si="10"/>
        <v>76.770824986440005</v>
      </c>
      <c r="G45" s="41">
        <f t="shared" si="10"/>
        <v>76.298579527085465</v>
      </c>
      <c r="H45" s="41">
        <f t="shared" si="10"/>
        <v>75.669651853664234</v>
      </c>
      <c r="I45" s="41">
        <f t="shared" si="10"/>
        <v>74.956235587371879</v>
      </c>
      <c r="J45" s="41">
        <f t="shared" si="10"/>
        <v>74.193947317283246</v>
      </c>
      <c r="K45" s="41">
        <f t="shared" si="10"/>
        <v>73.400088547839218</v>
      </c>
      <c r="L45" s="41">
        <f t="shared" si="10"/>
        <v>72.582775146566647</v>
      </c>
      <c r="M45" s="41">
        <f t="shared" si="10"/>
        <v>71.745500454671159</v>
      </c>
      <c r="N45" s="41">
        <f t="shared" si="10"/>
        <v>70.88941513683065</v>
      </c>
      <c r="O45" s="41">
        <f t="shared" si="10"/>
        <v>70.014465303078154</v>
      </c>
      <c r="P45" s="41">
        <f t="shared" si="10"/>
        <v>69.1199596636405</v>
      </c>
      <c r="Q45" s="41">
        <f t="shared" si="10"/>
        <v>68.204851091267898</v>
      </c>
      <c r="R45" s="41">
        <f t="shared" si="10"/>
        <v>67.210801209589206</v>
      </c>
      <c r="S45" s="41">
        <f t="shared" si="10"/>
        <v>66.193469653918214</v>
      </c>
      <c r="T45" s="41">
        <f t="shared" si="10"/>
        <v>65.151323039506082</v>
      </c>
      <c r="U45" s="41">
        <f t="shared" si="10"/>
        <v>64.08272208487125</v>
      </c>
      <c r="V45" s="41">
        <f t="shared" si="10"/>
        <v>62.985925481234155</v>
      </c>
      <c r="W45" s="41">
        <f t="shared" si="10"/>
        <v>61.859089014087694</v>
      </c>
      <c r="X45" s="41">
        <f t="shared" si="10"/>
        <v>60.700262149964104</v>
      </c>
      <c r="Y45" s="41">
        <f t="shared" si="10"/>
        <v>59.507383185726994</v>
      </c>
      <c r="Z45" s="41">
        <f t="shared" si="10"/>
        <v>58.278273499323859</v>
      </c>
      <c r="AA45" s="41">
        <f t="shared" si="10"/>
        <v>57.010631161182516</v>
      </c>
      <c r="AB45" s="41">
        <f t="shared" si="10"/>
        <v>55.702024024969184</v>
      </c>
    </row>
    <row r="46" spans="1:29" ht="15" thickBot="1" x14ac:dyDescent="0.4">
      <c r="A46" s="307"/>
      <c r="D46" s="12"/>
      <c r="E46" s="12"/>
      <c r="F46" s="12"/>
      <c r="G46" s="12"/>
      <c r="H46" s="12"/>
      <c r="I46" s="12"/>
      <c r="J46" s="12"/>
      <c r="K46" s="12"/>
      <c r="L46" s="12"/>
      <c r="M46" s="12"/>
      <c r="N46" s="12"/>
      <c r="O46" s="12"/>
      <c r="P46" s="12"/>
      <c r="Q46" s="12"/>
      <c r="R46" s="12"/>
      <c r="S46" s="12"/>
      <c r="T46" s="12"/>
      <c r="U46" s="12"/>
      <c r="V46" s="12"/>
      <c r="W46" s="12"/>
      <c r="X46" s="12"/>
      <c r="Y46" s="12"/>
      <c r="Z46" s="12"/>
      <c r="AA46" s="12"/>
      <c r="AB46" s="12"/>
    </row>
    <row r="47" spans="1:29" ht="15" thickBot="1" x14ac:dyDescent="0.4">
      <c r="A47" s="307"/>
      <c r="B47" s="314" t="s">
        <v>304</v>
      </c>
      <c r="C47" s="76"/>
      <c r="D47" s="305">
        <f>Determination_of_Tariff!D65</f>
        <v>18.532799999999998</v>
      </c>
      <c r="E47" s="305">
        <f>Determination_of_Tariff!E65</f>
        <v>18.532799999999998</v>
      </c>
      <c r="F47" s="305">
        <f>Determination_of_Tariff!F65</f>
        <v>18.532799999999998</v>
      </c>
      <c r="G47" s="305">
        <f>Determination_of_Tariff!G65</f>
        <v>18.532799999999998</v>
      </c>
      <c r="H47" s="305">
        <f>Determination_of_Tariff!H65</f>
        <v>18.532799999999998</v>
      </c>
      <c r="I47" s="305">
        <f>Determination_of_Tariff!I65</f>
        <v>18.532799999999998</v>
      </c>
      <c r="J47" s="305">
        <f>Determination_of_Tariff!J65</f>
        <v>18.532799999999998</v>
      </c>
      <c r="K47" s="305">
        <f>Determination_of_Tariff!K65</f>
        <v>18.532799999999998</v>
      </c>
      <c r="L47" s="305">
        <f>Determination_of_Tariff!L65</f>
        <v>18.532799999999998</v>
      </c>
      <c r="M47" s="305">
        <f>Determination_of_Tariff!M65</f>
        <v>18.532799999999998</v>
      </c>
      <c r="N47" s="305">
        <f>Determination_of_Tariff!N65</f>
        <v>18.532799999999998</v>
      </c>
      <c r="O47" s="305">
        <f>Determination_of_Tariff!O65</f>
        <v>18.532799999999998</v>
      </c>
      <c r="P47" s="305">
        <f>Determination_of_Tariff!P65</f>
        <v>18.532799999999998</v>
      </c>
      <c r="Q47" s="305">
        <f>Determination_of_Tariff!Q65</f>
        <v>18.532799999999998</v>
      </c>
      <c r="R47" s="305">
        <f>Determination_of_Tariff!R65</f>
        <v>18.532799999999998</v>
      </c>
      <c r="S47" s="305">
        <f>Determination_of_Tariff!S65</f>
        <v>18.532799999999998</v>
      </c>
      <c r="T47" s="305">
        <f>Determination_of_Tariff!T65</f>
        <v>18.532799999999998</v>
      </c>
      <c r="U47" s="305">
        <f>Determination_of_Tariff!U65</f>
        <v>0.84240000000010207</v>
      </c>
      <c r="V47" s="305">
        <f>Determination_of_Tariff!V65</f>
        <v>0</v>
      </c>
      <c r="W47" s="305">
        <f>Determination_of_Tariff!W65</f>
        <v>0</v>
      </c>
      <c r="X47" s="305">
        <f>Determination_of_Tariff!X65</f>
        <v>0</v>
      </c>
      <c r="Y47" s="305">
        <f>Determination_of_Tariff!Y65</f>
        <v>0</v>
      </c>
      <c r="Z47" s="305">
        <f>Determination_of_Tariff!Z65</f>
        <v>0</v>
      </c>
      <c r="AA47" s="305">
        <f>Determination_of_Tariff!AA65</f>
        <v>0</v>
      </c>
      <c r="AB47" s="306">
        <f>Determination_of_Tariff!AB65</f>
        <v>0</v>
      </c>
    </row>
    <row r="48" spans="1:29" ht="15" thickBot="1" x14ac:dyDescent="0.4">
      <c r="A48" s="307"/>
      <c r="B48" s="1"/>
      <c r="D48" s="12"/>
      <c r="E48" s="12"/>
      <c r="F48" s="12"/>
      <c r="G48" s="12"/>
      <c r="H48" s="12"/>
      <c r="I48" s="12"/>
      <c r="J48" s="12"/>
      <c r="K48" s="12"/>
      <c r="L48" s="12"/>
      <c r="M48" s="12"/>
      <c r="N48" s="12"/>
      <c r="O48" s="12"/>
      <c r="P48" s="12"/>
      <c r="Q48" s="12"/>
      <c r="R48" s="12"/>
      <c r="S48" s="12"/>
      <c r="T48" s="12"/>
      <c r="U48" s="12"/>
      <c r="V48" s="12"/>
      <c r="W48" s="12"/>
      <c r="X48" s="12"/>
      <c r="Y48" s="12"/>
      <c r="Z48" s="12"/>
      <c r="AA48" s="12"/>
      <c r="AB48" s="12"/>
    </row>
    <row r="49" spans="1:28" x14ac:dyDescent="0.35">
      <c r="A49" s="83" t="s">
        <v>292</v>
      </c>
      <c r="B49" s="313" t="s">
        <v>295</v>
      </c>
      <c r="C49" s="7"/>
      <c r="D49" s="44">
        <f ca="1">D43-D$47</f>
        <v>28.409041294764531</v>
      </c>
      <c r="E49" s="44">
        <f t="shared" ref="E49:AB49" ca="1" si="11">E43-E$47</f>
        <v>27.883194955701189</v>
      </c>
      <c r="F49" s="44">
        <f t="shared" ca="1" si="11"/>
        <v>27.350317431861288</v>
      </c>
      <c r="G49" s="44">
        <f t="shared" ca="1" si="11"/>
        <v>26.986178948947764</v>
      </c>
      <c r="H49" s="44">
        <f t="shared" ca="1" si="11"/>
        <v>26.518654991352999</v>
      </c>
      <c r="I49" s="44">
        <f t="shared" ca="1" si="11"/>
        <v>25.992539358986544</v>
      </c>
      <c r="J49" s="44">
        <f t="shared" ca="1" si="11"/>
        <v>25.429753990441487</v>
      </c>
      <c r="K49" s="44">
        <f t="shared" ca="1" si="11"/>
        <v>24.840758288257771</v>
      </c>
      <c r="L49" s="44">
        <f t="shared" ca="1" si="11"/>
        <v>24.23025225578851</v>
      </c>
      <c r="M49" s="44">
        <f t="shared" ca="1" si="11"/>
        <v>23.600026452621588</v>
      </c>
      <c r="N49" s="44">
        <f t="shared" ca="1" si="11"/>
        <v>22.950385267041955</v>
      </c>
      <c r="O49" s="44">
        <f t="shared" ca="1" si="11"/>
        <v>22.280856749501279</v>
      </c>
      <c r="P49" s="44">
        <f t="shared" ca="1" si="11"/>
        <v>21.590545623500294</v>
      </c>
      <c r="Q49" s="44">
        <f t="shared" ca="1" si="11"/>
        <v>20.878307776189491</v>
      </c>
      <c r="R49" s="44">
        <f t="shared" ca="1" si="11"/>
        <v>20.085761311106761</v>
      </c>
      <c r="S49" s="44">
        <f t="shared" ca="1" si="11"/>
        <v>19.268549041420346</v>
      </c>
      <c r="T49" s="44">
        <f t="shared" ca="1" si="11"/>
        <v>18.425134074643307</v>
      </c>
      <c r="U49" s="44">
        <f t="shared" ca="1" si="11"/>
        <v>35.244280244436204</v>
      </c>
      <c r="V49" s="44">
        <f t="shared" ca="1" si="11"/>
        <v>35.185852634519165</v>
      </c>
      <c r="W49" s="44">
        <f t="shared" ca="1" si="11"/>
        <v>34.253615027718155</v>
      </c>
      <c r="X49" s="44">
        <f t="shared" ca="1" si="11"/>
        <v>33.288025656708385</v>
      </c>
      <c r="Y49" s="44">
        <f t="shared" ca="1" si="11"/>
        <v>32.287031935528674</v>
      </c>
      <c r="Z49" s="44">
        <f t="shared" ca="1" si="11"/>
        <v>31.248464501679237</v>
      </c>
      <c r="AA49" s="44">
        <f t="shared" ca="1" si="11"/>
        <v>30.170030723422556</v>
      </c>
      <c r="AB49" s="44">
        <f t="shared" ca="1" si="11"/>
        <v>29.049307738724124</v>
      </c>
    </row>
    <row r="50" spans="1:28" x14ac:dyDescent="0.35">
      <c r="A50" s="307"/>
      <c r="B50" s="19"/>
      <c r="D50" s="303">
        <f ca="1">D44-D$47</f>
        <v>23.541908845871721</v>
      </c>
      <c r="E50" s="303">
        <f t="shared" ref="E50:AB50" ca="1" si="12">E44-E$47</f>
        <v>23.050132433950626</v>
      </c>
      <c r="F50" s="303">
        <f t="shared" ca="1" si="12"/>
        <v>22.551086347762979</v>
      </c>
      <c r="G50" s="303">
        <f t="shared" ca="1" si="12"/>
        <v>22.203745173643799</v>
      </c>
      <c r="H50" s="303">
        <f t="shared" ca="1" si="12"/>
        <v>21.761299598078988</v>
      </c>
      <c r="I50" s="303">
        <f t="shared" ca="1" si="12"/>
        <v>21.264286126266871</v>
      </c>
      <c r="J50" s="303">
        <f t="shared" ca="1" si="12"/>
        <v>20.732498866751552</v>
      </c>
      <c r="K50" s="303">
        <f t="shared" ca="1" si="12"/>
        <v>20.175334118634023</v>
      </c>
      <c r="L50" s="303">
        <f t="shared" ca="1" si="12"/>
        <v>19.596961139452301</v>
      </c>
      <c r="M50" s="303">
        <f t="shared" ca="1" si="12"/>
        <v>18.998905916149827</v>
      </c>
      <c r="N50" s="303">
        <f t="shared" ca="1" si="12"/>
        <v>18.381341345350538</v>
      </c>
      <c r="O50" s="303">
        <f t="shared" ca="1" si="12"/>
        <v>17.743730520774225</v>
      </c>
      <c r="P50" s="303">
        <f t="shared" ca="1" si="12"/>
        <v>17.085146471130589</v>
      </c>
      <c r="Q50" s="303">
        <f t="shared" ca="1" si="12"/>
        <v>16.404430014264502</v>
      </c>
      <c r="R50" s="303">
        <f t="shared" ca="1" si="12"/>
        <v>15.643192491704315</v>
      </c>
      <c r="S50" s="303">
        <f t="shared" ca="1" si="12"/>
        <v>14.857074102848255</v>
      </c>
      <c r="T50" s="303">
        <f t="shared" ca="1" si="12"/>
        <v>14.044537410188486</v>
      </c>
      <c r="U50" s="303">
        <f t="shared" ca="1" si="12"/>
        <v>30.894346731406198</v>
      </c>
      <c r="V50" s="303">
        <f t="shared" ca="1" si="12"/>
        <v>30.866368143467177</v>
      </c>
      <c r="W50" s="303">
        <f t="shared" ca="1" si="12"/>
        <v>29.964366671796945</v>
      </c>
      <c r="X50" s="303">
        <f t="shared" ca="1" si="12"/>
        <v>29.028801911125328</v>
      </c>
      <c r="Y50" s="303">
        <f t="shared" ca="1" si="12"/>
        <v>28.057622692088046</v>
      </c>
      <c r="Z50" s="303">
        <f t="shared" ca="1" si="12"/>
        <v>27.048661090904375</v>
      </c>
      <c r="AA50" s="303">
        <f t="shared" ca="1" si="12"/>
        <v>25.999625920503952</v>
      </c>
      <c r="AB50" s="303">
        <f t="shared" ca="1" si="12"/>
        <v>24.908095761416376</v>
      </c>
    </row>
    <row r="51" spans="1:28" ht="15" thickBot="1" x14ac:dyDescent="0.4">
      <c r="A51" s="307"/>
      <c r="B51" s="30"/>
      <c r="C51" s="32"/>
      <c r="D51" s="304">
        <f>D45-D$47</f>
        <v>59.733760000000004</v>
      </c>
      <c r="E51" s="304">
        <f t="shared" ref="E51:AB51" si="13">E45-E$47</f>
        <v>58.98864063000002</v>
      </c>
      <c r="F51" s="304">
        <f t="shared" si="13"/>
        <v>58.23802498644001</v>
      </c>
      <c r="G51" s="304">
        <f t="shared" si="13"/>
        <v>57.765779527085471</v>
      </c>
      <c r="H51" s="304">
        <f t="shared" si="13"/>
        <v>57.13685185366424</v>
      </c>
      <c r="I51" s="304">
        <f t="shared" si="13"/>
        <v>56.423435587371884</v>
      </c>
      <c r="J51" s="304">
        <f t="shared" si="13"/>
        <v>55.661147317283252</v>
      </c>
      <c r="K51" s="304">
        <f t="shared" si="13"/>
        <v>54.867288547839223</v>
      </c>
      <c r="L51" s="304">
        <f t="shared" si="13"/>
        <v>54.049975146566652</v>
      </c>
      <c r="M51" s="304">
        <f t="shared" si="13"/>
        <v>53.212700454671165</v>
      </c>
      <c r="N51" s="304">
        <f t="shared" si="13"/>
        <v>52.356615136830655</v>
      </c>
      <c r="O51" s="304">
        <f t="shared" si="13"/>
        <v>51.481665303078159</v>
      </c>
      <c r="P51" s="304">
        <f t="shared" si="13"/>
        <v>50.587159663640506</v>
      </c>
      <c r="Q51" s="304">
        <f t="shared" si="13"/>
        <v>49.672051091267903</v>
      </c>
      <c r="R51" s="304">
        <f t="shared" si="13"/>
        <v>48.678001209589212</v>
      </c>
      <c r="S51" s="304">
        <f t="shared" si="13"/>
        <v>47.66066965391822</v>
      </c>
      <c r="T51" s="304">
        <f t="shared" si="13"/>
        <v>46.618523039506087</v>
      </c>
      <c r="U51" s="304">
        <f t="shared" si="13"/>
        <v>63.240322084871146</v>
      </c>
      <c r="V51" s="304">
        <f t="shared" si="13"/>
        <v>62.985925481234155</v>
      </c>
      <c r="W51" s="304">
        <f t="shared" si="13"/>
        <v>61.859089014087694</v>
      </c>
      <c r="X51" s="304">
        <f t="shared" si="13"/>
        <v>60.700262149964104</v>
      </c>
      <c r="Y51" s="304">
        <f t="shared" si="13"/>
        <v>59.507383185726994</v>
      </c>
      <c r="Z51" s="304">
        <f t="shared" si="13"/>
        <v>58.278273499323859</v>
      </c>
      <c r="AA51" s="304">
        <f t="shared" si="13"/>
        <v>57.010631161182516</v>
      </c>
      <c r="AB51" s="304">
        <f t="shared" si="13"/>
        <v>55.702024024969184</v>
      </c>
    </row>
    <row r="52" spans="1:28" ht="15" thickBot="1" x14ac:dyDescent="0.4">
      <c r="A52" s="307"/>
      <c r="D52" s="12"/>
      <c r="E52" s="12"/>
      <c r="F52" s="12"/>
      <c r="G52" s="12"/>
      <c r="H52" s="12"/>
      <c r="I52" s="12"/>
      <c r="J52" s="12"/>
      <c r="K52" s="12"/>
      <c r="L52" s="12"/>
      <c r="M52" s="12"/>
      <c r="N52" s="12"/>
      <c r="O52" s="12"/>
      <c r="P52" s="12"/>
      <c r="Q52" s="12"/>
      <c r="R52" s="12"/>
      <c r="S52" s="12"/>
      <c r="T52" s="12"/>
      <c r="U52" s="12"/>
      <c r="V52" s="12"/>
      <c r="W52" s="12"/>
      <c r="X52" s="12"/>
      <c r="Y52" s="12"/>
      <c r="Z52" s="12"/>
      <c r="AA52" s="12"/>
      <c r="AB52" s="12"/>
    </row>
    <row r="53" spans="1:28" x14ac:dyDescent="0.35">
      <c r="A53" s="307"/>
      <c r="B53" s="313" t="s">
        <v>297</v>
      </c>
      <c r="C53" s="7"/>
      <c r="D53" s="44">
        <f>Determination_of_Tariff!D11</f>
        <v>25.65</v>
      </c>
      <c r="E53" s="44">
        <f>Determination_of_Tariff!E11</f>
        <v>23.597999999999999</v>
      </c>
      <c r="F53" s="44">
        <f>Determination_of_Tariff!F11</f>
        <v>21.546000000000003</v>
      </c>
      <c r="G53" s="44">
        <f>Determination_of_Tariff!G11</f>
        <v>19.494</v>
      </c>
      <c r="H53" s="44">
        <f>Determination_of_Tariff!H11</f>
        <v>17.442000000000004</v>
      </c>
      <c r="I53" s="44">
        <f>Determination_of_Tariff!I11</f>
        <v>15.39</v>
      </c>
      <c r="J53" s="44">
        <f>Determination_of_Tariff!J11</f>
        <v>13.338000000000003</v>
      </c>
      <c r="K53" s="44">
        <f>Determination_of_Tariff!K11</f>
        <v>11.286000000000003</v>
      </c>
      <c r="L53" s="44">
        <f>Determination_of_Tariff!L11</f>
        <v>9.2340000000000035</v>
      </c>
      <c r="M53" s="44">
        <f>Determination_of_Tariff!M11</f>
        <v>7.1820000000000039</v>
      </c>
      <c r="N53" s="44">
        <f>Determination_of_Tariff!N11</f>
        <v>5.1300000000000043</v>
      </c>
      <c r="O53" s="44">
        <f>Determination_of_Tariff!O11</f>
        <v>3.0780000000000034</v>
      </c>
      <c r="P53" s="44">
        <f>Determination_of_Tariff!P11</f>
        <v>1.0260000000000034</v>
      </c>
      <c r="Q53" s="44">
        <f>Determination_of_Tariff!Q11</f>
        <v>0</v>
      </c>
      <c r="R53" s="44">
        <f>Determination_of_Tariff!R11</f>
        <v>0</v>
      </c>
      <c r="S53" s="44">
        <f>Determination_of_Tariff!S11</f>
        <v>0</v>
      </c>
      <c r="T53" s="44">
        <f>Determination_of_Tariff!T11</f>
        <v>0</v>
      </c>
      <c r="U53" s="44">
        <f>Determination_of_Tariff!U11</f>
        <v>0</v>
      </c>
      <c r="V53" s="44">
        <f>Determination_of_Tariff!V11</f>
        <v>0</v>
      </c>
      <c r="W53" s="44">
        <f>Determination_of_Tariff!W11</f>
        <v>0</v>
      </c>
      <c r="X53" s="44">
        <f>Determination_of_Tariff!X11</f>
        <v>0</v>
      </c>
      <c r="Y53" s="44">
        <f>Determination_of_Tariff!Y11</f>
        <v>0</v>
      </c>
      <c r="Z53" s="44">
        <f>Determination_of_Tariff!Z11</f>
        <v>0</v>
      </c>
      <c r="AA53" s="44">
        <f>Determination_of_Tariff!AA11</f>
        <v>0</v>
      </c>
      <c r="AB53" s="45">
        <f>Determination_of_Tariff!AB11</f>
        <v>0</v>
      </c>
    </row>
    <row r="54" spans="1:28" ht="15" thickBot="1" x14ac:dyDescent="0.4">
      <c r="A54" s="307"/>
      <c r="B54" s="315" t="s">
        <v>296</v>
      </c>
      <c r="C54" s="32"/>
      <c r="D54" s="41">
        <f ca="1">Determination_of_Tariff!D12</f>
        <v>1.4235064515984959</v>
      </c>
      <c r="E54" s="41">
        <f ca="1">Determination_of_Tariff!E12</f>
        <v>1.3865335494747546</v>
      </c>
      <c r="F54" s="41">
        <f ca="1">Determination_of_Tariff!F12</f>
        <v>1.349689690314098</v>
      </c>
      <c r="G54" s="41">
        <f ca="1">Determination_of_Tariff!G12</f>
        <v>1.3134659827062236</v>
      </c>
      <c r="H54" s="41">
        <f ca="1">Determination_of_Tariff!H12</f>
        <v>1.2778978993199508</v>
      </c>
      <c r="I54" s="41">
        <f ca="1">Determination_of_Tariff!I12</f>
        <v>1.243022941860755</v>
      </c>
      <c r="J54" s="41">
        <f ca="1">Determination_of_Tariff!J12</f>
        <v>1.2088807571316655</v>
      </c>
      <c r="K54" s="41">
        <f ca="1">Determination_of_Tariff!K12</f>
        <v>1.1755132597328435</v>
      </c>
      <c r="L54" s="41">
        <f ca="1">Determination_of_Tariff!L12</f>
        <v>1.1429647617795808</v>
      </c>
      <c r="M54" s="41">
        <f ca="1">Determination_of_Tariff!M12</f>
        <v>1.1112821100401638</v>
      </c>
      <c r="N54" s="41">
        <f ca="1">Determination_of_Tariff!N12</f>
        <v>1.1460666135996653</v>
      </c>
      <c r="O54" s="41">
        <f ca="1">Determination_of_Tariff!O12</f>
        <v>1.1162670664085106</v>
      </c>
      <c r="P54" s="41">
        <f ca="1">Determination_of_Tariff!P12</f>
        <v>1.0874906054147944</v>
      </c>
      <c r="Q54" s="41">
        <f ca="1">Determination_of_Tariff!Q12</f>
        <v>0.77441438442954169</v>
      </c>
      <c r="R54" s="41">
        <f ca="1">Determination_of_Tariff!R12</f>
        <v>0.79364688053870125</v>
      </c>
      <c r="S54" s="41">
        <f ca="1">Determination_of_Tariff!S12</f>
        <v>0.81408825802962426</v>
      </c>
      <c r="T54" s="41">
        <f ca="1">Determination_of_Tariff!T12</f>
        <v>0.83580766491734737</v>
      </c>
      <c r="U54" s="41">
        <f ca="1">Determination_of_Tariff!U12</f>
        <v>0.85887820448336749</v>
      </c>
      <c r="V54" s="41">
        <f ca="1">Determination_of_Tariff!V12</f>
        <v>0.8833771615168835</v>
      </c>
      <c r="W54" s="41">
        <f ca="1">Determination_of_Tariff!W12</f>
        <v>0.90938624149703662</v>
      </c>
      <c r="X54" s="41">
        <f ca="1">Determination_of_Tariff!X12</f>
        <v>0.93699182345637344</v>
      </c>
      <c r="Y54" s="41">
        <f ca="1">Determination_of_Tariff!Y12</f>
        <v>0.96628522730810362</v>
      </c>
      <c r="Z54" s="41">
        <f ca="1">Determination_of_Tariff!Z12</f>
        <v>0.99736299646447268</v>
      </c>
      <c r="AA54" s="41">
        <f ca="1">Determination_of_Tariff!AA12</f>
        <v>1.0303271966209049</v>
      </c>
      <c r="AB54" s="42">
        <f ca="1">Determination_of_Tariff!AB12</f>
        <v>1.065285731630605</v>
      </c>
    </row>
    <row r="55" spans="1:28" ht="15" thickBot="1" x14ac:dyDescent="0.4">
      <c r="A55" s="307"/>
      <c r="D55" s="12"/>
      <c r="E55" s="12"/>
      <c r="F55" s="12"/>
      <c r="G55" s="12"/>
      <c r="H55" s="12"/>
      <c r="I55" s="12"/>
      <c r="J55" s="12"/>
      <c r="K55" s="12"/>
      <c r="L55" s="12"/>
      <c r="M55" s="12"/>
      <c r="N55" s="12"/>
      <c r="O55" s="12"/>
      <c r="P55" s="12"/>
      <c r="Q55" s="12"/>
      <c r="R55" s="12"/>
      <c r="S55" s="12"/>
      <c r="T55" s="12"/>
      <c r="U55" s="12"/>
      <c r="V55" s="12"/>
      <c r="W55" s="12"/>
      <c r="X55" s="12"/>
      <c r="Y55" s="12"/>
      <c r="Z55" s="12"/>
      <c r="AA55" s="12"/>
      <c r="AB55" s="12"/>
    </row>
    <row r="56" spans="1:28" x14ac:dyDescent="0.35">
      <c r="A56" s="83" t="s">
        <v>293</v>
      </c>
      <c r="B56" s="313" t="s">
        <v>305</v>
      </c>
      <c r="C56" s="7"/>
      <c r="D56" s="44">
        <f ca="1">D49-D$53-D$54</f>
        <v>1.3355348431660368</v>
      </c>
      <c r="E56" s="44">
        <f t="shared" ref="E56:AB56" ca="1" si="14">E49-E$53-E$54</f>
        <v>2.8986614062264353</v>
      </c>
      <c r="F56" s="44">
        <f t="shared" ca="1" si="14"/>
        <v>4.4546277415471875</v>
      </c>
      <c r="G56" s="44">
        <f t="shared" ca="1" si="14"/>
        <v>6.1787129662415401</v>
      </c>
      <c r="H56" s="44">
        <f t="shared" ca="1" si="14"/>
        <v>7.7987570920330445</v>
      </c>
      <c r="I56" s="44">
        <f t="shared" ca="1" si="14"/>
        <v>9.3595164171257892</v>
      </c>
      <c r="J56" s="44">
        <f t="shared" ca="1" si="14"/>
        <v>10.882873233309819</v>
      </c>
      <c r="K56" s="44">
        <f t="shared" ca="1" si="14"/>
        <v>12.379245028524924</v>
      </c>
      <c r="L56" s="44">
        <f t="shared" ca="1" si="14"/>
        <v>13.853287494008926</v>
      </c>
      <c r="M56" s="44">
        <f t="shared" ca="1" si="14"/>
        <v>15.306744342581418</v>
      </c>
      <c r="N56" s="44">
        <f t="shared" ca="1" si="14"/>
        <v>16.674318653442285</v>
      </c>
      <c r="O56" s="44">
        <f t="shared" ca="1" si="14"/>
        <v>18.086589683092765</v>
      </c>
      <c r="P56" s="44">
        <f t="shared" ca="1" si="14"/>
        <v>19.477055018085498</v>
      </c>
      <c r="Q56" s="44">
        <f t="shared" ca="1" si="14"/>
        <v>20.10389339175995</v>
      </c>
      <c r="R56" s="44">
        <f t="shared" ca="1" si="14"/>
        <v>19.292114430568059</v>
      </c>
      <c r="S56" s="44">
        <f t="shared" ca="1" si="14"/>
        <v>18.454460783390722</v>
      </c>
      <c r="T56" s="44">
        <f t="shared" ca="1" si="14"/>
        <v>17.58932640972596</v>
      </c>
      <c r="U56" s="44">
        <f t="shared" ca="1" si="14"/>
        <v>34.385402039952837</v>
      </c>
      <c r="V56" s="44">
        <f t="shared" ca="1" si="14"/>
        <v>34.302475473002282</v>
      </c>
      <c r="W56" s="44">
        <f t="shared" ca="1" si="14"/>
        <v>33.344228786221116</v>
      </c>
      <c r="X56" s="44">
        <f t="shared" ca="1" si="14"/>
        <v>32.351033833252011</v>
      </c>
      <c r="Y56" s="44">
        <f t="shared" ca="1" si="14"/>
        <v>31.320746708220572</v>
      </c>
      <c r="Z56" s="44">
        <f t="shared" ca="1" si="14"/>
        <v>30.251101505214763</v>
      </c>
      <c r="AA56" s="44">
        <f t="shared" ca="1" si="14"/>
        <v>29.13970352680165</v>
      </c>
      <c r="AB56" s="45">
        <f t="shared" ca="1" si="14"/>
        <v>27.984022007093518</v>
      </c>
    </row>
    <row r="57" spans="1:28" x14ac:dyDescent="0.35">
      <c r="B57" s="19"/>
      <c r="D57" s="12">
        <f t="shared" ref="D57:AB58" ca="1" si="15">D50-D$53-D$54</f>
        <v>-3.5315976057267742</v>
      </c>
      <c r="E57" s="12">
        <f t="shared" ca="1" si="15"/>
        <v>-1.9344011155241274</v>
      </c>
      <c r="F57" s="12">
        <f t="shared" ca="1" si="15"/>
        <v>-0.34460334255112191</v>
      </c>
      <c r="G57" s="12">
        <f t="shared" ca="1" si="15"/>
        <v>1.396279190937576</v>
      </c>
      <c r="H57" s="12">
        <f t="shared" ca="1" si="15"/>
        <v>3.0414016987590338</v>
      </c>
      <c r="I57" s="12">
        <f t="shared" ca="1" si="15"/>
        <v>4.6312631844061158</v>
      </c>
      <c r="J57" s="12">
        <f t="shared" ca="1" si="15"/>
        <v>6.1856181096198837</v>
      </c>
      <c r="K57" s="12">
        <f t="shared" ca="1" si="15"/>
        <v>7.7138208589011761</v>
      </c>
      <c r="L57" s="12">
        <f t="shared" ca="1" si="15"/>
        <v>9.2199963776727163</v>
      </c>
      <c r="M57" s="12">
        <f t="shared" ca="1" si="15"/>
        <v>10.70562380610966</v>
      </c>
      <c r="N57" s="12">
        <f t="shared" ca="1" si="15"/>
        <v>12.105274731750869</v>
      </c>
      <c r="O57" s="12">
        <f t="shared" ca="1" si="15"/>
        <v>13.549463454365711</v>
      </c>
      <c r="P57" s="12">
        <f t="shared" ca="1" si="15"/>
        <v>14.971655865715791</v>
      </c>
      <c r="Q57" s="12">
        <f t="shared" ca="1" si="15"/>
        <v>15.630015629834961</v>
      </c>
      <c r="R57" s="12">
        <f t="shared" ca="1" si="15"/>
        <v>14.849545611165615</v>
      </c>
      <c r="S57" s="12">
        <f t="shared" ca="1" si="15"/>
        <v>14.042985844818631</v>
      </c>
      <c r="T57" s="12">
        <f t="shared" ca="1" si="15"/>
        <v>13.208729745271139</v>
      </c>
      <c r="U57" s="12">
        <f t="shared" ca="1" si="15"/>
        <v>30.035468526922831</v>
      </c>
      <c r="V57" s="12">
        <f t="shared" ca="1" si="15"/>
        <v>29.982990981950294</v>
      </c>
      <c r="W57" s="12">
        <f t="shared" ca="1" si="15"/>
        <v>29.05498043029991</v>
      </c>
      <c r="X57" s="12">
        <f t="shared" ca="1" si="15"/>
        <v>28.091810087668954</v>
      </c>
      <c r="Y57" s="12">
        <f t="shared" ca="1" si="15"/>
        <v>27.091337464779944</v>
      </c>
      <c r="Z57" s="12">
        <f t="shared" ca="1" si="15"/>
        <v>26.0512980944399</v>
      </c>
      <c r="AA57" s="12">
        <f t="shared" ca="1" si="15"/>
        <v>24.969298723883046</v>
      </c>
      <c r="AB57" s="40">
        <f t="shared" ca="1" si="15"/>
        <v>23.84281002978577</v>
      </c>
    </row>
    <row r="58" spans="1:28" ht="15" thickBot="1" x14ac:dyDescent="0.4">
      <c r="B58" s="30"/>
      <c r="C58" s="32"/>
      <c r="D58" s="41">
        <f ca="1">D51-D$53-D$54</f>
        <v>32.660253548401506</v>
      </c>
      <c r="E58" s="41">
        <f t="shared" ref="E58:S58" ca="1" si="16">E51-E$53-E$54</f>
        <v>34.004107080525266</v>
      </c>
      <c r="F58" s="41">
        <f t="shared" ca="1" si="16"/>
        <v>35.342335296125903</v>
      </c>
      <c r="G58" s="41">
        <f t="shared" ca="1" si="16"/>
        <v>36.958313544379244</v>
      </c>
      <c r="H58" s="41">
        <f t="shared" ca="1" si="16"/>
        <v>38.41695395434428</v>
      </c>
      <c r="I58" s="41">
        <f t="shared" ca="1" si="16"/>
        <v>39.790412645511125</v>
      </c>
      <c r="J58" s="41">
        <f t="shared" ca="1" si="16"/>
        <v>41.114266560151584</v>
      </c>
      <c r="K58" s="41">
        <f t="shared" ca="1" si="16"/>
        <v>42.405775288106376</v>
      </c>
      <c r="L58" s="41">
        <f t="shared" ca="1" si="16"/>
        <v>43.673010384787069</v>
      </c>
      <c r="M58" s="41">
        <f t="shared" ca="1" si="16"/>
        <v>44.919418344630998</v>
      </c>
      <c r="N58" s="41">
        <f t="shared" ca="1" si="16"/>
        <v>46.080548523230988</v>
      </c>
      <c r="O58" s="41">
        <f t="shared" ca="1" si="16"/>
        <v>47.287398236669645</v>
      </c>
      <c r="P58" s="41">
        <f t="shared" ca="1" si="16"/>
        <v>48.47366905822571</v>
      </c>
      <c r="Q58" s="41">
        <f t="shared" ca="1" si="16"/>
        <v>48.897636706838362</v>
      </c>
      <c r="R58" s="41">
        <f t="shared" ca="1" si="16"/>
        <v>47.88435432905051</v>
      </c>
      <c r="S58" s="41">
        <f t="shared" ca="1" si="16"/>
        <v>46.846581395888592</v>
      </c>
      <c r="T58" s="41">
        <f t="shared" ca="1" si="15"/>
        <v>45.78271537458874</v>
      </c>
      <c r="U58" s="41">
        <f t="shared" ca="1" si="15"/>
        <v>62.381443880387778</v>
      </c>
      <c r="V58" s="41">
        <f t="shared" ca="1" si="15"/>
        <v>62.102548319717272</v>
      </c>
      <c r="W58" s="41">
        <f t="shared" ca="1" si="15"/>
        <v>60.949702772590655</v>
      </c>
      <c r="X58" s="41">
        <f t="shared" ca="1" si="15"/>
        <v>59.76327032650773</v>
      </c>
      <c r="Y58" s="41">
        <f t="shared" ca="1" si="15"/>
        <v>58.541097958418888</v>
      </c>
      <c r="Z58" s="41">
        <f t="shared" ca="1" si="15"/>
        <v>57.280910502859385</v>
      </c>
      <c r="AA58" s="41">
        <f t="shared" ca="1" si="15"/>
        <v>55.980303964561614</v>
      </c>
      <c r="AB58" s="42">
        <f t="shared" ca="1" si="15"/>
        <v>54.636738293338581</v>
      </c>
    </row>
    <row r="59" spans="1:28" ht="15" thickBot="1" x14ac:dyDescent="0.4">
      <c r="D59" s="12"/>
      <c r="E59" s="12"/>
      <c r="F59" s="12"/>
      <c r="G59" s="12"/>
      <c r="H59" s="12"/>
      <c r="I59" s="12"/>
      <c r="J59" s="12"/>
      <c r="K59" s="12"/>
      <c r="L59" s="12"/>
      <c r="M59" s="12"/>
      <c r="N59" s="12"/>
      <c r="O59" s="12"/>
      <c r="P59" s="12"/>
      <c r="Q59" s="12"/>
      <c r="R59" s="12"/>
      <c r="S59" s="12"/>
      <c r="T59" s="12"/>
      <c r="U59" s="12"/>
      <c r="V59" s="12"/>
      <c r="W59" s="12"/>
      <c r="X59" s="12"/>
      <c r="Y59" s="12"/>
      <c r="Z59" s="12"/>
      <c r="AA59" s="12"/>
      <c r="AB59" s="12"/>
    </row>
    <row r="60" spans="1:28" x14ac:dyDescent="0.35">
      <c r="A60" s="83" t="s">
        <v>186</v>
      </c>
      <c r="B60" s="39" t="s">
        <v>143</v>
      </c>
      <c r="C60" s="7"/>
      <c r="D60" s="44"/>
      <c r="E60" s="44"/>
      <c r="F60" s="44"/>
      <c r="G60" s="44"/>
      <c r="H60" s="44"/>
      <c r="I60" s="44"/>
      <c r="J60" s="44"/>
      <c r="K60" s="44"/>
      <c r="L60" s="44"/>
      <c r="M60" s="44"/>
      <c r="N60" s="44"/>
      <c r="O60" s="44"/>
      <c r="P60" s="44"/>
      <c r="Q60" s="44"/>
      <c r="R60" s="44"/>
      <c r="S60" s="44"/>
      <c r="T60" s="44"/>
      <c r="U60" s="44"/>
      <c r="V60" s="44"/>
      <c r="W60" s="44"/>
      <c r="X60" s="44"/>
      <c r="Y60" s="44"/>
      <c r="Z60" s="44"/>
      <c r="AA60" s="44"/>
      <c r="AB60" s="45"/>
    </row>
    <row r="61" spans="1:28" x14ac:dyDescent="0.35">
      <c r="B61" s="43" t="s">
        <v>71</v>
      </c>
      <c r="C61" s="8"/>
      <c r="D61" s="46">
        <v>1</v>
      </c>
      <c r="E61" s="46">
        <v>2</v>
      </c>
      <c r="F61" s="46">
        <v>3</v>
      </c>
      <c r="G61" s="46">
        <v>4</v>
      </c>
      <c r="H61" s="46">
        <v>5</v>
      </c>
      <c r="I61" s="46">
        <v>6</v>
      </c>
      <c r="J61" s="46">
        <v>7</v>
      </c>
      <c r="K61" s="46">
        <v>8</v>
      </c>
      <c r="L61" s="46">
        <v>9</v>
      </c>
      <c r="M61" s="46">
        <v>10</v>
      </c>
      <c r="N61" s="46">
        <v>11</v>
      </c>
      <c r="O61" s="46">
        <v>12</v>
      </c>
      <c r="P61" s="46">
        <v>13</v>
      </c>
      <c r="Q61" s="46">
        <v>14</v>
      </c>
      <c r="R61" s="46">
        <v>15</v>
      </c>
      <c r="S61" s="46">
        <v>16</v>
      </c>
      <c r="T61" s="46">
        <v>17</v>
      </c>
      <c r="U61" s="46">
        <v>18</v>
      </c>
      <c r="V61" s="46">
        <v>19</v>
      </c>
      <c r="W61" s="46">
        <v>20</v>
      </c>
      <c r="X61" s="46">
        <v>21</v>
      </c>
      <c r="Y61" s="46">
        <v>22</v>
      </c>
      <c r="Z61" s="46">
        <v>23</v>
      </c>
      <c r="AA61" s="46">
        <v>24</v>
      </c>
      <c r="AB61" s="47">
        <v>25</v>
      </c>
    </row>
    <row r="62" spans="1:28" x14ac:dyDescent="0.35">
      <c r="B62" s="78" t="s">
        <v>144</v>
      </c>
      <c r="D62" s="79" t="str">
        <f t="shared" ref="D62:AB62" si="17">IF(AND(D$61&gt;=$D$11,D$61&lt;$D$11+$D$12,D$61&lt;$D$6+$D$8),D$61-$D$11+1,"")</f>
        <v/>
      </c>
      <c r="E62" s="79" t="str">
        <f t="shared" si="17"/>
        <v/>
      </c>
      <c r="F62" s="79" t="str">
        <f t="shared" si="17"/>
        <v/>
      </c>
      <c r="G62" s="79" t="str">
        <f t="shared" si="17"/>
        <v/>
      </c>
      <c r="H62" s="79" t="str">
        <f t="shared" si="17"/>
        <v/>
      </c>
      <c r="I62" s="79" t="str">
        <f t="shared" si="17"/>
        <v/>
      </c>
      <c r="J62" s="79" t="str">
        <f t="shared" si="17"/>
        <v/>
      </c>
      <c r="K62" s="79" t="str">
        <f t="shared" si="17"/>
        <v/>
      </c>
      <c r="L62" s="79" t="str">
        <f t="shared" si="17"/>
        <v/>
      </c>
      <c r="M62" s="79" t="str">
        <f t="shared" si="17"/>
        <v/>
      </c>
      <c r="N62" s="79" t="str">
        <f t="shared" si="17"/>
        <v/>
      </c>
      <c r="O62" s="79" t="str">
        <f t="shared" si="17"/>
        <v/>
      </c>
      <c r="P62" s="79" t="str">
        <f t="shared" si="17"/>
        <v/>
      </c>
      <c r="Q62" s="79" t="str">
        <f t="shared" si="17"/>
        <v/>
      </c>
      <c r="R62" s="79" t="str">
        <f t="shared" si="17"/>
        <v/>
      </c>
      <c r="S62" s="79" t="str">
        <f t="shared" si="17"/>
        <v/>
      </c>
      <c r="T62" s="79" t="str">
        <f t="shared" si="17"/>
        <v/>
      </c>
      <c r="U62" s="79" t="str">
        <f t="shared" si="17"/>
        <v/>
      </c>
      <c r="V62" s="79" t="str">
        <f t="shared" si="17"/>
        <v/>
      </c>
      <c r="W62" s="79" t="str">
        <f t="shared" si="17"/>
        <v/>
      </c>
      <c r="X62" s="79" t="str">
        <f t="shared" si="17"/>
        <v/>
      </c>
      <c r="Y62" s="79" t="str">
        <f t="shared" si="17"/>
        <v/>
      </c>
      <c r="Z62" s="79" t="str">
        <f t="shared" si="17"/>
        <v/>
      </c>
      <c r="AA62" s="79" t="str">
        <f t="shared" si="17"/>
        <v/>
      </c>
      <c r="AB62" s="79" t="str">
        <f t="shared" si="17"/>
        <v/>
      </c>
    </row>
    <row r="63" spans="1:28" ht="15" thickBot="1" x14ac:dyDescent="0.4">
      <c r="B63" s="30" t="s">
        <v>145</v>
      </c>
      <c r="C63" s="32"/>
      <c r="D63" s="41">
        <f>Determination_of_Tariff!D83</f>
        <v>52.65</v>
      </c>
      <c r="E63" s="41">
        <f>Determination_of_Tariff!E83</f>
        <v>44.752500000000005</v>
      </c>
      <c r="F63" s="41">
        <f>Determination_of_Tariff!F83</f>
        <v>38.039625000000001</v>
      </c>
      <c r="G63" s="41">
        <f>Determination_of_Tariff!G83</f>
        <v>32.333681249999998</v>
      </c>
      <c r="H63" s="41">
        <f>Determination_of_Tariff!H83</f>
        <v>27.483629062499997</v>
      </c>
      <c r="I63" s="41">
        <f>Determination_of_Tariff!I83</f>
        <v>23.361084703124998</v>
      </c>
      <c r="J63" s="41">
        <f>Determination_of_Tariff!J83</f>
        <v>19.856921997656247</v>
      </c>
      <c r="K63" s="41">
        <f>Determination_of_Tariff!K83</f>
        <v>16.878383698007809</v>
      </c>
      <c r="L63" s="41">
        <f>Determination_of_Tariff!L83</f>
        <v>14.346626143306638</v>
      </c>
      <c r="M63" s="41">
        <f>Determination_of_Tariff!M83</f>
        <v>12.194632221810641</v>
      </c>
      <c r="N63" s="41">
        <f>Determination_of_Tariff!N83</f>
        <v>10.365437388539045</v>
      </c>
      <c r="O63" s="41">
        <f>Determination_of_Tariff!O83</f>
        <v>8.8106217802581899</v>
      </c>
      <c r="P63" s="41">
        <f>Determination_of_Tariff!P83</f>
        <v>7.4890285132194601</v>
      </c>
      <c r="Q63" s="41">
        <f>Determination_of_Tariff!Q83</f>
        <v>6.3656742362365408</v>
      </c>
      <c r="R63" s="41">
        <f>Determination_of_Tariff!R83</f>
        <v>5.4108231008010588</v>
      </c>
      <c r="S63" s="41">
        <f>Determination_of_Tariff!S83</f>
        <v>4.5991996356809013</v>
      </c>
      <c r="T63" s="41">
        <f>Determination_of_Tariff!T83</f>
        <v>3.909319690328763</v>
      </c>
      <c r="U63" s="41">
        <f>Determination_of_Tariff!U83</f>
        <v>3.3229217367794517</v>
      </c>
      <c r="V63" s="41">
        <f>Determination_of_Tariff!V83</f>
        <v>2.8244834762625346</v>
      </c>
      <c r="W63" s="41">
        <f>Determination_of_Tariff!W83</f>
        <v>2.4008109548231573</v>
      </c>
      <c r="X63" s="41">
        <f>Determination_of_Tariff!X83</f>
        <v>2.0406893115996838</v>
      </c>
      <c r="Y63" s="41">
        <f>Determination_of_Tariff!Y83</f>
        <v>1.7345859148597298</v>
      </c>
      <c r="Z63" s="41">
        <f>Determination_of_Tariff!Z83</f>
        <v>1.4743980276307695</v>
      </c>
      <c r="AA63" s="41">
        <f>Determination_of_Tariff!AA83</f>
        <v>1.2532383234861584</v>
      </c>
      <c r="AB63" s="42">
        <f>Determination_of_Tariff!AB83</f>
        <v>1.0652525749632389</v>
      </c>
    </row>
    <row r="64" spans="1:28" x14ac:dyDescent="0.35">
      <c r="B64" s="19"/>
      <c r="D64" s="12"/>
      <c r="E64" s="12"/>
      <c r="F64" s="12"/>
      <c r="G64" s="12"/>
      <c r="H64" s="12"/>
      <c r="I64" s="12"/>
      <c r="J64" s="12"/>
      <c r="K64" s="12"/>
      <c r="L64" s="12"/>
      <c r="M64" s="12"/>
      <c r="N64" s="12"/>
      <c r="O64" s="12"/>
      <c r="P64" s="12"/>
      <c r="Q64" s="12"/>
      <c r="R64" s="12"/>
      <c r="S64" s="12"/>
      <c r="T64" s="12"/>
      <c r="U64" s="12"/>
      <c r="V64" s="12"/>
      <c r="W64" s="12"/>
      <c r="X64" s="12"/>
      <c r="Y64" s="12"/>
      <c r="Z64" s="12"/>
      <c r="AA64" s="12"/>
      <c r="AB64" s="40"/>
    </row>
    <row r="65" spans="2:28" ht="15" thickBot="1" x14ac:dyDescent="0.4">
      <c r="B65" s="19"/>
      <c r="D65" s="12"/>
      <c r="E65" s="12"/>
      <c r="F65" s="12"/>
      <c r="G65" s="12"/>
      <c r="H65" s="12"/>
      <c r="I65" s="12"/>
      <c r="J65" s="12"/>
      <c r="K65" s="12"/>
      <c r="L65" s="12"/>
      <c r="M65" s="12"/>
      <c r="N65" s="12"/>
      <c r="O65" s="12"/>
      <c r="P65" s="12"/>
      <c r="Q65" s="12"/>
      <c r="R65" s="12"/>
      <c r="S65" s="12"/>
      <c r="T65" s="12"/>
      <c r="U65" s="12"/>
      <c r="V65" s="12"/>
      <c r="W65" s="12"/>
      <c r="X65" s="12"/>
      <c r="Y65" s="12"/>
      <c r="Z65" s="12"/>
      <c r="AA65" s="12"/>
      <c r="AB65" s="40"/>
    </row>
    <row r="66" spans="2:28" x14ac:dyDescent="0.35">
      <c r="B66" s="39" t="s">
        <v>132</v>
      </c>
      <c r="C66" s="7"/>
      <c r="D66" s="44"/>
      <c r="E66" s="44"/>
      <c r="F66" s="44"/>
      <c r="G66" s="44"/>
      <c r="H66" s="44"/>
      <c r="I66" s="44"/>
      <c r="J66" s="44"/>
      <c r="K66" s="44"/>
      <c r="L66" s="44"/>
      <c r="M66" s="44"/>
      <c r="N66" s="44"/>
      <c r="O66" s="44"/>
      <c r="P66" s="44"/>
      <c r="Q66" s="44"/>
      <c r="R66" s="44"/>
      <c r="S66" s="44"/>
      <c r="T66" s="44"/>
      <c r="U66" s="44"/>
      <c r="V66" s="44"/>
      <c r="W66" s="44"/>
      <c r="X66" s="44"/>
      <c r="Y66" s="44"/>
      <c r="Z66" s="44"/>
      <c r="AA66" s="44"/>
      <c r="AB66" s="45"/>
    </row>
    <row r="67" spans="2:28" x14ac:dyDescent="0.35">
      <c r="B67" s="19" t="s">
        <v>303</v>
      </c>
      <c r="C67" t="s">
        <v>165</v>
      </c>
      <c r="D67" s="12">
        <f ca="1">D56</f>
        <v>1.3355348431660368</v>
      </c>
      <c r="E67" s="12">
        <f t="shared" ref="E67:AB67" ca="1" si="18">E56</f>
        <v>2.8986614062264353</v>
      </c>
      <c r="F67" s="12">
        <f t="shared" ca="1" si="18"/>
        <v>4.4546277415471875</v>
      </c>
      <c r="G67" s="12">
        <f t="shared" ca="1" si="18"/>
        <v>6.1787129662415401</v>
      </c>
      <c r="H67" s="12">
        <f t="shared" ca="1" si="18"/>
        <v>7.7987570920330445</v>
      </c>
      <c r="I67" s="12">
        <f t="shared" ca="1" si="18"/>
        <v>9.3595164171257892</v>
      </c>
      <c r="J67" s="12">
        <f t="shared" ca="1" si="18"/>
        <v>10.882873233309819</v>
      </c>
      <c r="K67" s="12">
        <f t="shared" ca="1" si="18"/>
        <v>12.379245028524924</v>
      </c>
      <c r="L67" s="12">
        <f t="shared" ca="1" si="18"/>
        <v>13.853287494008926</v>
      </c>
      <c r="M67" s="12">
        <f t="shared" ca="1" si="18"/>
        <v>15.306744342581418</v>
      </c>
      <c r="N67" s="12">
        <f t="shared" ca="1" si="18"/>
        <v>16.674318653442285</v>
      </c>
      <c r="O67" s="12">
        <f t="shared" ca="1" si="18"/>
        <v>18.086589683092765</v>
      </c>
      <c r="P67" s="12">
        <f t="shared" ca="1" si="18"/>
        <v>19.477055018085498</v>
      </c>
      <c r="Q67" s="12">
        <f t="shared" ca="1" si="18"/>
        <v>20.10389339175995</v>
      </c>
      <c r="R67" s="12">
        <f t="shared" ca="1" si="18"/>
        <v>19.292114430568059</v>
      </c>
      <c r="S67" s="12">
        <f t="shared" ca="1" si="18"/>
        <v>18.454460783390722</v>
      </c>
      <c r="T67" s="12">
        <f t="shared" ca="1" si="18"/>
        <v>17.58932640972596</v>
      </c>
      <c r="U67" s="12">
        <f t="shared" ca="1" si="18"/>
        <v>34.385402039952837</v>
      </c>
      <c r="V67" s="12">
        <f t="shared" ca="1" si="18"/>
        <v>34.302475473002282</v>
      </c>
      <c r="W67" s="12">
        <f t="shared" ca="1" si="18"/>
        <v>33.344228786221116</v>
      </c>
      <c r="X67" s="12">
        <f t="shared" ca="1" si="18"/>
        <v>32.351033833252011</v>
      </c>
      <c r="Y67" s="12">
        <f t="shared" ca="1" si="18"/>
        <v>31.320746708220572</v>
      </c>
      <c r="Z67" s="12">
        <f t="shared" ca="1" si="18"/>
        <v>30.251101505214763</v>
      </c>
      <c r="AA67" s="12">
        <f t="shared" ca="1" si="18"/>
        <v>29.13970352680165</v>
      </c>
      <c r="AB67" s="12">
        <f t="shared" ca="1" si="18"/>
        <v>27.984022007093518</v>
      </c>
    </row>
    <row r="68" spans="2:28" x14ac:dyDescent="0.35">
      <c r="B68" s="19" t="s">
        <v>170</v>
      </c>
      <c r="C68" t="s">
        <v>165</v>
      </c>
      <c r="D68" s="12">
        <f t="shared" ref="D68:AB68" ca="1" si="19">D67+D47</f>
        <v>19.868334843166036</v>
      </c>
      <c r="E68" s="12">
        <f t="shared" ca="1" si="19"/>
        <v>21.431461406226433</v>
      </c>
      <c r="F68" s="12">
        <f t="shared" ca="1" si="19"/>
        <v>22.987427741547187</v>
      </c>
      <c r="G68" s="12">
        <f t="shared" ca="1" si="19"/>
        <v>24.711512966241539</v>
      </c>
      <c r="H68" s="12">
        <f t="shared" ca="1" si="19"/>
        <v>26.331557092033044</v>
      </c>
      <c r="I68" s="12">
        <f t="shared" ca="1" si="19"/>
        <v>27.892316417125787</v>
      </c>
      <c r="J68" s="12">
        <f t="shared" ca="1" si="19"/>
        <v>29.415673233309818</v>
      </c>
      <c r="K68" s="12">
        <f t="shared" ca="1" si="19"/>
        <v>30.912045028524922</v>
      </c>
      <c r="L68" s="12">
        <f t="shared" ca="1" si="19"/>
        <v>32.386087494008926</v>
      </c>
      <c r="M68" s="12">
        <f t="shared" ca="1" si="19"/>
        <v>33.839544342581419</v>
      </c>
      <c r="N68" s="12">
        <f t="shared" ca="1" si="19"/>
        <v>35.207118653442279</v>
      </c>
      <c r="O68" s="12">
        <f t="shared" ca="1" si="19"/>
        <v>36.619389683092763</v>
      </c>
      <c r="P68" s="12">
        <f t="shared" ca="1" si="19"/>
        <v>38.009855018085496</v>
      </c>
      <c r="Q68" s="12">
        <f t="shared" ca="1" si="19"/>
        <v>38.636693391759948</v>
      </c>
      <c r="R68" s="12">
        <f t="shared" ca="1" si="19"/>
        <v>37.824914430568057</v>
      </c>
      <c r="S68" s="12">
        <f t="shared" ca="1" si="19"/>
        <v>36.987260783390724</v>
      </c>
      <c r="T68" s="12">
        <f t="shared" ca="1" si="19"/>
        <v>36.122126409725958</v>
      </c>
      <c r="U68" s="12">
        <f t="shared" ca="1" si="19"/>
        <v>35.227802039952941</v>
      </c>
      <c r="V68" s="12">
        <f t="shared" ca="1" si="19"/>
        <v>34.302475473002282</v>
      </c>
      <c r="W68" s="12">
        <f t="shared" ca="1" si="19"/>
        <v>33.344228786221116</v>
      </c>
      <c r="X68" s="12">
        <f t="shared" ca="1" si="19"/>
        <v>32.351033833252011</v>
      </c>
      <c r="Y68" s="12">
        <f t="shared" ca="1" si="19"/>
        <v>31.320746708220572</v>
      </c>
      <c r="Z68" s="12">
        <f t="shared" ca="1" si="19"/>
        <v>30.251101505214763</v>
      </c>
      <c r="AA68" s="12">
        <f t="shared" ca="1" si="19"/>
        <v>29.13970352680165</v>
      </c>
      <c r="AB68" s="12">
        <f t="shared" ca="1" si="19"/>
        <v>27.984022007093518</v>
      </c>
    </row>
    <row r="69" spans="2:28" x14ac:dyDescent="0.35">
      <c r="B69" s="19" t="s">
        <v>146</v>
      </c>
      <c r="C69" t="s">
        <v>165</v>
      </c>
      <c r="D69" s="12">
        <f ca="1">D68-D63</f>
        <v>-32.781665156833967</v>
      </c>
      <c r="E69" s="12">
        <f t="shared" ref="E69:AB69" ca="1" si="20">E68-E63</f>
        <v>-23.321038593773572</v>
      </c>
      <c r="F69" s="12">
        <f t="shared" ca="1" si="20"/>
        <v>-15.052197258452814</v>
      </c>
      <c r="G69" s="12">
        <f t="shared" ca="1" si="20"/>
        <v>-7.6221682837584588</v>
      </c>
      <c r="H69" s="12">
        <f t="shared" ca="1" si="20"/>
        <v>-1.1520719704669524</v>
      </c>
      <c r="I69" s="12">
        <f t="shared" ca="1" si="20"/>
        <v>4.5312317140007892</v>
      </c>
      <c r="J69" s="12">
        <f t="shared" ca="1" si="20"/>
        <v>9.5587512356535704</v>
      </c>
      <c r="K69" s="12">
        <f t="shared" ca="1" si="20"/>
        <v>14.033661330517113</v>
      </c>
      <c r="L69" s="12">
        <f t="shared" ca="1" si="20"/>
        <v>18.03946135070229</v>
      </c>
      <c r="M69" s="12">
        <f t="shared" ca="1" si="20"/>
        <v>21.644912120770776</v>
      </c>
      <c r="N69" s="12">
        <f t="shared" ca="1" si="20"/>
        <v>24.841681264903237</v>
      </c>
      <c r="O69" s="12">
        <f t="shared" ca="1" si="20"/>
        <v>27.808767902834575</v>
      </c>
      <c r="P69" s="12">
        <f t="shared" ca="1" si="20"/>
        <v>30.520826504866037</v>
      </c>
      <c r="Q69" s="12">
        <f t="shared" ca="1" si="20"/>
        <v>32.271019155523405</v>
      </c>
      <c r="R69" s="12">
        <f t="shared" ca="1" si="20"/>
        <v>32.414091329766997</v>
      </c>
      <c r="S69" s="12">
        <f t="shared" ca="1" si="20"/>
        <v>32.38806114770982</v>
      </c>
      <c r="T69" s="12">
        <f t="shared" ca="1" si="20"/>
        <v>32.212806719397193</v>
      </c>
      <c r="U69" s="12">
        <f t="shared" ca="1" si="20"/>
        <v>31.904880303173488</v>
      </c>
      <c r="V69" s="12">
        <f t="shared" ca="1" si="20"/>
        <v>31.477991996739746</v>
      </c>
      <c r="W69" s="12">
        <f t="shared" ca="1" si="20"/>
        <v>30.943417831397959</v>
      </c>
      <c r="X69" s="12">
        <f t="shared" ca="1" si="20"/>
        <v>30.310344521652326</v>
      </c>
      <c r="Y69" s="12">
        <f t="shared" ca="1" si="20"/>
        <v>29.586160793360843</v>
      </c>
      <c r="Z69" s="12">
        <f t="shared" ca="1" si="20"/>
        <v>28.776703477583993</v>
      </c>
      <c r="AA69" s="12">
        <f t="shared" ca="1" si="20"/>
        <v>27.886465203315492</v>
      </c>
      <c r="AB69" s="12">
        <f t="shared" ca="1" si="20"/>
        <v>26.918769432130279</v>
      </c>
    </row>
    <row r="70" spans="2:28" x14ac:dyDescent="0.35">
      <c r="B70" s="19" t="s">
        <v>182</v>
      </c>
      <c r="C70" t="s">
        <v>165</v>
      </c>
      <c r="D70" s="75" t="str">
        <f t="shared" ref="D70:AB70" ca="1" si="21">IF(D69&gt;0,IF(ISNUMBER(D$62),0,D69*$D$9),"0")</f>
        <v>0</v>
      </c>
      <c r="E70" s="75" t="str">
        <f t="shared" ca="1" si="21"/>
        <v>0</v>
      </c>
      <c r="F70" s="75" t="str">
        <f t="shared" ca="1" si="21"/>
        <v>0</v>
      </c>
      <c r="G70" s="75" t="str">
        <f t="shared" ca="1" si="21"/>
        <v>0</v>
      </c>
      <c r="H70" s="75" t="str">
        <f t="shared" ca="1" si="21"/>
        <v>0</v>
      </c>
      <c r="I70" s="75">
        <f t="shared" ca="1" si="21"/>
        <v>1.5682592962156732</v>
      </c>
      <c r="J70" s="75">
        <f t="shared" ca="1" si="21"/>
        <v>3.3082838026597008</v>
      </c>
      <c r="K70" s="75">
        <f t="shared" ca="1" si="21"/>
        <v>4.8570501864919731</v>
      </c>
      <c r="L70" s="75">
        <f t="shared" ca="1" si="21"/>
        <v>6.2434575734780626</v>
      </c>
      <c r="M70" s="75">
        <f t="shared" ca="1" si="21"/>
        <v>7.4913040849987658</v>
      </c>
      <c r="N70" s="75">
        <f t="shared" ca="1" si="21"/>
        <v>8.5977058857830109</v>
      </c>
      <c r="O70" s="75">
        <f t="shared" ca="1" si="21"/>
        <v>9.6246145711710476</v>
      </c>
      <c r="P70" s="75">
        <f t="shared" ca="1" si="21"/>
        <v>10.563258053334136</v>
      </c>
      <c r="Q70" s="75">
        <f t="shared" ca="1" si="21"/>
        <v>11.16899972972665</v>
      </c>
      <c r="R70" s="75">
        <f t="shared" ca="1" si="21"/>
        <v>11.218517009232357</v>
      </c>
      <c r="S70" s="75">
        <f t="shared" ca="1" si="21"/>
        <v>11.20950796322237</v>
      </c>
      <c r="T70" s="75">
        <f t="shared" ca="1" si="21"/>
        <v>11.148852405583369</v>
      </c>
      <c r="U70" s="75">
        <f t="shared" ca="1" si="21"/>
        <v>11.042279072928345</v>
      </c>
      <c r="V70" s="75">
        <f t="shared" ca="1" si="21"/>
        <v>10.894533030071626</v>
      </c>
      <c r="W70" s="75">
        <f t="shared" ca="1" si="21"/>
        <v>10.709516911446833</v>
      </c>
      <c r="X70" s="75">
        <f t="shared" ca="1" si="21"/>
        <v>10.49041023894387</v>
      </c>
      <c r="Y70" s="75">
        <f t="shared" ca="1" si="21"/>
        <v>10.239770250582188</v>
      </c>
      <c r="Z70" s="75">
        <f t="shared" ca="1" si="21"/>
        <v>9.9596170735918204</v>
      </c>
      <c r="AA70" s="75">
        <f t="shared" ca="1" si="21"/>
        <v>9.6515056068674916</v>
      </c>
      <c r="AB70" s="75">
        <f t="shared" ca="1" si="21"/>
        <v>9.3165861004602899</v>
      </c>
    </row>
    <row r="71" spans="2:28" x14ac:dyDescent="0.35">
      <c r="B71" s="19" t="s">
        <v>180</v>
      </c>
      <c r="C71" t="s">
        <v>165</v>
      </c>
      <c r="D71" s="12">
        <f ca="1">MAX(D67*$D$10,0)</f>
        <v>0.28780775870228092</v>
      </c>
      <c r="E71" s="12">
        <f t="shared" ref="E71:AB71" ca="1" si="22">MAX(E67*$D$10,0)</f>
        <v>0.62466153304179683</v>
      </c>
      <c r="F71" s="12">
        <f t="shared" ca="1" si="22"/>
        <v>0.95997227830341891</v>
      </c>
      <c r="G71" s="12">
        <f t="shared" ca="1" si="22"/>
        <v>1.3315126442250518</v>
      </c>
      <c r="H71" s="12">
        <f t="shared" ca="1" si="22"/>
        <v>1.680632153333121</v>
      </c>
      <c r="I71" s="12">
        <f t="shared" ca="1" si="22"/>
        <v>2.0169757878906074</v>
      </c>
      <c r="J71" s="12">
        <f t="shared" ca="1" si="22"/>
        <v>2.3452591817782662</v>
      </c>
      <c r="K71" s="12">
        <f t="shared" ca="1" si="22"/>
        <v>2.667727303647121</v>
      </c>
      <c r="L71" s="12">
        <f t="shared" ca="1" si="22"/>
        <v>2.9853834549589235</v>
      </c>
      <c r="M71" s="12">
        <f t="shared" ca="1" si="22"/>
        <v>3.2986034058262956</v>
      </c>
      <c r="N71" s="12">
        <f t="shared" ca="1" si="22"/>
        <v>3.5933156698168123</v>
      </c>
      <c r="O71" s="12">
        <f t="shared" ca="1" si="22"/>
        <v>3.8976600767064906</v>
      </c>
      <c r="P71" s="12">
        <f t="shared" ca="1" si="22"/>
        <v>4.1973053563974245</v>
      </c>
      <c r="Q71" s="12">
        <f t="shared" ca="1" si="22"/>
        <v>4.332389025924269</v>
      </c>
      <c r="R71" s="12">
        <f t="shared" ca="1" si="22"/>
        <v>4.1574506597874166</v>
      </c>
      <c r="S71" s="12">
        <f t="shared" ca="1" si="22"/>
        <v>3.9769362988207004</v>
      </c>
      <c r="T71" s="12">
        <f t="shared" ca="1" si="22"/>
        <v>3.7904998412959441</v>
      </c>
      <c r="U71" s="12">
        <f t="shared" ca="1" si="22"/>
        <v>7.4100541396098363</v>
      </c>
      <c r="V71" s="12">
        <f t="shared" ca="1" si="22"/>
        <v>7.3921834644319917</v>
      </c>
      <c r="W71" s="12">
        <f t="shared" ca="1" si="22"/>
        <v>7.1856813034306501</v>
      </c>
      <c r="X71" s="12">
        <f t="shared" ca="1" si="22"/>
        <v>6.9716477910658083</v>
      </c>
      <c r="Y71" s="12">
        <f t="shared" ca="1" si="22"/>
        <v>6.7496209156215334</v>
      </c>
      <c r="Z71" s="12">
        <f t="shared" ca="1" si="22"/>
        <v>6.5191123743737815</v>
      </c>
      <c r="AA71" s="12">
        <f t="shared" ca="1" si="22"/>
        <v>6.2796061100257559</v>
      </c>
      <c r="AB71" s="40">
        <f t="shared" ca="1" si="22"/>
        <v>6.0305567425286535</v>
      </c>
    </row>
    <row r="72" spans="2:28" x14ac:dyDescent="0.35">
      <c r="B72" s="78" t="s">
        <v>148</v>
      </c>
      <c r="C72" t="s">
        <v>165</v>
      </c>
      <c r="D72" s="12">
        <f t="shared" ref="D72:AB72" si="23">IF(D$61&gt;=$D$13,IF(D$61&lt;$D$13+$D$15,MAX(D70-D71,0),0),0)</f>
        <v>0</v>
      </c>
      <c r="E72" s="12">
        <f t="shared" si="23"/>
        <v>0</v>
      </c>
      <c r="F72" s="12">
        <f t="shared" si="23"/>
        <v>0</v>
      </c>
      <c r="G72" s="12">
        <f t="shared" si="23"/>
        <v>0</v>
      </c>
      <c r="H72" s="12">
        <f t="shared" si="23"/>
        <v>0</v>
      </c>
      <c r="I72" s="12">
        <f t="shared" si="23"/>
        <v>0</v>
      </c>
      <c r="J72" s="12">
        <f t="shared" si="23"/>
        <v>0</v>
      </c>
      <c r="K72" s="12">
        <f t="shared" si="23"/>
        <v>0</v>
      </c>
      <c r="L72" s="12">
        <f t="shared" si="23"/>
        <v>0</v>
      </c>
      <c r="M72" s="12">
        <f t="shared" si="23"/>
        <v>0</v>
      </c>
      <c r="N72" s="12">
        <f t="shared" si="23"/>
        <v>0</v>
      </c>
      <c r="O72" s="12">
        <f t="shared" si="23"/>
        <v>0</v>
      </c>
      <c r="P72" s="12">
        <f t="shared" si="23"/>
        <v>0</v>
      </c>
      <c r="Q72" s="12">
        <f t="shared" si="23"/>
        <v>0</v>
      </c>
      <c r="R72" s="12">
        <f t="shared" si="23"/>
        <v>0</v>
      </c>
      <c r="S72" s="223">
        <f t="shared" ca="1" si="23"/>
        <v>7.2325716644016698</v>
      </c>
      <c r="T72" s="223">
        <f t="shared" ca="1" si="23"/>
        <v>7.3583525642874257</v>
      </c>
      <c r="U72" s="223">
        <f t="shared" ca="1" si="23"/>
        <v>3.6322249333185086</v>
      </c>
      <c r="V72" s="223">
        <f t="shared" ca="1" si="23"/>
        <v>3.5023495656396344</v>
      </c>
      <c r="W72" s="223">
        <f t="shared" ca="1" si="23"/>
        <v>3.5238356080161832</v>
      </c>
      <c r="X72" s="12">
        <f t="shared" si="23"/>
        <v>0</v>
      </c>
      <c r="Y72" s="12">
        <f t="shared" si="23"/>
        <v>0</v>
      </c>
      <c r="Z72" s="12">
        <f t="shared" si="23"/>
        <v>0</v>
      </c>
      <c r="AA72" s="12">
        <f t="shared" si="23"/>
        <v>0</v>
      </c>
      <c r="AB72" s="12">
        <f t="shared" si="23"/>
        <v>0</v>
      </c>
    </row>
    <row r="73" spans="2:28" x14ac:dyDescent="0.35">
      <c r="B73" s="78" t="s">
        <v>149</v>
      </c>
      <c r="C73" t="s">
        <v>165</v>
      </c>
      <c r="D73">
        <f ca="1">IF(D$61=$D$13-1,SUM(OFFSET(D71,0,-$D$14+1,1,$D$14)),0)</f>
        <v>0</v>
      </c>
      <c r="E73" s="12">
        <f t="shared" ref="E73:AB73" ca="1" si="24">IF(E$61=$D$13-1,SUM(OFFSET(E71,0,-$D$14+1,1,$D$14)),IF(AND(E$61&gt;=$D$13,E$61&lt;$D$13+$D$15),MAX(D73-E72,0),0))</f>
        <v>0</v>
      </c>
      <c r="F73" s="12">
        <f t="shared" ca="1" si="24"/>
        <v>0</v>
      </c>
      <c r="G73" s="12">
        <f t="shared" ca="1" si="24"/>
        <v>0</v>
      </c>
      <c r="H73" s="12">
        <f t="shared" ca="1" si="24"/>
        <v>0</v>
      </c>
      <c r="I73" s="12">
        <f t="shared" ca="1" si="24"/>
        <v>0</v>
      </c>
      <c r="J73" s="12">
        <f t="shared" ca="1" si="24"/>
        <v>0</v>
      </c>
      <c r="K73" s="12">
        <f t="shared" ca="1" si="24"/>
        <v>0</v>
      </c>
      <c r="L73" s="12">
        <f t="shared" ca="1" si="24"/>
        <v>0</v>
      </c>
      <c r="M73" s="12">
        <f t="shared" ca="1" si="24"/>
        <v>0</v>
      </c>
      <c r="N73" s="12">
        <f t="shared" ca="1" si="24"/>
        <v>0</v>
      </c>
      <c r="O73" s="12">
        <f t="shared" ca="1" si="24"/>
        <v>0</v>
      </c>
      <c r="P73" s="12">
        <f t="shared" ca="1" si="24"/>
        <v>0</v>
      </c>
      <c r="Q73" s="12">
        <f t="shared" ca="1" si="24"/>
        <v>0</v>
      </c>
      <c r="R73" s="225">
        <f t="shared" ca="1" si="24"/>
        <v>33.492069922733627</v>
      </c>
      <c r="S73" s="12">
        <f t="shared" ca="1" si="24"/>
        <v>26.259498258331959</v>
      </c>
      <c r="T73" s="12">
        <f t="shared" ca="1" si="24"/>
        <v>18.901145694044533</v>
      </c>
      <c r="U73" s="12">
        <f t="shared" ca="1" si="24"/>
        <v>15.268920760726026</v>
      </c>
      <c r="V73" s="12">
        <f t="shared" ca="1" si="24"/>
        <v>11.766571195086392</v>
      </c>
      <c r="W73" s="12">
        <f t="shared" ca="1" si="24"/>
        <v>8.242735587070209</v>
      </c>
      <c r="X73" s="12">
        <f t="shared" ca="1" si="24"/>
        <v>0</v>
      </c>
      <c r="Y73" s="12">
        <f t="shared" ca="1" si="24"/>
        <v>0</v>
      </c>
      <c r="Z73" s="12">
        <f t="shared" ca="1" si="24"/>
        <v>0</v>
      </c>
      <c r="AA73" s="12">
        <f t="shared" ca="1" si="24"/>
        <v>0</v>
      </c>
      <c r="AB73" s="12">
        <f t="shared" ca="1" si="24"/>
        <v>0</v>
      </c>
    </row>
    <row r="74" spans="2:28" x14ac:dyDescent="0.35">
      <c r="B74" s="19" t="s">
        <v>179</v>
      </c>
      <c r="C74" t="s">
        <v>165</v>
      </c>
      <c r="D74" s="12">
        <f ca="1">MAX(D70-D72,D71)</f>
        <v>0.28780775870228092</v>
      </c>
      <c r="E74" s="12">
        <f ca="1">MAX(E70-E72,E71)</f>
        <v>0.62466153304179683</v>
      </c>
      <c r="F74" s="12">
        <f t="shared" ref="F74:H74" ca="1" si="25">MAX(F70-F72,F71)</f>
        <v>0.95997227830341891</v>
      </c>
      <c r="G74" s="12">
        <f t="shared" ca="1" si="25"/>
        <v>1.3315126442250518</v>
      </c>
      <c r="H74" s="12">
        <f t="shared" ca="1" si="25"/>
        <v>1.680632153333121</v>
      </c>
      <c r="I74" s="12">
        <f ca="1">MAX(I70-I72,I71)</f>
        <v>2.0169757878906074</v>
      </c>
      <c r="J74" s="12">
        <f t="shared" ref="J74:P74" ca="1" si="26">MAX(J70-J72,J71)</f>
        <v>3.3082838026597008</v>
      </c>
      <c r="K74" s="12">
        <f t="shared" ca="1" si="26"/>
        <v>4.8570501864919731</v>
      </c>
      <c r="L74" s="12">
        <f t="shared" ca="1" si="26"/>
        <v>6.2434575734780626</v>
      </c>
      <c r="M74" s="12">
        <f t="shared" ca="1" si="26"/>
        <v>7.4913040849987658</v>
      </c>
      <c r="N74" s="12">
        <f t="shared" ca="1" si="26"/>
        <v>8.5977058857830109</v>
      </c>
      <c r="O74" s="12">
        <f t="shared" ca="1" si="26"/>
        <v>9.6246145711710476</v>
      </c>
      <c r="P74" s="12">
        <f t="shared" ca="1" si="26"/>
        <v>10.563258053334136</v>
      </c>
      <c r="Q74" s="12">
        <f ca="1">MAX(Q70-Q72,Q71)</f>
        <v>11.16899972972665</v>
      </c>
      <c r="R74" s="12">
        <f ca="1">MAX(R70-R72,R71)</f>
        <v>11.218517009232357</v>
      </c>
      <c r="S74" s="12">
        <f ca="1">MAX(S70-S72,S71)</f>
        <v>3.9769362988207004</v>
      </c>
      <c r="T74" s="12">
        <f ca="1">MAX(T70-T72,T71)</f>
        <v>3.7904998412959441</v>
      </c>
      <c r="U74" s="12">
        <f t="shared" ref="U74:W74" ca="1" si="27">MAX(U70-U72,U71)</f>
        <v>7.4100541396098363</v>
      </c>
      <c r="V74" s="12">
        <f t="shared" ca="1" si="27"/>
        <v>7.3921834644319917</v>
      </c>
      <c r="W74" s="12">
        <f t="shared" ca="1" si="27"/>
        <v>7.1856813034306501</v>
      </c>
      <c r="X74" s="12">
        <f ca="1">MAX(X70-X72,X71)</f>
        <v>10.49041023894387</v>
      </c>
      <c r="Y74" s="12">
        <f t="shared" ref="Y74:AB74" ca="1" si="28">MAX(Y70-Y72,Y71)</f>
        <v>10.239770250582188</v>
      </c>
      <c r="Z74" s="12">
        <f t="shared" ca="1" si="28"/>
        <v>9.9596170735918204</v>
      </c>
      <c r="AA74" s="12">
        <f t="shared" ca="1" si="28"/>
        <v>9.6515056068674916</v>
      </c>
      <c r="AB74" s="40">
        <f t="shared" ca="1" si="28"/>
        <v>9.3165861004602899</v>
      </c>
    </row>
    <row r="75" spans="2:28" x14ac:dyDescent="0.35">
      <c r="B75" s="19" t="s">
        <v>176</v>
      </c>
      <c r="C75" t="s">
        <v>165</v>
      </c>
      <c r="D75" s="12">
        <f ca="1">D67-D74</f>
        <v>1.0477270844637558</v>
      </c>
      <c r="E75" s="12">
        <f t="shared" ref="E75:R75" ca="1" si="29">E67-E74</f>
        <v>2.2739998731846383</v>
      </c>
      <c r="F75" s="12">
        <f t="shared" ca="1" si="29"/>
        <v>3.4946554632437685</v>
      </c>
      <c r="G75" s="12">
        <f t="shared" ca="1" si="29"/>
        <v>4.8472003220164881</v>
      </c>
      <c r="H75" s="12">
        <f t="shared" ca="1" si="29"/>
        <v>6.118124938699923</v>
      </c>
      <c r="I75" s="12">
        <f t="shared" ca="1" si="29"/>
        <v>7.3425406292351818</v>
      </c>
      <c r="J75" s="12">
        <f t="shared" ca="1" si="29"/>
        <v>7.5745894306501187</v>
      </c>
      <c r="K75" s="12">
        <f t="shared" ca="1" si="29"/>
        <v>7.5221948420329507</v>
      </c>
      <c r="L75" s="12">
        <f t="shared" ca="1" si="29"/>
        <v>7.6098299205308635</v>
      </c>
      <c r="M75" s="12">
        <f t="shared" ca="1" si="29"/>
        <v>7.8154402575826518</v>
      </c>
      <c r="N75" s="12">
        <f t="shared" ca="1" si="29"/>
        <v>8.0766127676592738</v>
      </c>
      <c r="O75" s="12">
        <f t="shared" ca="1" si="29"/>
        <v>8.461975111921717</v>
      </c>
      <c r="P75" s="12">
        <f t="shared" ca="1" si="29"/>
        <v>8.9137969647513611</v>
      </c>
      <c r="Q75" s="12">
        <f t="shared" ca="1" si="29"/>
        <v>8.9348936620332999</v>
      </c>
      <c r="R75" s="12">
        <f t="shared" ca="1" si="29"/>
        <v>8.0735974213357018</v>
      </c>
      <c r="S75" s="12">
        <f ca="1">S67-S74</f>
        <v>14.477524484570022</v>
      </c>
      <c r="T75" s="12">
        <f ca="1">T67-T74</f>
        <v>13.798826568430016</v>
      </c>
      <c r="U75" s="12">
        <f t="shared" ref="U75:AB75" ca="1" si="30">U67-U74</f>
        <v>26.975347900342999</v>
      </c>
      <c r="V75" s="12">
        <f t="shared" ca="1" si="30"/>
        <v>26.910292008570291</v>
      </c>
      <c r="W75" s="12">
        <f t="shared" ca="1" si="30"/>
        <v>26.158547482790468</v>
      </c>
      <c r="X75" s="12">
        <f t="shared" ca="1" si="30"/>
        <v>21.860623594308141</v>
      </c>
      <c r="Y75" s="12">
        <f t="shared" ca="1" si="30"/>
        <v>21.080976457638386</v>
      </c>
      <c r="Z75" s="12">
        <f t="shared" ca="1" si="30"/>
        <v>20.291484431622941</v>
      </c>
      <c r="AA75" s="12">
        <f t="shared" ca="1" si="30"/>
        <v>19.488197919934159</v>
      </c>
      <c r="AB75" s="40">
        <f t="shared" ca="1" si="30"/>
        <v>18.66743590663323</v>
      </c>
    </row>
    <row r="76" spans="2:28" ht="15" thickBot="1" x14ac:dyDescent="0.4">
      <c r="B76" s="30" t="s">
        <v>177</v>
      </c>
      <c r="C76" s="32" t="s">
        <v>19</v>
      </c>
      <c r="D76" s="74">
        <f ca="1">IF(D75/$D$7&gt;0,D75/$D$7,0)</f>
        <v>1.4924887243073445E-2</v>
      </c>
      <c r="E76" s="74">
        <f t="shared" ref="E76:AB76" ca="1" si="31">IF(E75/$D$7&gt;0,E75/$D$7,0)</f>
        <v>3.2393160586675761E-2</v>
      </c>
      <c r="F76" s="74">
        <f t="shared" ca="1" si="31"/>
        <v>4.9781416855324334E-2</v>
      </c>
      <c r="G76" s="74">
        <f t="shared" ca="1" si="31"/>
        <v>6.904843763556251E-2</v>
      </c>
      <c r="H76" s="74">
        <f t="shared" ca="1" si="31"/>
        <v>8.7152776904557305E-2</v>
      </c>
      <c r="I76" s="74">
        <f t="shared" ca="1" si="31"/>
        <v>0.10459459585805102</v>
      </c>
      <c r="J76" s="74">
        <f t="shared" ca="1" si="31"/>
        <v>0.10790013433974528</v>
      </c>
      <c r="K76" s="74">
        <f t="shared" ca="1" si="31"/>
        <v>0.10715377267853206</v>
      </c>
      <c r="L76" s="74">
        <f t="shared" ca="1" si="31"/>
        <v>0.10840213562009776</v>
      </c>
      <c r="M76" s="74">
        <f t="shared" ca="1" si="31"/>
        <v>0.11133105780032267</v>
      </c>
      <c r="N76" s="74">
        <f t="shared" ca="1" si="31"/>
        <v>0.11505146392677028</v>
      </c>
      <c r="O76" s="74">
        <f t="shared" ca="1" si="31"/>
        <v>0.12054095601028086</v>
      </c>
      <c r="P76" s="74">
        <f t="shared" ca="1" si="31"/>
        <v>0.12697716474004786</v>
      </c>
      <c r="Q76" s="74">
        <f t="shared" ca="1" si="31"/>
        <v>0.12727768749335183</v>
      </c>
      <c r="R76" s="74">
        <f t="shared" ca="1" si="31"/>
        <v>0.11500851027543735</v>
      </c>
      <c r="S76" s="74">
        <f t="shared" ca="1" si="31"/>
        <v>0.20623254251524248</v>
      </c>
      <c r="T76" s="74">
        <f t="shared" ca="1" si="31"/>
        <v>0.1965644810317666</v>
      </c>
      <c r="U76" s="74">
        <f t="shared" ca="1" si="31"/>
        <v>0.38426421510460113</v>
      </c>
      <c r="V76" s="74">
        <f t="shared" ca="1" si="31"/>
        <v>0.38333749299957676</v>
      </c>
      <c r="W76" s="74">
        <f t="shared" ca="1" si="31"/>
        <v>0.37262888152123169</v>
      </c>
      <c r="X76" s="74">
        <f t="shared" ca="1" si="31"/>
        <v>0.31140489450581393</v>
      </c>
      <c r="Y76" s="74">
        <f t="shared" ca="1" si="31"/>
        <v>0.30029880993786873</v>
      </c>
      <c r="Z76" s="74">
        <f t="shared" ca="1" si="31"/>
        <v>0.28905248478095358</v>
      </c>
      <c r="AA76" s="74">
        <f t="shared" ca="1" si="31"/>
        <v>0.27760965697911905</v>
      </c>
      <c r="AB76" s="81">
        <f t="shared" ca="1" si="31"/>
        <v>0.26591789040788077</v>
      </c>
    </row>
    <row r="77" spans="2:28" ht="14.5" customHeight="1" x14ac:dyDescent="0.35">
      <c r="B77" s="70" t="s">
        <v>308</v>
      </c>
      <c r="D77" s="12">
        <f ca="1">D74/D75</f>
        <v>0.27469725940089229</v>
      </c>
      <c r="E77" s="12">
        <f t="shared" ref="E77:AB77" ca="1" si="32">E74/E75</f>
        <v>0.27469725940089235</v>
      </c>
      <c r="F77" s="12">
        <f t="shared" ca="1" si="32"/>
        <v>0.27469725940089229</v>
      </c>
      <c r="G77" s="12">
        <f t="shared" ca="1" si="32"/>
        <v>0.27469725940089229</v>
      </c>
      <c r="H77" s="12">
        <f t="shared" ca="1" si="32"/>
        <v>0.27469725940089229</v>
      </c>
      <c r="I77" s="12">
        <f t="shared" ca="1" si="32"/>
        <v>0.27469725940089224</v>
      </c>
      <c r="J77" s="12">
        <f t="shared" ca="1" si="32"/>
        <v>0.43676080835126591</v>
      </c>
      <c r="K77" s="12">
        <f t="shared" ca="1" si="32"/>
        <v>0.64569587580362453</v>
      </c>
      <c r="L77" s="12">
        <f t="shared" ca="1" si="32"/>
        <v>0.82044640138849745</v>
      </c>
      <c r="M77" s="12">
        <f t="shared" ca="1" si="32"/>
        <v>0.95852617870510815</v>
      </c>
      <c r="N77" s="12">
        <f t="shared" ca="1" si="32"/>
        <v>1.0645187695775538</v>
      </c>
      <c r="O77" s="12">
        <f t="shared" ca="1" si="32"/>
        <v>1.1373957549947573</v>
      </c>
      <c r="P77" s="12">
        <f t="shared" ca="1" si="32"/>
        <v>1.1850458446726337</v>
      </c>
      <c r="Q77" s="12">
        <f t="shared" ca="1" si="32"/>
        <v>1.2500428267195447</v>
      </c>
      <c r="R77" s="12">
        <f t="shared" ca="1" si="32"/>
        <v>1.3895313853011459</v>
      </c>
      <c r="S77" s="12">
        <f t="shared" ca="1" si="32"/>
        <v>0.27469725940089224</v>
      </c>
      <c r="T77" s="12">
        <f t="shared" ca="1" si="32"/>
        <v>0.27469725940089224</v>
      </c>
      <c r="U77" s="12">
        <f t="shared" ca="1" si="32"/>
        <v>0.27469725940089229</v>
      </c>
      <c r="V77" s="12">
        <f t="shared" ca="1" si="32"/>
        <v>0.27469725940089229</v>
      </c>
      <c r="W77" s="12">
        <f t="shared" ca="1" si="32"/>
        <v>0.27469725940089224</v>
      </c>
      <c r="X77" s="12">
        <f t="shared" ca="1" si="32"/>
        <v>0.47987698949609386</v>
      </c>
      <c r="Y77" s="12">
        <f t="shared" ca="1" si="32"/>
        <v>0.48573510203185849</v>
      </c>
      <c r="Z77" s="12">
        <f t="shared" ca="1" si="32"/>
        <v>0.49082742601474805</v>
      </c>
      <c r="AA77" s="12">
        <f t="shared" ca="1" si="32"/>
        <v>0.49524874729413154</v>
      </c>
      <c r="AB77" s="12">
        <f t="shared" ca="1" si="32"/>
        <v>0.49908225998781991</v>
      </c>
    </row>
    <row r="78" spans="2:28" x14ac:dyDescent="0.35">
      <c r="B78" s="19"/>
      <c r="D78" s="77"/>
      <c r="E78" s="77"/>
      <c r="F78" s="77"/>
      <c r="G78" s="77"/>
      <c r="H78" s="77"/>
      <c r="I78" s="77"/>
      <c r="J78" s="77"/>
      <c r="K78" s="77"/>
      <c r="L78" s="77"/>
      <c r="M78" s="77"/>
      <c r="N78" s="77"/>
      <c r="O78" s="77"/>
      <c r="P78" s="77"/>
      <c r="Q78" s="77"/>
      <c r="R78" s="175"/>
      <c r="S78" s="77"/>
      <c r="T78" s="77"/>
      <c r="U78" s="77"/>
      <c r="V78" s="77"/>
      <c r="W78" s="77"/>
      <c r="X78" s="77"/>
      <c r="Y78" s="77"/>
      <c r="Z78" s="77"/>
      <c r="AA78" s="77"/>
      <c r="AB78" s="77"/>
    </row>
    <row r="79" spans="2:28" x14ac:dyDescent="0.35">
      <c r="B79" s="19"/>
      <c r="D79" s="77"/>
      <c r="E79" s="77"/>
      <c r="F79" s="77"/>
      <c r="G79" s="77"/>
      <c r="H79" s="77"/>
      <c r="I79" s="77"/>
      <c r="J79" s="77"/>
      <c r="K79" s="77"/>
      <c r="L79" s="77"/>
      <c r="M79" s="77"/>
      <c r="N79" s="77"/>
      <c r="O79" s="77"/>
      <c r="P79" s="77"/>
      <c r="Q79" s="176"/>
      <c r="R79" s="77"/>
      <c r="S79" s="77"/>
      <c r="T79" s="77"/>
      <c r="U79" s="77"/>
      <c r="V79" s="77"/>
      <c r="W79" s="77"/>
      <c r="X79" s="77"/>
      <c r="Y79" s="77"/>
      <c r="Z79" s="77"/>
      <c r="AA79" s="77"/>
      <c r="AB79" s="77"/>
    </row>
    <row r="80" spans="2:28" ht="15" thickBot="1" x14ac:dyDescent="0.4">
      <c r="B80" s="19"/>
      <c r="D80" s="77"/>
      <c r="E80" s="77"/>
      <c r="F80" s="77"/>
      <c r="G80" s="77"/>
      <c r="H80" s="77"/>
      <c r="I80" s="77"/>
      <c r="J80" s="77"/>
      <c r="K80" s="77"/>
      <c r="L80" s="77"/>
      <c r="M80" s="77"/>
      <c r="N80" s="77"/>
      <c r="O80" s="77"/>
      <c r="P80" s="77"/>
      <c r="Q80" s="77"/>
      <c r="R80" s="77"/>
      <c r="S80" s="77"/>
      <c r="T80" s="77"/>
      <c r="U80" s="77"/>
      <c r="V80" s="77"/>
      <c r="W80" s="77"/>
      <c r="X80" s="77"/>
      <c r="Y80" s="77"/>
      <c r="Z80" s="77"/>
      <c r="AA80" s="77"/>
      <c r="AB80" s="77"/>
    </row>
    <row r="81" spans="2:28" x14ac:dyDescent="0.35">
      <c r="B81" s="39" t="s">
        <v>133</v>
      </c>
      <c r="C81" s="7"/>
      <c r="D81" s="44"/>
      <c r="E81" s="44"/>
      <c r="F81" s="44"/>
      <c r="G81" s="44"/>
      <c r="H81" s="44"/>
      <c r="I81" s="44"/>
      <c r="J81" s="44"/>
      <c r="K81" s="44"/>
      <c r="L81" s="44"/>
      <c r="M81" s="44"/>
      <c r="N81" s="44"/>
      <c r="O81" s="44"/>
      <c r="P81" s="44"/>
      <c r="Q81" s="44"/>
      <c r="R81" s="44"/>
      <c r="S81" s="44"/>
      <c r="T81" s="44"/>
      <c r="U81" s="44"/>
      <c r="V81" s="44"/>
      <c r="W81" s="44"/>
      <c r="X81" s="44"/>
      <c r="Y81" s="44"/>
      <c r="Z81" s="44"/>
      <c r="AA81" s="44"/>
      <c r="AB81" s="45"/>
    </row>
    <row r="82" spans="2:28" x14ac:dyDescent="0.35">
      <c r="B82" s="19" t="s">
        <v>100</v>
      </c>
      <c r="C82" t="s">
        <v>165</v>
      </c>
      <c r="D82" s="12">
        <f>Determination_of_Tariff!D70</f>
        <v>210.60000000000002</v>
      </c>
      <c r="E82" s="12">
        <f>Determination_of_Tariff!E70</f>
        <v>70.199999999999989</v>
      </c>
      <c r="F82" s="12">
        <f>Determination_of_Tariff!F70</f>
        <v>28.08</v>
      </c>
      <c r="G82" s="12">
        <f>Determination_of_Tariff!G70</f>
        <v>16.848000000000003</v>
      </c>
      <c r="H82" s="12">
        <f>Determination_of_Tariff!H70</f>
        <v>10.108799999999997</v>
      </c>
      <c r="I82" s="12">
        <f>Determination_of_Tariff!I70</f>
        <v>6.0652800000000076</v>
      </c>
      <c r="J82" s="12">
        <f>Determination_of_Tariff!J70</f>
        <v>3.6391679999999953</v>
      </c>
      <c r="K82" s="12">
        <f>Determination_of_Tariff!K70</f>
        <v>2.1835008000000018</v>
      </c>
      <c r="L82" s="12">
        <f>Determination_of_Tariff!L70</f>
        <v>1.3101004800000056</v>
      </c>
      <c r="M82" s="12">
        <f>Determination_of_Tariff!M70</f>
        <v>0.78606028799999883</v>
      </c>
      <c r="N82" s="12">
        <f>Determination_of_Tariff!N70</f>
        <v>0.47163617280000381</v>
      </c>
      <c r="O82" s="12">
        <f>Determination_of_Tariff!O70</f>
        <v>0.28298170368000231</v>
      </c>
      <c r="P82" s="12">
        <f>Determination_of_Tariff!P70</f>
        <v>0.16978902220801048</v>
      </c>
      <c r="Q82" s="12">
        <f>Determination_of_Tariff!Q70</f>
        <v>0.10187341332480174</v>
      </c>
      <c r="R82" s="12">
        <f>Determination_of_Tariff!R70</f>
        <v>6.112404799487195E-2</v>
      </c>
      <c r="S82" s="12">
        <f>Determination_of_Tariff!S70</f>
        <v>3.6674428796914071E-2</v>
      </c>
      <c r="T82" s="12">
        <f>Determination_of_Tariff!T70</f>
        <v>2.2004657278148446E-2</v>
      </c>
      <c r="U82" s="12">
        <f>Determination_of_Tariff!U70</f>
        <v>1.320279436688452E-2</v>
      </c>
      <c r="V82" s="12">
        <f>Determination_of_Tariff!V70</f>
        <v>7.9216766201398066E-3</v>
      </c>
      <c r="W82" s="12">
        <f>Determination_of_Tariff!W70</f>
        <v>4.7530059720884317E-3</v>
      </c>
      <c r="X82" s="12">
        <f>Determination_of_Tariff!X70</f>
        <v>2.8518035832576063E-3</v>
      </c>
      <c r="Y82" s="12">
        <f>Determination_of_Tariff!Y70</f>
        <v>1.7110821499500162E-3</v>
      </c>
      <c r="Z82" s="12">
        <f>Determination_of_Tariff!Z70</f>
        <v>1.0266492899745573E-3</v>
      </c>
      <c r="AA82" s="12">
        <f>Determination_of_Tariff!AA70</f>
        <v>6.1598957397563942E-4</v>
      </c>
      <c r="AB82" s="40">
        <f>Determination_of_Tariff!AB70</f>
        <v>3.6959374438083614E-4</v>
      </c>
    </row>
    <row r="83" spans="2:28" x14ac:dyDescent="0.35">
      <c r="B83" s="19" t="s">
        <v>303</v>
      </c>
      <c r="C83" t="s">
        <v>165</v>
      </c>
      <c r="D83" s="12">
        <f ca="1">D57</f>
        <v>-3.5315976057267742</v>
      </c>
      <c r="E83" s="12">
        <f t="shared" ref="E83:AB83" ca="1" si="33">E57</f>
        <v>-1.9344011155241274</v>
      </c>
      <c r="F83" s="12">
        <f t="shared" ca="1" si="33"/>
        <v>-0.34460334255112191</v>
      </c>
      <c r="G83" s="12">
        <f t="shared" ca="1" si="33"/>
        <v>1.396279190937576</v>
      </c>
      <c r="H83" s="12">
        <f t="shared" ca="1" si="33"/>
        <v>3.0414016987590338</v>
      </c>
      <c r="I83" s="12">
        <f t="shared" ca="1" si="33"/>
        <v>4.6312631844061158</v>
      </c>
      <c r="J83" s="12">
        <f t="shared" ca="1" si="33"/>
        <v>6.1856181096198837</v>
      </c>
      <c r="K83" s="12">
        <f t="shared" ca="1" si="33"/>
        <v>7.7138208589011761</v>
      </c>
      <c r="L83" s="12">
        <f t="shared" ca="1" si="33"/>
        <v>9.2199963776727163</v>
      </c>
      <c r="M83" s="12">
        <f t="shared" ca="1" si="33"/>
        <v>10.70562380610966</v>
      </c>
      <c r="N83" s="12">
        <f t="shared" ca="1" si="33"/>
        <v>12.105274731750869</v>
      </c>
      <c r="O83" s="12">
        <f t="shared" ca="1" si="33"/>
        <v>13.549463454365711</v>
      </c>
      <c r="P83" s="12">
        <f t="shared" ca="1" si="33"/>
        <v>14.971655865715791</v>
      </c>
      <c r="Q83" s="12">
        <f t="shared" ca="1" si="33"/>
        <v>15.630015629834961</v>
      </c>
      <c r="R83" s="12">
        <f t="shared" ca="1" si="33"/>
        <v>14.849545611165615</v>
      </c>
      <c r="S83" s="12">
        <f t="shared" ca="1" si="33"/>
        <v>14.042985844818631</v>
      </c>
      <c r="T83" s="12">
        <f t="shared" ca="1" si="33"/>
        <v>13.208729745271139</v>
      </c>
      <c r="U83" s="12">
        <f t="shared" ca="1" si="33"/>
        <v>30.035468526922831</v>
      </c>
      <c r="V83" s="12">
        <f t="shared" ca="1" si="33"/>
        <v>29.982990981950294</v>
      </c>
      <c r="W83" s="12">
        <f t="shared" ca="1" si="33"/>
        <v>29.05498043029991</v>
      </c>
      <c r="X83" s="12">
        <f t="shared" ca="1" si="33"/>
        <v>28.091810087668954</v>
      </c>
      <c r="Y83" s="12">
        <f t="shared" ca="1" si="33"/>
        <v>27.091337464779944</v>
      </c>
      <c r="Z83" s="12">
        <f t="shared" ca="1" si="33"/>
        <v>26.0512980944399</v>
      </c>
      <c r="AA83" s="12">
        <f t="shared" ca="1" si="33"/>
        <v>24.969298723883046</v>
      </c>
      <c r="AB83" s="12">
        <f t="shared" ca="1" si="33"/>
        <v>23.84281002978577</v>
      </c>
    </row>
    <row r="84" spans="2:28" x14ac:dyDescent="0.35">
      <c r="B84" s="19" t="s">
        <v>173</v>
      </c>
      <c r="C84" t="s">
        <v>165</v>
      </c>
      <c r="D84" s="12">
        <f ca="1">D83+D47</f>
        <v>15.001202394273225</v>
      </c>
      <c r="E84" s="12">
        <f t="shared" ref="E84:AB84" ca="1" si="34">E83+E47</f>
        <v>16.59839888447587</v>
      </c>
      <c r="F84" s="12">
        <f t="shared" ca="1" si="34"/>
        <v>18.188196657448877</v>
      </c>
      <c r="G84" s="12">
        <f t="shared" ca="1" si="34"/>
        <v>19.929079190937575</v>
      </c>
      <c r="H84" s="12">
        <f t="shared" ca="1" si="34"/>
        <v>21.574201698759033</v>
      </c>
      <c r="I84" s="12">
        <f t="shared" ca="1" si="34"/>
        <v>23.164063184406114</v>
      </c>
      <c r="J84" s="12">
        <f t="shared" ca="1" si="34"/>
        <v>24.718418109619883</v>
      </c>
      <c r="K84" s="12">
        <f t="shared" ca="1" si="34"/>
        <v>26.246620858901174</v>
      </c>
      <c r="L84" s="12">
        <f t="shared" ca="1" si="34"/>
        <v>27.752796377672716</v>
      </c>
      <c r="M84" s="12">
        <f t="shared" ca="1" si="34"/>
        <v>29.238423806109658</v>
      </c>
      <c r="N84" s="12">
        <f t="shared" ca="1" si="34"/>
        <v>30.638074731750869</v>
      </c>
      <c r="O84" s="12">
        <f t="shared" ca="1" si="34"/>
        <v>32.082263454365709</v>
      </c>
      <c r="P84" s="12">
        <f t="shared" ca="1" si="34"/>
        <v>33.504455865715791</v>
      </c>
      <c r="Q84" s="12">
        <f t="shared" ca="1" si="34"/>
        <v>34.162815629834959</v>
      </c>
      <c r="R84" s="12">
        <f t="shared" ca="1" si="34"/>
        <v>33.382345611165611</v>
      </c>
      <c r="S84" s="12">
        <f t="shared" ca="1" si="34"/>
        <v>32.575785844818625</v>
      </c>
      <c r="T84" s="12">
        <f t="shared" ca="1" si="34"/>
        <v>31.741529745271137</v>
      </c>
      <c r="U84" s="12">
        <f t="shared" ca="1" si="34"/>
        <v>30.877868526922931</v>
      </c>
      <c r="V84" s="12">
        <f t="shared" ca="1" si="34"/>
        <v>29.982990981950294</v>
      </c>
      <c r="W84" s="12">
        <f t="shared" ca="1" si="34"/>
        <v>29.05498043029991</v>
      </c>
      <c r="X84" s="12">
        <f t="shared" ca="1" si="34"/>
        <v>28.091810087668954</v>
      </c>
      <c r="Y84" s="12">
        <f t="shared" ca="1" si="34"/>
        <v>27.091337464779944</v>
      </c>
      <c r="Z84" s="12">
        <f t="shared" ca="1" si="34"/>
        <v>26.0512980944399</v>
      </c>
      <c r="AA84" s="12">
        <f t="shared" ca="1" si="34"/>
        <v>24.969298723883046</v>
      </c>
      <c r="AB84" s="12">
        <f t="shared" ca="1" si="34"/>
        <v>23.84281002978577</v>
      </c>
    </row>
    <row r="85" spans="2:28" x14ac:dyDescent="0.35">
      <c r="B85" s="19" t="s">
        <v>146</v>
      </c>
      <c r="C85" t="s">
        <v>165</v>
      </c>
      <c r="D85" s="12">
        <f ca="1">D84-D82</f>
        <v>-195.59879760572679</v>
      </c>
      <c r="E85" s="12">
        <f ca="1">E84-E82+MIN(D85,0)</f>
        <v>-249.20039872125091</v>
      </c>
      <c r="F85" s="12">
        <f ca="1">F84-F82+MIN(E85,0)</f>
        <v>-259.09220206380201</v>
      </c>
      <c r="G85" s="12">
        <f t="shared" ref="G85:AB85" ca="1" si="35">G84-G82+MIN(F85,0)</f>
        <v>-256.01112287286446</v>
      </c>
      <c r="H85" s="12">
        <f t="shared" ca="1" si="35"/>
        <v>-244.54572117410544</v>
      </c>
      <c r="I85" s="12">
        <f t="shared" ca="1" si="35"/>
        <v>-227.44693798969934</v>
      </c>
      <c r="J85" s="12">
        <f t="shared" ca="1" si="35"/>
        <v>-206.36768788007944</v>
      </c>
      <c r="K85" s="12">
        <f t="shared" ca="1" si="35"/>
        <v>-182.30456782117827</v>
      </c>
      <c r="L85" s="12">
        <f t="shared" ca="1" si="35"/>
        <v>-155.86187192350556</v>
      </c>
      <c r="M85" s="12">
        <f t="shared" ca="1" si="35"/>
        <v>-127.4095084053959</v>
      </c>
      <c r="N85" s="12">
        <f t="shared" ca="1" si="35"/>
        <v>-97.243069846445024</v>
      </c>
      <c r="O85" s="12">
        <f t="shared" ca="1" si="35"/>
        <v>-65.443788095759317</v>
      </c>
      <c r="P85" s="12">
        <f t="shared" ca="1" si="35"/>
        <v>-32.109121252251533</v>
      </c>
      <c r="Q85" s="12">
        <f t="shared" ca="1" si="35"/>
        <v>1.9518209642586228</v>
      </c>
      <c r="R85" s="12">
        <f t="shared" ca="1" si="35"/>
        <v>33.321221563170738</v>
      </c>
      <c r="S85" s="12">
        <f t="shared" ca="1" si="35"/>
        <v>32.539111416021711</v>
      </c>
      <c r="T85" s="12">
        <f t="shared" ca="1" si="35"/>
        <v>31.719525087992988</v>
      </c>
      <c r="U85" s="12">
        <f t="shared" ca="1" si="35"/>
        <v>30.864665732556048</v>
      </c>
      <c r="V85" s="12">
        <f t="shared" ca="1" si="35"/>
        <v>29.975069305330155</v>
      </c>
      <c r="W85" s="12">
        <f t="shared" ca="1" si="35"/>
        <v>29.050227424327822</v>
      </c>
      <c r="X85" s="12">
        <f t="shared" ca="1" si="35"/>
        <v>28.088958284085695</v>
      </c>
      <c r="Y85" s="12">
        <f t="shared" ca="1" si="35"/>
        <v>27.089626382629994</v>
      </c>
      <c r="Z85" s="12">
        <f t="shared" ca="1" si="35"/>
        <v>26.050271445149924</v>
      </c>
      <c r="AA85" s="12">
        <f t="shared" ca="1" si="35"/>
        <v>24.96868273430907</v>
      </c>
      <c r="AB85" s="12">
        <f t="shared" ca="1" si="35"/>
        <v>23.84244043604139</v>
      </c>
    </row>
    <row r="86" spans="2:28" x14ac:dyDescent="0.35">
      <c r="B86" s="19" t="s">
        <v>182</v>
      </c>
      <c r="C86" t="s">
        <v>165</v>
      </c>
      <c r="D86" s="177">
        <f t="shared" ref="D86:AB86" ca="1" si="36">IF(D85&gt;=0,IF(ISNUMBER(D$62),0,D85*$D$9),0)</f>
        <v>0</v>
      </c>
      <c r="E86" s="177">
        <f t="shared" ca="1" si="36"/>
        <v>0</v>
      </c>
      <c r="F86" s="177">
        <f t="shared" ca="1" si="36"/>
        <v>0</v>
      </c>
      <c r="G86" s="177">
        <f t="shared" ca="1" si="36"/>
        <v>0</v>
      </c>
      <c r="H86" s="177">
        <f t="shared" ca="1" si="36"/>
        <v>0</v>
      </c>
      <c r="I86" s="177">
        <f t="shared" ca="1" si="36"/>
        <v>0</v>
      </c>
      <c r="J86" s="177">
        <f t="shared" ca="1" si="36"/>
        <v>0</v>
      </c>
      <c r="K86" s="177">
        <f t="shared" ca="1" si="36"/>
        <v>0</v>
      </c>
      <c r="L86" s="177">
        <f t="shared" ca="1" si="36"/>
        <v>0</v>
      </c>
      <c r="M86" s="177">
        <f t="shared" ca="1" si="36"/>
        <v>0</v>
      </c>
      <c r="N86" s="177">
        <f t="shared" ca="1" si="36"/>
        <v>0</v>
      </c>
      <c r="O86" s="177">
        <f t="shared" ca="1" si="36"/>
        <v>0</v>
      </c>
      <c r="P86" s="177">
        <f t="shared" ca="1" si="36"/>
        <v>0</v>
      </c>
      <c r="Q86" s="177">
        <f t="shared" ca="1" si="36"/>
        <v>0.67552523572990941</v>
      </c>
      <c r="R86" s="177">
        <f t="shared" ca="1" si="36"/>
        <v>11.532474783013393</v>
      </c>
      <c r="S86" s="177">
        <f t="shared" ca="1" si="36"/>
        <v>11.261786461085116</v>
      </c>
      <c r="T86" s="177">
        <f t="shared" ca="1" si="36"/>
        <v>10.978127632954374</v>
      </c>
      <c r="U86" s="177">
        <f t="shared" ca="1" si="36"/>
        <v>10.682260810037649</v>
      </c>
      <c r="V86" s="177">
        <f t="shared" ca="1" si="36"/>
        <v>10.374371486574768</v>
      </c>
      <c r="W86" s="177">
        <f t="shared" ca="1" si="36"/>
        <v>10.05428371155986</v>
      </c>
      <c r="X86" s="177">
        <f t="shared" ca="1" si="36"/>
        <v>9.7215884621220603</v>
      </c>
      <c r="Y86" s="177">
        <f t="shared" ca="1" si="36"/>
        <v>9.375719691028241</v>
      </c>
      <c r="Z86" s="177">
        <f t="shared" ca="1" si="36"/>
        <v>9.0159989471663895</v>
      </c>
      <c r="AA86" s="177">
        <f t="shared" ca="1" si="36"/>
        <v>8.6416610943443697</v>
      </c>
      <c r="AB86" s="177">
        <f t="shared" ca="1" si="36"/>
        <v>8.2518686349139259</v>
      </c>
    </row>
    <row r="87" spans="2:28" x14ac:dyDescent="0.35">
      <c r="B87" s="19" t="s">
        <v>180</v>
      </c>
      <c r="C87" t="s">
        <v>165</v>
      </c>
      <c r="D87" s="12">
        <f ca="1">MAX(D83*$D$10,0)</f>
        <v>0</v>
      </c>
      <c r="E87" s="33">
        <f ca="1">MAX(E83*$D$10,0)</f>
        <v>0</v>
      </c>
      <c r="F87" s="33">
        <f t="shared" ref="F87:AB87" ca="1" si="37">MAX(F83*$D$10,0)</f>
        <v>0</v>
      </c>
      <c r="G87" s="33">
        <f ca="1">MAX(G83*$D$10,0)</f>
        <v>0.30089816564704763</v>
      </c>
      <c r="H87" s="12">
        <f t="shared" ca="1" si="37"/>
        <v>0.65542206608257181</v>
      </c>
      <c r="I87" s="12">
        <f t="shared" ca="1" si="37"/>
        <v>0.99803721623951791</v>
      </c>
      <c r="J87" s="12">
        <f t="shared" ca="1" si="37"/>
        <v>1.333000702623085</v>
      </c>
      <c r="K87" s="12">
        <f t="shared" ca="1" si="37"/>
        <v>1.6623283950932035</v>
      </c>
      <c r="L87" s="12">
        <f t="shared" ca="1" si="37"/>
        <v>1.9869092193884703</v>
      </c>
      <c r="M87" s="12">
        <f t="shared" ca="1" si="37"/>
        <v>2.3070619302166318</v>
      </c>
      <c r="N87" s="12">
        <f t="shared" ca="1" si="37"/>
        <v>2.6086867046923121</v>
      </c>
      <c r="O87" s="12">
        <f t="shared" ca="1" si="37"/>
        <v>2.9199093744158104</v>
      </c>
      <c r="P87" s="12">
        <f t="shared" ca="1" si="37"/>
        <v>3.226391839061753</v>
      </c>
      <c r="Q87" s="12">
        <f t="shared" ca="1" si="37"/>
        <v>3.3682683682294341</v>
      </c>
      <c r="R87" s="12">
        <f t="shared" ca="1" si="37"/>
        <v>3.2000770792061899</v>
      </c>
      <c r="S87" s="12">
        <f ca="1">MAX(S83*$D$10,0)</f>
        <v>3.0262634495584151</v>
      </c>
      <c r="T87" s="12">
        <f t="shared" ca="1" si="37"/>
        <v>2.8464812601059304</v>
      </c>
      <c r="U87" s="12">
        <f t="shared" ca="1" si="37"/>
        <v>6.4726434675518698</v>
      </c>
      <c r="V87" s="12">
        <f t="shared" ca="1" si="37"/>
        <v>6.4613345566102884</v>
      </c>
      <c r="W87" s="12">
        <f t="shared" ca="1" si="37"/>
        <v>6.2613482827296307</v>
      </c>
      <c r="X87" s="12">
        <f t="shared" ca="1" si="37"/>
        <v>6.0537850738926595</v>
      </c>
      <c r="Y87" s="12">
        <f t="shared" ca="1" si="37"/>
        <v>5.8381832236600779</v>
      </c>
      <c r="Z87" s="12">
        <f t="shared" ca="1" si="37"/>
        <v>5.6140547393517988</v>
      </c>
      <c r="AA87" s="12">
        <f t="shared" ca="1" si="37"/>
        <v>5.3808838749967967</v>
      </c>
      <c r="AB87" s="40">
        <f t="shared" ca="1" si="37"/>
        <v>5.1381255614188337</v>
      </c>
    </row>
    <row r="88" spans="2:28" x14ac:dyDescent="0.35">
      <c r="B88" s="19" t="s">
        <v>148</v>
      </c>
      <c r="C88" t="s">
        <v>165</v>
      </c>
      <c r="D88" s="33">
        <f t="shared" ref="D88:AB88" si="38">IF(D$61&gt;=$D$13,IF(D$61&lt;$D$13+$D$15,MAX(D86-D87,0),0),0)</f>
        <v>0</v>
      </c>
      <c r="E88" s="12">
        <f t="shared" si="38"/>
        <v>0</v>
      </c>
      <c r="F88" s="12">
        <f t="shared" si="38"/>
        <v>0</v>
      </c>
      <c r="G88" s="12">
        <f t="shared" si="38"/>
        <v>0</v>
      </c>
      <c r="H88" s="12">
        <f t="shared" si="38"/>
        <v>0</v>
      </c>
      <c r="I88" s="12">
        <f t="shared" si="38"/>
        <v>0</v>
      </c>
      <c r="J88" s="12">
        <f t="shared" si="38"/>
        <v>0</v>
      </c>
      <c r="K88" s="12">
        <f t="shared" si="38"/>
        <v>0</v>
      </c>
      <c r="L88" s="12">
        <f t="shared" si="38"/>
        <v>0</v>
      </c>
      <c r="M88" s="12">
        <f t="shared" si="38"/>
        <v>0</v>
      </c>
      <c r="N88" s="12">
        <f t="shared" si="38"/>
        <v>0</v>
      </c>
      <c r="O88" s="12">
        <f t="shared" si="38"/>
        <v>0</v>
      </c>
      <c r="P88" s="12">
        <f t="shared" si="38"/>
        <v>0</v>
      </c>
      <c r="Q88" s="12">
        <f t="shared" si="38"/>
        <v>0</v>
      </c>
      <c r="R88" s="12">
        <f t="shared" si="38"/>
        <v>0</v>
      </c>
      <c r="S88" s="223">
        <f t="shared" ca="1" si="38"/>
        <v>8.2355230115267002</v>
      </c>
      <c r="T88" s="223">
        <f t="shared" ca="1" si="38"/>
        <v>8.1316463728484436</v>
      </c>
      <c r="U88" s="223">
        <f t="shared" ca="1" si="38"/>
        <v>4.209617342485779</v>
      </c>
      <c r="V88" s="223">
        <f t="shared" ca="1" si="38"/>
        <v>3.9130369299644796</v>
      </c>
      <c r="W88" s="223">
        <f t="shared" ca="1" si="38"/>
        <v>3.792935428830229</v>
      </c>
      <c r="X88" s="12">
        <f t="shared" si="38"/>
        <v>0</v>
      </c>
      <c r="Y88" s="12">
        <f t="shared" si="38"/>
        <v>0</v>
      </c>
      <c r="Z88" s="12">
        <f t="shared" si="38"/>
        <v>0</v>
      </c>
      <c r="AA88" s="12">
        <f t="shared" si="38"/>
        <v>0</v>
      </c>
      <c r="AB88" s="12">
        <f t="shared" si="38"/>
        <v>0</v>
      </c>
    </row>
    <row r="89" spans="2:28" x14ac:dyDescent="0.35">
      <c r="B89" s="19" t="s">
        <v>149</v>
      </c>
      <c r="C89" t="s">
        <v>165</v>
      </c>
      <c r="D89" s="33">
        <f ca="1">IF(D$61=$D$13-1,SUM(OFFSET(D87,0,-$D$14+1,1,$D$14)),0)</f>
        <v>0</v>
      </c>
      <c r="E89" s="12">
        <f t="shared" ref="E89:AB89" ca="1" si="39">IF(E$61=$D$13-1,SUM(OFFSET(E87,0,-$D$14+1,1,$D$14)),IF(AND(E$61&gt;=$D$13,E$61&lt;$D$13+$D$15),MAX(D89-E88,0),0))</f>
        <v>0</v>
      </c>
      <c r="F89" s="12">
        <f t="shared" ca="1" si="39"/>
        <v>0</v>
      </c>
      <c r="G89" s="12">
        <f t="shared" ca="1" si="39"/>
        <v>0</v>
      </c>
      <c r="H89" s="12">
        <f t="shared" ca="1" si="39"/>
        <v>0</v>
      </c>
      <c r="I89" s="12">
        <f t="shared" ca="1" si="39"/>
        <v>0</v>
      </c>
      <c r="J89" s="12">
        <f t="shared" ca="1" si="39"/>
        <v>0</v>
      </c>
      <c r="K89" s="12">
        <f t="shared" ca="1" si="39"/>
        <v>0</v>
      </c>
      <c r="L89" s="12">
        <f t="shared" ca="1" si="39"/>
        <v>0</v>
      </c>
      <c r="M89" s="12">
        <f t="shared" ca="1" si="39"/>
        <v>0</v>
      </c>
      <c r="N89" s="12">
        <f t="shared" ca="1" si="39"/>
        <v>0</v>
      </c>
      <c r="O89" s="12">
        <f t="shared" ca="1" si="39"/>
        <v>0</v>
      </c>
      <c r="P89" s="12">
        <f t="shared" ca="1" si="39"/>
        <v>0</v>
      </c>
      <c r="Q89" s="12">
        <f t="shared" ca="1" si="39"/>
        <v>0</v>
      </c>
      <c r="R89" s="12">
        <f t="shared" ca="1" si="39"/>
        <v>23.610670829166406</v>
      </c>
      <c r="S89" s="12">
        <f t="shared" ca="1" si="39"/>
        <v>15.375147817639705</v>
      </c>
      <c r="T89" s="12">
        <f t="shared" ca="1" si="39"/>
        <v>7.2435014447912618</v>
      </c>
      <c r="U89" s="12">
        <f t="shared" ca="1" si="39"/>
        <v>3.0338841023054828</v>
      </c>
      <c r="V89" s="12">
        <f t="shared" ca="1" si="39"/>
        <v>0</v>
      </c>
      <c r="W89" s="12">
        <f t="shared" ca="1" si="39"/>
        <v>0</v>
      </c>
      <c r="X89" s="12">
        <f t="shared" ca="1" si="39"/>
        <v>0</v>
      </c>
      <c r="Y89" s="12">
        <f t="shared" ca="1" si="39"/>
        <v>0</v>
      </c>
      <c r="Z89" s="12">
        <f t="shared" ca="1" si="39"/>
        <v>0</v>
      </c>
      <c r="AA89" s="12">
        <f t="shared" ca="1" si="39"/>
        <v>0</v>
      </c>
      <c r="AB89" s="12">
        <f t="shared" ca="1" si="39"/>
        <v>0</v>
      </c>
    </row>
    <row r="90" spans="2:28" x14ac:dyDescent="0.35">
      <c r="B90" s="19" t="s">
        <v>181</v>
      </c>
      <c r="C90" t="s">
        <v>165</v>
      </c>
      <c r="D90" s="12">
        <f ca="1">MAX(D86-D88,D87)</f>
        <v>0</v>
      </c>
      <c r="E90" s="33">
        <f ca="1">MAX(E86-E88,E87)</f>
        <v>0</v>
      </c>
      <c r="F90" s="33">
        <f ca="1">MAX(F86-F88,F87)</f>
        <v>0</v>
      </c>
      <c r="G90" s="33">
        <f ca="1">MAX(G86-G88,G87)</f>
        <v>0.30089816564704763</v>
      </c>
      <c r="H90" s="12">
        <f t="shared" ref="H90:AB90" ca="1" si="40">MAX(H86-H88,H87)</f>
        <v>0.65542206608257181</v>
      </c>
      <c r="I90" s="12">
        <f t="shared" ca="1" si="40"/>
        <v>0.99803721623951791</v>
      </c>
      <c r="J90" s="12">
        <f t="shared" ca="1" si="40"/>
        <v>1.333000702623085</v>
      </c>
      <c r="K90" s="12">
        <f t="shared" ca="1" si="40"/>
        <v>1.6623283950932035</v>
      </c>
      <c r="L90" s="12">
        <f t="shared" ca="1" si="40"/>
        <v>1.9869092193884703</v>
      </c>
      <c r="M90" s="12">
        <f t="shared" ca="1" si="40"/>
        <v>2.3070619302166318</v>
      </c>
      <c r="N90" s="12">
        <f t="shared" ca="1" si="40"/>
        <v>2.6086867046923121</v>
      </c>
      <c r="O90" s="12">
        <f t="shared" ca="1" si="40"/>
        <v>2.9199093744158104</v>
      </c>
      <c r="P90" s="12">
        <f t="shared" ca="1" si="40"/>
        <v>3.226391839061753</v>
      </c>
      <c r="Q90" s="12">
        <f t="shared" ca="1" si="40"/>
        <v>3.3682683682294341</v>
      </c>
      <c r="R90" s="12">
        <f t="shared" ca="1" si="40"/>
        <v>11.532474783013393</v>
      </c>
      <c r="S90" s="12">
        <f t="shared" ca="1" si="40"/>
        <v>3.0262634495584155</v>
      </c>
      <c r="T90" s="12">
        <f t="shared" ca="1" si="40"/>
        <v>2.8464812601059304</v>
      </c>
      <c r="U90" s="12">
        <f t="shared" ca="1" si="40"/>
        <v>6.4726434675518698</v>
      </c>
      <c r="V90" s="12">
        <f t="shared" ca="1" si="40"/>
        <v>6.4613345566102884</v>
      </c>
      <c r="W90" s="12">
        <f t="shared" ca="1" si="40"/>
        <v>6.2613482827296307</v>
      </c>
      <c r="X90" s="12">
        <f t="shared" ca="1" si="40"/>
        <v>9.7215884621220603</v>
      </c>
      <c r="Y90" s="12">
        <f t="shared" ca="1" si="40"/>
        <v>9.375719691028241</v>
      </c>
      <c r="Z90" s="12">
        <f t="shared" ca="1" si="40"/>
        <v>9.0159989471663895</v>
      </c>
      <c r="AA90" s="12">
        <f t="shared" ca="1" si="40"/>
        <v>8.6416610943443697</v>
      </c>
      <c r="AB90" s="40">
        <f t="shared" ca="1" si="40"/>
        <v>8.2518686349139259</v>
      </c>
    </row>
    <row r="91" spans="2:28" x14ac:dyDescent="0.35">
      <c r="B91" s="19" t="s">
        <v>176</v>
      </c>
      <c r="C91" t="s">
        <v>165</v>
      </c>
      <c r="D91" s="12">
        <f ca="1">D83-D90</f>
        <v>-3.5315976057267742</v>
      </c>
      <c r="E91" s="12">
        <f t="shared" ref="E91:AB91" ca="1" si="41">E83-E90</f>
        <v>-1.9344011155241274</v>
      </c>
      <c r="F91" s="12">
        <f t="shared" ca="1" si="41"/>
        <v>-0.34460334255112191</v>
      </c>
      <c r="G91" s="12">
        <f t="shared" ca="1" si="41"/>
        <v>1.0953810252905285</v>
      </c>
      <c r="H91" s="12">
        <f t="shared" ca="1" si="41"/>
        <v>2.3859796326764622</v>
      </c>
      <c r="I91" s="12">
        <f t="shared" ca="1" si="41"/>
        <v>3.6332259681665979</v>
      </c>
      <c r="J91" s="12">
        <f t="shared" ca="1" si="41"/>
        <v>4.8526174069967984</v>
      </c>
      <c r="K91" s="12">
        <f t="shared" ca="1" si="41"/>
        <v>6.051492463807973</v>
      </c>
      <c r="L91" s="12">
        <f t="shared" ca="1" si="41"/>
        <v>7.2330871582842455</v>
      </c>
      <c r="M91" s="12">
        <f t="shared" ca="1" si="41"/>
        <v>8.3985618758930283</v>
      </c>
      <c r="N91" s="12">
        <f t="shared" ca="1" si="41"/>
        <v>9.4965880270585572</v>
      </c>
      <c r="O91" s="12">
        <f t="shared" ca="1" si="41"/>
        <v>10.6295540799499</v>
      </c>
      <c r="P91" s="12">
        <f t="shared" ca="1" si="41"/>
        <v>11.745264026654038</v>
      </c>
      <c r="Q91" s="12">
        <f t="shared" ca="1" si="41"/>
        <v>12.261747261605528</v>
      </c>
      <c r="R91" s="12">
        <f t="shared" ca="1" si="41"/>
        <v>3.3170708281522217</v>
      </c>
      <c r="S91" s="12">
        <f t="shared" ca="1" si="41"/>
        <v>11.016722395260215</v>
      </c>
      <c r="T91" s="12">
        <f t="shared" ca="1" si="41"/>
        <v>10.362248485165209</v>
      </c>
      <c r="U91" s="12">
        <f t="shared" ca="1" si="41"/>
        <v>23.562825059370962</v>
      </c>
      <c r="V91" s="12">
        <f t="shared" ca="1" si="41"/>
        <v>23.521656425340005</v>
      </c>
      <c r="W91" s="12">
        <f t="shared" ca="1" si="41"/>
        <v>22.793632147570278</v>
      </c>
      <c r="X91" s="12">
        <f t="shared" ca="1" si="41"/>
        <v>18.370221625546893</v>
      </c>
      <c r="Y91" s="12">
        <f t="shared" ca="1" si="41"/>
        <v>17.715617773751703</v>
      </c>
      <c r="Z91" s="12">
        <f t="shared" ca="1" si="41"/>
        <v>17.035299147273513</v>
      </c>
      <c r="AA91" s="12">
        <f t="shared" ca="1" si="41"/>
        <v>16.327637629538678</v>
      </c>
      <c r="AB91" s="40">
        <f t="shared" ca="1" si="41"/>
        <v>15.590941394871844</v>
      </c>
    </row>
    <row r="92" spans="2:28" ht="15" thickBot="1" x14ac:dyDescent="0.4">
      <c r="B92" s="30" t="s">
        <v>178</v>
      </c>
      <c r="C92" s="32" t="s">
        <v>19</v>
      </c>
      <c r="D92" s="74">
        <f ca="1">IF(D91/$D$7&gt;0,D91/$D$7,0)</f>
        <v>0</v>
      </c>
      <c r="E92" s="74">
        <f t="shared" ref="E92:AB92" ca="1" si="42">IF(E91/$D$7&gt;0,E91/$D$7,0)</f>
        <v>0</v>
      </c>
      <c r="F92" s="74">
        <f t="shared" ca="1" si="42"/>
        <v>0</v>
      </c>
      <c r="G92" s="74">
        <f t="shared" ca="1" si="42"/>
        <v>1.5603718308981886E-2</v>
      </c>
      <c r="H92" s="74">
        <f t="shared" ca="1" si="42"/>
        <v>3.3988313855790056E-2</v>
      </c>
      <c r="I92" s="74">
        <f t="shared" ca="1" si="42"/>
        <v>5.175535567188886E-2</v>
      </c>
      <c r="J92" s="74">
        <f t="shared" ca="1" si="42"/>
        <v>6.9125604088273479E-2</v>
      </c>
      <c r="K92" s="74">
        <f t="shared" ca="1" si="42"/>
        <v>8.6203596350540923E-2</v>
      </c>
      <c r="L92" s="74">
        <f t="shared" ca="1" si="42"/>
        <v>0.10303542960518867</v>
      </c>
      <c r="M92" s="74">
        <f t="shared" ca="1" si="42"/>
        <v>0.11963763355972974</v>
      </c>
      <c r="N92" s="74">
        <f t="shared" ca="1" si="42"/>
        <v>0.13527903172448086</v>
      </c>
      <c r="O92" s="74">
        <f t="shared" ca="1" si="42"/>
        <v>0.15141814928703559</v>
      </c>
      <c r="P92" s="74">
        <f t="shared" ca="1" si="42"/>
        <v>0.16731145337114015</v>
      </c>
      <c r="Q92" s="74">
        <f t="shared" ca="1" si="42"/>
        <v>0.17466876441033516</v>
      </c>
      <c r="R92" s="74">
        <f t="shared" ca="1" si="42"/>
        <v>4.7251721198749597E-2</v>
      </c>
      <c r="S92" s="74">
        <f t="shared" ca="1" si="42"/>
        <v>0.15693336745384923</v>
      </c>
      <c r="T92" s="74">
        <f t="shared" ca="1" si="42"/>
        <v>0.14761037728155568</v>
      </c>
      <c r="U92" s="74">
        <f t="shared" ca="1" si="42"/>
        <v>0.33565277862351794</v>
      </c>
      <c r="V92" s="74">
        <f t="shared" ca="1" si="42"/>
        <v>0.33506633084529919</v>
      </c>
      <c r="W92" s="74">
        <f t="shared" ca="1" si="42"/>
        <v>0.32469561463775326</v>
      </c>
      <c r="X92" s="74">
        <f t="shared" ca="1" si="42"/>
        <v>0.26168406873998423</v>
      </c>
      <c r="Y92" s="74">
        <f t="shared" ca="1" si="42"/>
        <v>0.25235922754632056</v>
      </c>
      <c r="Z92" s="74">
        <f t="shared" ca="1" si="42"/>
        <v>0.24266807902099019</v>
      </c>
      <c r="AA92" s="74">
        <f t="shared" ca="1" si="42"/>
        <v>0.23258743062020909</v>
      </c>
      <c r="AB92" s="81">
        <f t="shared" ca="1" si="42"/>
        <v>0.22209318226313168</v>
      </c>
    </row>
    <row r="93" spans="2:28" x14ac:dyDescent="0.35">
      <c r="B93" s="19"/>
      <c r="D93" s="77"/>
      <c r="E93" s="77"/>
      <c r="F93" s="77"/>
      <c r="G93" s="77"/>
      <c r="H93" s="77"/>
      <c r="I93" s="77"/>
      <c r="J93" s="77"/>
      <c r="K93" s="77"/>
      <c r="L93" s="77"/>
      <c r="M93" s="77"/>
      <c r="N93" s="77"/>
      <c r="O93" s="77"/>
      <c r="P93" s="77"/>
      <c r="Q93" s="77"/>
      <c r="R93" s="77"/>
      <c r="S93" s="77"/>
      <c r="T93" s="77"/>
      <c r="U93" s="77"/>
      <c r="V93" s="77"/>
      <c r="W93" s="77"/>
      <c r="X93" s="77"/>
      <c r="Y93" s="77"/>
      <c r="Z93" s="77"/>
      <c r="AA93" s="77"/>
      <c r="AB93" s="77"/>
    </row>
    <row r="94" spans="2:28" x14ac:dyDescent="0.35">
      <c r="B94" s="19"/>
      <c r="D94" s="77"/>
      <c r="E94" s="77"/>
      <c r="F94" s="77"/>
      <c r="G94" s="77"/>
      <c r="H94" s="77"/>
      <c r="I94" s="77"/>
      <c r="J94" s="77"/>
      <c r="K94" s="77"/>
      <c r="L94" s="77"/>
      <c r="M94" s="77"/>
      <c r="N94" s="77"/>
      <c r="O94" s="77"/>
      <c r="P94" s="77"/>
      <c r="Q94" s="77"/>
      <c r="R94" s="77"/>
      <c r="S94" s="77"/>
      <c r="T94" s="77"/>
      <c r="U94" s="77"/>
      <c r="V94" s="77"/>
      <c r="W94" s="77"/>
      <c r="X94" s="77"/>
      <c r="Y94" s="77"/>
      <c r="Z94" s="77"/>
      <c r="AA94" s="77"/>
      <c r="AB94" s="77"/>
    </row>
    <row r="95" spans="2:28" ht="15" thickBot="1" x14ac:dyDescent="0.4">
      <c r="B95" s="19"/>
      <c r="D95" s="77"/>
      <c r="E95" s="77"/>
      <c r="F95" s="77"/>
      <c r="G95" s="77"/>
      <c r="H95" s="77"/>
      <c r="I95" s="77"/>
      <c r="J95" s="77"/>
      <c r="K95" s="77"/>
      <c r="L95" s="77"/>
      <c r="M95" s="77"/>
      <c r="N95" s="77"/>
      <c r="O95" s="77"/>
      <c r="P95" s="77"/>
      <c r="Q95" s="77"/>
      <c r="R95" s="77"/>
      <c r="S95" s="77"/>
      <c r="T95" s="77"/>
      <c r="U95" s="77"/>
      <c r="V95" s="77"/>
      <c r="W95" s="77"/>
      <c r="X95" s="77"/>
      <c r="Y95" s="77"/>
      <c r="Z95" s="77"/>
      <c r="AA95" s="77"/>
      <c r="AB95" s="77"/>
    </row>
    <row r="96" spans="2:28" x14ac:dyDescent="0.35">
      <c r="B96" s="39" t="s">
        <v>134</v>
      </c>
      <c r="C96" s="7"/>
      <c r="D96" s="44"/>
      <c r="E96" s="44"/>
      <c r="F96" s="44"/>
      <c r="G96" s="44"/>
      <c r="H96" s="44"/>
      <c r="I96" s="44"/>
      <c r="J96" s="44"/>
      <c r="K96" s="44"/>
      <c r="L96" s="44"/>
      <c r="M96" s="44"/>
      <c r="N96" s="44"/>
      <c r="O96" s="44"/>
      <c r="P96" s="44"/>
      <c r="Q96" s="44"/>
      <c r="R96" s="44"/>
      <c r="S96" s="44"/>
      <c r="T96" s="44"/>
      <c r="U96" s="44"/>
      <c r="V96" s="44"/>
      <c r="W96" s="44"/>
      <c r="X96" s="44"/>
      <c r="Y96" s="44"/>
      <c r="Z96" s="44"/>
      <c r="AA96" s="44"/>
      <c r="AB96" s="45"/>
    </row>
    <row r="97" spans="2:28" x14ac:dyDescent="0.35">
      <c r="B97" s="19" t="s">
        <v>293</v>
      </c>
      <c r="C97" t="s">
        <v>165</v>
      </c>
      <c r="D97" s="12">
        <f ca="1">D58</f>
        <v>32.660253548401506</v>
      </c>
      <c r="E97" s="12">
        <f t="shared" ref="E97:AB97" ca="1" si="43">E58</f>
        <v>34.004107080525266</v>
      </c>
      <c r="F97" s="12">
        <f t="shared" ca="1" si="43"/>
        <v>35.342335296125903</v>
      </c>
      <c r="G97" s="12">
        <f t="shared" ca="1" si="43"/>
        <v>36.958313544379244</v>
      </c>
      <c r="H97" s="12">
        <f t="shared" ca="1" si="43"/>
        <v>38.41695395434428</v>
      </c>
      <c r="I97" s="12">
        <f t="shared" ca="1" si="43"/>
        <v>39.790412645511125</v>
      </c>
      <c r="J97" s="12">
        <f t="shared" ca="1" si="43"/>
        <v>41.114266560151584</v>
      </c>
      <c r="K97" s="12">
        <f t="shared" ca="1" si="43"/>
        <v>42.405775288106376</v>
      </c>
      <c r="L97" s="12">
        <f t="shared" ca="1" si="43"/>
        <v>43.673010384787069</v>
      </c>
      <c r="M97" s="12">
        <f t="shared" ca="1" si="43"/>
        <v>44.919418344630998</v>
      </c>
      <c r="N97" s="12">
        <f t="shared" ca="1" si="43"/>
        <v>46.080548523230988</v>
      </c>
      <c r="O97" s="12">
        <f t="shared" ca="1" si="43"/>
        <v>47.287398236669645</v>
      </c>
      <c r="P97" s="12">
        <f t="shared" ca="1" si="43"/>
        <v>48.47366905822571</v>
      </c>
      <c r="Q97" s="12">
        <f t="shared" ca="1" si="43"/>
        <v>48.897636706838362</v>
      </c>
      <c r="R97" s="12">
        <f t="shared" ca="1" si="43"/>
        <v>47.88435432905051</v>
      </c>
      <c r="S97" s="12">
        <f t="shared" ca="1" si="43"/>
        <v>46.846581395888592</v>
      </c>
      <c r="T97" s="12">
        <f t="shared" ca="1" si="43"/>
        <v>45.78271537458874</v>
      </c>
      <c r="U97" s="12">
        <f t="shared" ca="1" si="43"/>
        <v>62.381443880387778</v>
      </c>
      <c r="V97" s="12">
        <f t="shared" ca="1" si="43"/>
        <v>62.102548319717272</v>
      </c>
      <c r="W97" s="12">
        <f t="shared" ca="1" si="43"/>
        <v>60.949702772590655</v>
      </c>
      <c r="X97" s="12">
        <f t="shared" ca="1" si="43"/>
        <v>59.76327032650773</v>
      </c>
      <c r="Y97" s="12">
        <f t="shared" ca="1" si="43"/>
        <v>58.541097958418888</v>
      </c>
      <c r="Z97" s="12">
        <f t="shared" ca="1" si="43"/>
        <v>57.280910502859385</v>
      </c>
      <c r="AA97" s="12">
        <f t="shared" ca="1" si="43"/>
        <v>55.980303964561614</v>
      </c>
      <c r="AB97" s="12">
        <f t="shared" ca="1" si="43"/>
        <v>54.636738293338581</v>
      </c>
    </row>
    <row r="98" spans="2:28" x14ac:dyDescent="0.35">
      <c r="B98" s="19" t="s">
        <v>173</v>
      </c>
      <c r="C98" t="s">
        <v>165</v>
      </c>
      <c r="D98" s="12">
        <f ca="1">D97+D47</f>
        <v>51.193053548401508</v>
      </c>
      <c r="E98" s="12">
        <f t="shared" ref="E98:AB98" ca="1" si="44">E97+E47</f>
        <v>52.536907080525268</v>
      </c>
      <c r="F98" s="12">
        <f t="shared" ca="1" si="44"/>
        <v>53.875135296125904</v>
      </c>
      <c r="G98" s="12">
        <f t="shared" ca="1" si="44"/>
        <v>55.491113544379246</v>
      </c>
      <c r="H98" s="12">
        <f t="shared" ca="1" si="44"/>
        <v>56.949753954344274</v>
      </c>
      <c r="I98" s="12">
        <f t="shared" ca="1" si="44"/>
        <v>58.32321264551112</v>
      </c>
      <c r="J98" s="12">
        <f t="shared" ca="1" si="44"/>
        <v>59.647066560151586</v>
      </c>
      <c r="K98" s="12">
        <f t="shared" ca="1" si="44"/>
        <v>60.938575288106378</v>
      </c>
      <c r="L98" s="12">
        <f t="shared" ca="1" si="44"/>
        <v>62.205810384787071</v>
      </c>
      <c r="M98" s="12">
        <f t="shared" ca="1" si="44"/>
        <v>63.452218344630992</v>
      </c>
      <c r="N98" s="12">
        <f t="shared" ca="1" si="44"/>
        <v>64.613348523230982</v>
      </c>
      <c r="O98" s="12">
        <f t="shared" ca="1" si="44"/>
        <v>65.82019823666964</v>
      </c>
      <c r="P98" s="12">
        <f t="shared" ca="1" si="44"/>
        <v>67.006469058225704</v>
      </c>
      <c r="Q98" s="12">
        <f t="shared" ca="1" si="44"/>
        <v>67.430436706838364</v>
      </c>
      <c r="R98" s="12">
        <f t="shared" ca="1" si="44"/>
        <v>66.417154329050504</v>
      </c>
      <c r="S98" s="12">
        <f t="shared" ca="1" si="44"/>
        <v>65.379381395888586</v>
      </c>
      <c r="T98" s="12">
        <f t="shared" ca="1" si="44"/>
        <v>64.315515374588742</v>
      </c>
      <c r="U98" s="12">
        <f t="shared" ca="1" si="44"/>
        <v>63.223843880387882</v>
      </c>
      <c r="V98" s="12">
        <f t="shared" ca="1" si="44"/>
        <v>62.102548319717272</v>
      </c>
      <c r="W98" s="12">
        <f t="shared" ca="1" si="44"/>
        <v>60.949702772590655</v>
      </c>
      <c r="X98" s="12">
        <f t="shared" ca="1" si="44"/>
        <v>59.76327032650773</v>
      </c>
      <c r="Y98" s="12">
        <f t="shared" ca="1" si="44"/>
        <v>58.541097958418888</v>
      </c>
      <c r="Z98" s="12">
        <f t="shared" ca="1" si="44"/>
        <v>57.280910502859385</v>
      </c>
      <c r="AA98" s="12">
        <f t="shared" ca="1" si="44"/>
        <v>55.980303964561614</v>
      </c>
      <c r="AB98" s="12">
        <f t="shared" ca="1" si="44"/>
        <v>54.636738293338581</v>
      </c>
    </row>
    <row r="99" spans="2:28" x14ac:dyDescent="0.35">
      <c r="B99" s="19" t="s">
        <v>146</v>
      </c>
      <c r="C99" t="s">
        <v>165</v>
      </c>
      <c r="D99" s="12">
        <f t="shared" ref="D99:AB99" ca="1" si="45">D98-D63</f>
        <v>-1.4569464515984905</v>
      </c>
      <c r="E99" s="12">
        <f t="shared" ca="1" si="45"/>
        <v>7.7844070805252628</v>
      </c>
      <c r="F99" s="12">
        <f t="shared" ca="1" si="45"/>
        <v>15.835510296125904</v>
      </c>
      <c r="G99" s="12">
        <f t="shared" ca="1" si="45"/>
        <v>23.157432294379248</v>
      </c>
      <c r="H99" s="12">
        <f t="shared" ca="1" si="45"/>
        <v>29.466124891844277</v>
      </c>
      <c r="I99" s="12">
        <f t="shared" ca="1" si="45"/>
        <v>34.962127942386118</v>
      </c>
      <c r="J99" s="12">
        <f t="shared" ca="1" si="45"/>
        <v>39.790144562495342</v>
      </c>
      <c r="K99" s="12">
        <f t="shared" ca="1" si="45"/>
        <v>44.060191590098569</v>
      </c>
      <c r="L99" s="12">
        <f t="shared" ca="1" si="45"/>
        <v>47.859184241480435</v>
      </c>
      <c r="M99" s="12">
        <f t="shared" ca="1" si="45"/>
        <v>51.257586122820349</v>
      </c>
      <c r="N99" s="12">
        <f t="shared" ca="1" si="45"/>
        <v>54.24791113469194</v>
      </c>
      <c r="O99" s="12">
        <f t="shared" ca="1" si="45"/>
        <v>57.009576456411452</v>
      </c>
      <c r="P99" s="12">
        <f t="shared" ca="1" si="45"/>
        <v>59.517440545006245</v>
      </c>
      <c r="Q99" s="12">
        <f t="shared" ca="1" si="45"/>
        <v>61.064762470601821</v>
      </c>
      <c r="R99" s="12">
        <f t="shared" ca="1" si="45"/>
        <v>61.006331228249444</v>
      </c>
      <c r="S99" s="12">
        <f t="shared" ca="1" si="45"/>
        <v>60.780181760207682</v>
      </c>
      <c r="T99" s="12">
        <f t="shared" ca="1" si="45"/>
        <v>60.406195684259977</v>
      </c>
      <c r="U99" s="12">
        <f t="shared" ca="1" si="45"/>
        <v>59.900922143608433</v>
      </c>
      <c r="V99" s="12">
        <f t="shared" ca="1" si="45"/>
        <v>59.278064843454736</v>
      </c>
      <c r="W99" s="12">
        <f t="shared" ca="1" si="45"/>
        <v>58.548891817767498</v>
      </c>
      <c r="X99" s="12">
        <f t="shared" ca="1" si="45"/>
        <v>57.722581014908044</v>
      </c>
      <c r="Y99" s="12">
        <f t="shared" ca="1" si="45"/>
        <v>56.80651204355916</v>
      </c>
      <c r="Z99" s="12">
        <f t="shared" ca="1" si="45"/>
        <v>55.806512475228615</v>
      </c>
      <c r="AA99" s="12">
        <f t="shared" ca="1" si="45"/>
        <v>54.727065641075455</v>
      </c>
      <c r="AB99" s="40">
        <f t="shared" ca="1" si="45"/>
        <v>53.571485718375342</v>
      </c>
    </row>
    <row r="100" spans="2:28" x14ac:dyDescent="0.35">
      <c r="B100" s="19" t="s">
        <v>182</v>
      </c>
      <c r="C100" t="s">
        <v>165</v>
      </c>
      <c r="D100" s="82">
        <f t="shared" ref="D100:AB100" ca="1" si="46">IF(D99&gt;0,IF(ISNUMBER(D$62),0,D99*$D$9),0)</f>
        <v>0</v>
      </c>
      <c r="E100" s="82">
        <f t="shared" ca="1" si="46"/>
        <v>2.6941832905697938</v>
      </c>
      <c r="F100" s="82">
        <f t="shared" ca="1" si="46"/>
        <v>5.4806701134891753</v>
      </c>
      <c r="G100" s="82">
        <f t="shared" ca="1" si="46"/>
        <v>8.0147873170846591</v>
      </c>
      <c r="H100" s="82">
        <f t="shared" ca="1" si="46"/>
        <v>10.198225825067304</v>
      </c>
      <c r="I100" s="82">
        <f t="shared" ca="1" si="46"/>
        <v>12.100392480859837</v>
      </c>
      <c r="J100" s="82">
        <f t="shared" ca="1" si="46"/>
        <v>13.771369033079639</v>
      </c>
      <c r="K100" s="82">
        <f t="shared" ca="1" si="46"/>
        <v>15.249232309333115</v>
      </c>
      <c r="L100" s="82">
        <f t="shared" ca="1" si="46"/>
        <v>16.564063665976381</v>
      </c>
      <c r="M100" s="82">
        <f t="shared" ca="1" si="46"/>
        <v>17.740250557108123</v>
      </c>
      <c r="N100" s="82">
        <f t="shared" ca="1" si="46"/>
        <v>18.775202043716881</v>
      </c>
      <c r="O100" s="82">
        <f t="shared" ca="1" si="46"/>
        <v>19.731014411564004</v>
      </c>
      <c r="P100" s="82">
        <f t="shared" ca="1" si="46"/>
        <v>20.598986172626663</v>
      </c>
      <c r="Q100" s="82">
        <f t="shared" ca="1" si="46"/>
        <v>21.134514291075291</v>
      </c>
      <c r="R100" s="82">
        <f t="shared" ca="1" si="46"/>
        <v>21.114291238097135</v>
      </c>
      <c r="S100" s="82">
        <f t="shared" ca="1" si="46"/>
        <v>21.036020907207881</v>
      </c>
      <c r="T100" s="82">
        <f t="shared" ca="1" si="46"/>
        <v>20.906584326322378</v>
      </c>
      <c r="U100" s="82">
        <f t="shared" ca="1" si="46"/>
        <v>20.73170915390288</v>
      </c>
      <c r="V100" s="82">
        <f t="shared" ca="1" si="46"/>
        <v>20.516138242319684</v>
      </c>
      <c r="W100" s="82">
        <f t="shared" ca="1" si="46"/>
        <v>20.26377145812933</v>
      </c>
      <c r="X100" s="82">
        <f t="shared" ca="1" si="46"/>
        <v>19.977785289259675</v>
      </c>
      <c r="Y100" s="82">
        <f t="shared" ca="1" si="46"/>
        <v>19.660733818275826</v>
      </c>
      <c r="Z100" s="82">
        <f t="shared" ca="1" si="46"/>
        <v>19.314633967676624</v>
      </c>
      <c r="AA100" s="82">
        <f t="shared" ca="1" si="46"/>
        <v>18.941037418376215</v>
      </c>
      <c r="AB100" s="82">
        <f t="shared" ca="1" si="46"/>
        <v>18.541091207129707</v>
      </c>
    </row>
    <row r="101" spans="2:28" x14ac:dyDescent="0.35">
      <c r="B101" s="19" t="s">
        <v>180</v>
      </c>
      <c r="C101" t="s">
        <v>165</v>
      </c>
      <c r="D101" s="12">
        <f ca="1">MAX(D97*$D$10,0)</f>
        <v>7.0382846396805245</v>
      </c>
      <c r="E101" s="12">
        <f t="shared" ref="E101:AB101" ca="1" si="47">MAX(E97*$D$10,0)</f>
        <v>7.327885075853195</v>
      </c>
      <c r="F101" s="12">
        <f t="shared" ca="1" si="47"/>
        <v>7.6162732563151323</v>
      </c>
      <c r="G101" s="12">
        <f t="shared" ca="1" si="47"/>
        <v>7.9645165688137274</v>
      </c>
      <c r="H101" s="12">
        <f t="shared" ca="1" si="47"/>
        <v>8.2788535771611915</v>
      </c>
      <c r="I101" s="12">
        <f t="shared" ca="1" si="47"/>
        <v>8.5748339251076473</v>
      </c>
      <c r="J101" s="12">
        <f t="shared" ca="1" si="47"/>
        <v>8.8601244437126656</v>
      </c>
      <c r="K101" s="12">
        <f t="shared" ca="1" si="47"/>
        <v>9.1384445745869236</v>
      </c>
      <c r="L101" s="12">
        <f t="shared" ca="1" si="47"/>
        <v>9.411533737921614</v>
      </c>
      <c r="M101" s="12">
        <f t="shared" ca="1" si="47"/>
        <v>9.6801346532679791</v>
      </c>
      <c r="N101" s="12">
        <f t="shared" ca="1" si="47"/>
        <v>9.9303582067562779</v>
      </c>
      <c r="O101" s="12">
        <f t="shared" ca="1" si="47"/>
        <v>10.190434320002309</v>
      </c>
      <c r="P101" s="12">
        <f t="shared" ca="1" si="47"/>
        <v>10.44607568204764</v>
      </c>
      <c r="Q101" s="12">
        <f t="shared" ca="1" si="47"/>
        <v>10.537440710323667</v>
      </c>
      <c r="R101" s="12">
        <f t="shared" ca="1" si="47"/>
        <v>10.319078357910385</v>
      </c>
      <c r="S101" s="12">
        <f t="shared" ca="1" si="47"/>
        <v>10.095438290813991</v>
      </c>
      <c r="T101" s="12">
        <f t="shared" ca="1" si="47"/>
        <v>9.8661751632238737</v>
      </c>
      <c r="U101" s="12">
        <f t="shared" ca="1" si="47"/>
        <v>13.443201156223566</v>
      </c>
      <c r="V101" s="12">
        <f t="shared" ca="1" si="47"/>
        <v>13.383099162899072</v>
      </c>
      <c r="W101" s="12">
        <f t="shared" ca="1" si="47"/>
        <v>13.134660947493286</v>
      </c>
      <c r="X101" s="12">
        <f t="shared" ca="1" si="47"/>
        <v>12.878984755362415</v>
      </c>
      <c r="Y101" s="12">
        <f t="shared" ca="1" si="47"/>
        <v>12.61560661003927</v>
      </c>
      <c r="Z101" s="12">
        <f t="shared" ca="1" si="47"/>
        <v>12.344036213366197</v>
      </c>
      <c r="AA101" s="12">
        <f t="shared" ca="1" si="47"/>
        <v>12.063755504363028</v>
      </c>
      <c r="AB101" s="40">
        <f t="shared" ca="1" si="47"/>
        <v>11.774217102214465</v>
      </c>
    </row>
    <row r="102" spans="2:28" x14ac:dyDescent="0.35">
      <c r="B102" s="19" t="s">
        <v>148</v>
      </c>
      <c r="C102" t="s">
        <v>165</v>
      </c>
      <c r="D102" s="12">
        <f t="shared" ref="D102:AB102" si="48">IF(D$61&gt;=$D$13,IF(D$61&lt;$D$13+$D$15,MAX(D100-D101,0),0),0)</f>
        <v>0</v>
      </c>
      <c r="E102" s="12">
        <f t="shared" si="48"/>
        <v>0</v>
      </c>
      <c r="F102" s="12">
        <f t="shared" si="48"/>
        <v>0</v>
      </c>
      <c r="G102" s="12">
        <f t="shared" si="48"/>
        <v>0</v>
      </c>
      <c r="H102" s="12">
        <f t="shared" si="48"/>
        <v>0</v>
      </c>
      <c r="I102" s="12">
        <f t="shared" si="48"/>
        <v>0</v>
      </c>
      <c r="J102" s="12">
        <f t="shared" si="48"/>
        <v>0</v>
      </c>
      <c r="K102" s="12">
        <f t="shared" si="48"/>
        <v>0</v>
      </c>
      <c r="L102" s="12">
        <f t="shared" si="48"/>
        <v>0</v>
      </c>
      <c r="M102" s="12">
        <f t="shared" si="48"/>
        <v>0</v>
      </c>
      <c r="N102" s="12">
        <f t="shared" si="48"/>
        <v>0</v>
      </c>
      <c r="O102" s="12">
        <f t="shared" si="48"/>
        <v>0</v>
      </c>
      <c r="P102" s="12">
        <f t="shared" si="48"/>
        <v>0</v>
      </c>
      <c r="Q102" s="12">
        <f t="shared" si="48"/>
        <v>0</v>
      </c>
      <c r="R102" s="12">
        <f t="shared" si="48"/>
        <v>0</v>
      </c>
      <c r="S102" s="223">
        <f t="shared" ca="1" si="48"/>
        <v>10.94058261639389</v>
      </c>
      <c r="T102" s="223">
        <f t="shared" ca="1" si="48"/>
        <v>11.040409163098504</v>
      </c>
      <c r="U102" s="223">
        <f t="shared" ca="1" si="48"/>
        <v>7.2885079976793143</v>
      </c>
      <c r="V102" s="223">
        <f t="shared" ca="1" si="48"/>
        <v>7.1330390794206124</v>
      </c>
      <c r="W102" s="223">
        <f t="shared" ca="1" si="48"/>
        <v>7.1291105106360444</v>
      </c>
      <c r="X102" s="12">
        <f t="shared" si="48"/>
        <v>0</v>
      </c>
      <c r="Y102" s="12">
        <f t="shared" si="48"/>
        <v>0</v>
      </c>
      <c r="Z102" s="12">
        <f t="shared" si="48"/>
        <v>0</v>
      </c>
      <c r="AA102" s="12">
        <f t="shared" si="48"/>
        <v>0</v>
      </c>
      <c r="AB102" s="12">
        <f t="shared" si="48"/>
        <v>0</v>
      </c>
    </row>
    <row r="103" spans="2:28" x14ac:dyDescent="0.35">
      <c r="B103" s="19" t="s">
        <v>149</v>
      </c>
      <c r="C103" t="s">
        <v>165</v>
      </c>
      <c r="D103" s="12">
        <f ca="1">IF(D$61=$D$13-1,SUM(OFFSET(D101,0,-$D$14+1,1,$D$14)),0)</f>
        <v>0</v>
      </c>
      <c r="E103" s="12">
        <f t="shared" ref="E103:AB103" ca="1" si="49">IF(E$61=$D$13-1,SUM(OFFSET(E101,0,-$D$14+1,1,$D$14)),IF(AND(E$61&gt;=$D$13,E$61&lt;$D$13+$D$15),MAX(D103-E102,0),0))</f>
        <v>0</v>
      </c>
      <c r="F103" s="12">
        <f t="shared" ca="1" si="49"/>
        <v>0</v>
      </c>
      <c r="G103" s="12">
        <f t="shared" ca="1" si="49"/>
        <v>0</v>
      </c>
      <c r="H103" s="12">
        <f t="shared" ca="1" si="49"/>
        <v>0</v>
      </c>
      <c r="I103" s="12">
        <f t="shared" ca="1" si="49"/>
        <v>0</v>
      </c>
      <c r="J103" s="12">
        <f t="shared" ca="1" si="49"/>
        <v>0</v>
      </c>
      <c r="K103" s="12">
        <f t="shared" ca="1" si="49"/>
        <v>0</v>
      </c>
      <c r="L103" s="12">
        <f t="shared" ca="1" si="49"/>
        <v>0</v>
      </c>
      <c r="M103" s="12">
        <f t="shared" ca="1" si="49"/>
        <v>0</v>
      </c>
      <c r="N103" s="12">
        <f t="shared" ca="1" si="49"/>
        <v>0</v>
      </c>
      <c r="O103" s="12">
        <f t="shared" ca="1" si="49"/>
        <v>0</v>
      </c>
      <c r="P103" s="12">
        <f t="shared" ca="1" si="49"/>
        <v>0</v>
      </c>
      <c r="Q103" s="12">
        <f t="shared" ca="1" si="49"/>
        <v>0</v>
      </c>
      <c r="R103" s="12">
        <f t="shared" ca="1" si="49"/>
        <v>97.088458611637094</v>
      </c>
      <c r="S103" s="12">
        <f t="shared" ca="1" si="49"/>
        <v>86.147875995243197</v>
      </c>
      <c r="T103" s="12">
        <f t="shared" ca="1" si="49"/>
        <v>75.107466832144695</v>
      </c>
      <c r="U103" s="12">
        <f t="shared" ca="1" si="49"/>
        <v>67.818958834465377</v>
      </c>
      <c r="V103" s="12">
        <f t="shared" ca="1" si="49"/>
        <v>60.685919755044765</v>
      </c>
      <c r="W103" s="12">
        <f t="shared" ca="1" si="49"/>
        <v>53.556809244408718</v>
      </c>
      <c r="X103" s="12">
        <f t="shared" ca="1" si="49"/>
        <v>0</v>
      </c>
      <c r="Y103" s="12">
        <f t="shared" ca="1" si="49"/>
        <v>0</v>
      </c>
      <c r="Z103" s="12">
        <f t="shared" ca="1" si="49"/>
        <v>0</v>
      </c>
      <c r="AA103" s="12">
        <f t="shared" ca="1" si="49"/>
        <v>0</v>
      </c>
      <c r="AB103" s="12">
        <f t="shared" ca="1" si="49"/>
        <v>0</v>
      </c>
    </row>
    <row r="104" spans="2:28" x14ac:dyDescent="0.35">
      <c r="B104" s="19" t="s">
        <v>179</v>
      </c>
      <c r="C104" t="s">
        <v>165</v>
      </c>
      <c r="D104" s="12">
        <f ca="1">MAX(D100-D102,D101)</f>
        <v>7.0382846396805245</v>
      </c>
      <c r="E104" s="12">
        <f t="shared" ref="E104:AB104" ca="1" si="50">MAX(E100-E102,E101)</f>
        <v>7.327885075853195</v>
      </c>
      <c r="F104" s="12">
        <f t="shared" ca="1" si="50"/>
        <v>7.6162732563151323</v>
      </c>
      <c r="G104" s="12">
        <f t="shared" ca="1" si="50"/>
        <v>8.0147873170846591</v>
      </c>
      <c r="H104" s="12">
        <f t="shared" ca="1" si="50"/>
        <v>10.198225825067304</v>
      </c>
      <c r="I104" s="12">
        <f t="shared" ca="1" si="50"/>
        <v>12.100392480859837</v>
      </c>
      <c r="J104" s="12">
        <f t="shared" ca="1" si="50"/>
        <v>13.771369033079639</v>
      </c>
      <c r="K104" s="12">
        <f t="shared" ca="1" si="50"/>
        <v>15.249232309333115</v>
      </c>
      <c r="L104" s="12">
        <f t="shared" ca="1" si="50"/>
        <v>16.564063665976381</v>
      </c>
      <c r="M104" s="12">
        <f t="shared" ca="1" si="50"/>
        <v>17.740250557108123</v>
      </c>
      <c r="N104" s="12">
        <f t="shared" ca="1" si="50"/>
        <v>18.775202043716881</v>
      </c>
      <c r="O104" s="12">
        <f t="shared" ca="1" si="50"/>
        <v>19.731014411564004</v>
      </c>
      <c r="P104" s="12">
        <f t="shared" ca="1" si="50"/>
        <v>20.598986172626663</v>
      </c>
      <c r="Q104" s="12">
        <f t="shared" ca="1" si="50"/>
        <v>21.134514291075291</v>
      </c>
      <c r="R104" s="12">
        <f t="shared" ca="1" si="50"/>
        <v>21.114291238097135</v>
      </c>
      <c r="S104" s="12">
        <f t="shared" ca="1" si="50"/>
        <v>10.095438290813991</v>
      </c>
      <c r="T104" s="12">
        <f t="shared" ca="1" si="50"/>
        <v>9.8661751632238737</v>
      </c>
      <c r="U104" s="12">
        <f t="shared" ca="1" si="50"/>
        <v>13.443201156223566</v>
      </c>
      <c r="V104" s="12">
        <f t="shared" ca="1" si="50"/>
        <v>13.383099162899072</v>
      </c>
      <c r="W104" s="12">
        <f t="shared" ca="1" si="50"/>
        <v>13.134660947493286</v>
      </c>
      <c r="X104" s="12">
        <f t="shared" ca="1" si="50"/>
        <v>19.977785289259675</v>
      </c>
      <c r="Y104" s="12">
        <f t="shared" ca="1" si="50"/>
        <v>19.660733818275826</v>
      </c>
      <c r="Z104" s="12">
        <f t="shared" ca="1" si="50"/>
        <v>19.314633967676624</v>
      </c>
      <c r="AA104" s="12">
        <f t="shared" ca="1" si="50"/>
        <v>18.941037418376215</v>
      </c>
      <c r="AB104" s="40">
        <f t="shared" ca="1" si="50"/>
        <v>18.541091207129707</v>
      </c>
    </row>
    <row r="105" spans="2:28" x14ac:dyDescent="0.35">
      <c r="B105" s="19" t="s">
        <v>176</v>
      </c>
      <c r="C105" t="s">
        <v>165</v>
      </c>
      <c r="D105" s="12">
        <f ca="1">D97-D104</f>
        <v>25.62196890872098</v>
      </c>
      <c r="E105" s="12">
        <f t="shared" ref="E105:AB105" ca="1" si="51">E97-E104</f>
        <v>26.67622200467207</v>
      </c>
      <c r="F105" s="12">
        <f t="shared" ca="1" si="51"/>
        <v>27.72606203981077</v>
      </c>
      <c r="G105" s="12">
        <f t="shared" ca="1" si="51"/>
        <v>28.943526227294583</v>
      </c>
      <c r="H105" s="12">
        <f t="shared" ca="1" si="51"/>
        <v>28.218728129276975</v>
      </c>
      <c r="I105" s="12">
        <f t="shared" ca="1" si="51"/>
        <v>27.690020164651287</v>
      </c>
      <c r="J105" s="12">
        <f t="shared" ca="1" si="51"/>
        <v>27.342897527071948</v>
      </c>
      <c r="K105" s="12">
        <f t="shared" ca="1" si="51"/>
        <v>27.15654297877326</v>
      </c>
      <c r="L105" s="12">
        <f t="shared" ca="1" si="51"/>
        <v>27.108946718810689</v>
      </c>
      <c r="M105" s="12">
        <f t="shared" ca="1" si="51"/>
        <v>27.179167787522875</v>
      </c>
      <c r="N105" s="12">
        <f t="shared" ca="1" si="51"/>
        <v>27.305346479514107</v>
      </c>
      <c r="O105" s="12">
        <f t="shared" ca="1" si="51"/>
        <v>27.556383825105641</v>
      </c>
      <c r="P105" s="12">
        <f t="shared" ca="1" si="51"/>
        <v>27.874682885599047</v>
      </c>
      <c r="Q105" s="12">
        <f t="shared" ca="1" si="51"/>
        <v>27.763122415763071</v>
      </c>
      <c r="R105" s="12">
        <f t="shared" ca="1" si="51"/>
        <v>26.770063090953375</v>
      </c>
      <c r="S105" s="12">
        <f t="shared" ca="1" si="51"/>
        <v>36.751143105074604</v>
      </c>
      <c r="T105" s="12">
        <f t="shared" ca="1" si="51"/>
        <v>35.916540211364868</v>
      </c>
      <c r="U105" s="12">
        <f t="shared" ca="1" si="51"/>
        <v>48.938242724164212</v>
      </c>
      <c r="V105" s="12">
        <f t="shared" ca="1" si="51"/>
        <v>48.7194491568182</v>
      </c>
      <c r="W105" s="12">
        <f t="shared" ca="1" si="51"/>
        <v>47.815041825097367</v>
      </c>
      <c r="X105" s="12">
        <f t="shared" ca="1" si="51"/>
        <v>39.785485037248051</v>
      </c>
      <c r="Y105" s="12">
        <f t="shared" ca="1" si="51"/>
        <v>38.880364140143058</v>
      </c>
      <c r="Z105" s="12">
        <f t="shared" ca="1" si="51"/>
        <v>37.966276535182757</v>
      </c>
      <c r="AA105" s="12">
        <f t="shared" ca="1" si="51"/>
        <v>37.039266546185402</v>
      </c>
      <c r="AB105" s="40">
        <f t="shared" ca="1" si="51"/>
        <v>36.095647086208871</v>
      </c>
    </row>
    <row r="106" spans="2:28" ht="15" thickBot="1" x14ac:dyDescent="0.4">
      <c r="B106" s="30" t="s">
        <v>177</v>
      </c>
      <c r="C106" s="32" t="s">
        <v>19</v>
      </c>
      <c r="D106" s="74">
        <f ca="1">IF(D105/$D$7&gt;0,D105/$D$7,0)</f>
        <v>0.36498531209004242</v>
      </c>
      <c r="E106" s="74">
        <f ca="1">IF(E105/$D$7&gt;0,E105/$D$7,0)</f>
        <v>0.3800031624597161</v>
      </c>
      <c r="F106" s="74">
        <f t="shared" ref="F106:AB106" ca="1" si="52">IF(F105/$D$7&gt;0,F105/$D$7,0)</f>
        <v>0.39495814871525314</v>
      </c>
      <c r="G106" s="74">
        <f t="shared" ca="1" si="52"/>
        <v>0.41230094340875473</v>
      </c>
      <c r="H106" s="74">
        <f t="shared" ca="1" si="52"/>
        <v>0.40197618417773467</v>
      </c>
      <c r="I106" s="74">
        <f t="shared" ca="1" si="52"/>
        <v>0.39444473169018923</v>
      </c>
      <c r="J106" s="74">
        <f t="shared" ca="1" si="52"/>
        <v>0.38949996477310467</v>
      </c>
      <c r="K106" s="74">
        <f t="shared" ca="1" si="52"/>
        <v>0.38684534157796663</v>
      </c>
      <c r="L106" s="74">
        <f t="shared" ca="1" si="52"/>
        <v>0.38616733217679045</v>
      </c>
      <c r="M106" s="74">
        <f t="shared" ca="1" si="52"/>
        <v>0.38716763230089563</v>
      </c>
      <c r="N106" s="74">
        <f t="shared" ca="1" si="52"/>
        <v>0.38896504956572803</v>
      </c>
      <c r="O106" s="74">
        <f t="shared" ca="1" si="52"/>
        <v>0.39254108012970995</v>
      </c>
      <c r="P106" s="74">
        <f t="shared" ca="1" si="52"/>
        <v>0.39707525478061317</v>
      </c>
      <c r="Q106" s="74">
        <f t="shared" ca="1" si="52"/>
        <v>0.39548607429861921</v>
      </c>
      <c r="R106" s="74">
        <f t="shared" ca="1" si="52"/>
        <v>0.38133993007056088</v>
      </c>
      <c r="S106" s="74">
        <f t="shared" ca="1" si="52"/>
        <v>0.52352055705234479</v>
      </c>
      <c r="T106" s="74">
        <f t="shared" ca="1" si="52"/>
        <v>0.51163162694251951</v>
      </c>
      <c r="U106" s="74">
        <f t="shared" ca="1" si="52"/>
        <v>0.69712596473168387</v>
      </c>
      <c r="V106" s="74">
        <f t="shared" ca="1" si="52"/>
        <v>0.69400924724812252</v>
      </c>
      <c r="W106" s="74">
        <f t="shared" ca="1" si="52"/>
        <v>0.6811259519244639</v>
      </c>
      <c r="X106" s="74">
        <f t="shared" ca="1" si="52"/>
        <v>0.5667448011003996</v>
      </c>
      <c r="Y106" s="74">
        <f t="shared" ca="1" si="52"/>
        <v>0.55385134102767886</v>
      </c>
      <c r="Z106" s="74">
        <f t="shared" ca="1" si="52"/>
        <v>0.5408301500738284</v>
      </c>
      <c r="AA106" s="74">
        <f t="shared" ca="1" si="52"/>
        <v>0.52762487957529058</v>
      </c>
      <c r="AB106" s="81">
        <f t="shared" ca="1" si="52"/>
        <v>0.51418300692605223</v>
      </c>
    </row>
  </sheetData>
  <mergeCells count="2">
    <mergeCell ref="G7:G8"/>
    <mergeCell ref="E13:I13"/>
  </mergeCells>
  <hyperlinks>
    <hyperlink ref="F15" r:id="rId1" xr:uid="{2AD6A30B-3420-494A-A006-9FDA79581D5B}"/>
  </hyperlinks>
  <pageMargins left="0.7" right="0.7" top="0.75" bottom="0.75" header="0.3" footer="0.3"/>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F6A21D-DBBD-46B0-BB2A-407F85778B0F}">
  <sheetPr>
    <tabColor rgb="FF92D050"/>
  </sheetPr>
  <dimension ref="B2:AB73"/>
  <sheetViews>
    <sheetView topLeftCell="A9" workbookViewId="0">
      <selection activeCell="A29" sqref="A29"/>
    </sheetView>
  </sheetViews>
  <sheetFormatPr defaultRowHeight="14.5" x14ac:dyDescent="0.35"/>
  <cols>
    <col min="2" max="2" width="48.54296875" bestFit="1" customWidth="1"/>
    <col min="3" max="3" width="11.81640625" bestFit="1" customWidth="1"/>
    <col min="4" max="4" width="10.36328125" bestFit="1" customWidth="1"/>
    <col min="5" max="5" width="10.1796875" customWidth="1"/>
    <col min="6" max="8" width="9.36328125" bestFit="1" customWidth="1"/>
    <col min="22" max="28" width="9.7265625" bestFit="1" customWidth="1"/>
  </cols>
  <sheetData>
    <row r="2" spans="2:28" x14ac:dyDescent="0.35">
      <c r="B2" s="28" t="s">
        <v>42</v>
      </c>
      <c r="C2" s="140">
        <f>'Assumption for solar PV Power P'!$F$33</f>
        <v>8.1599439999999995E-2</v>
      </c>
    </row>
    <row r="4" spans="2:28" ht="15" thickBot="1" x14ac:dyDescent="0.4"/>
    <row r="5" spans="2:28" ht="15" thickBot="1" x14ac:dyDescent="0.4">
      <c r="B5" s="120" t="s">
        <v>198</v>
      </c>
      <c r="C5" s="156">
        <f>'Assumption for solar PV Power P'!$F$13</f>
        <v>351</v>
      </c>
      <c r="D5" s="76"/>
      <c r="E5" s="76"/>
      <c r="F5" s="76"/>
      <c r="G5" s="76"/>
      <c r="H5" s="76"/>
      <c r="I5" s="76"/>
      <c r="J5" s="76"/>
      <c r="K5" s="76"/>
      <c r="L5" s="76"/>
      <c r="M5" s="76"/>
      <c r="N5" s="76"/>
      <c r="O5" s="76"/>
      <c r="P5" s="76"/>
      <c r="Q5" s="76"/>
      <c r="R5" s="76"/>
      <c r="S5" s="76"/>
      <c r="T5" s="76"/>
      <c r="U5" s="76"/>
      <c r="V5" s="76"/>
      <c r="W5" s="76"/>
      <c r="X5" s="76"/>
      <c r="Y5" s="76"/>
      <c r="Z5" s="76"/>
      <c r="AA5" s="76"/>
      <c r="AB5" s="15"/>
    </row>
    <row r="7" spans="2:28" ht="15" thickBot="1" x14ac:dyDescent="0.4"/>
    <row r="8" spans="2:28" ht="15" thickBot="1" x14ac:dyDescent="0.4">
      <c r="B8" s="121" t="s">
        <v>189</v>
      </c>
      <c r="C8" s="127">
        <v>0</v>
      </c>
      <c r="D8" s="127">
        <v>1</v>
      </c>
      <c r="E8" s="127">
        <v>2</v>
      </c>
      <c r="F8" s="127">
        <v>3</v>
      </c>
      <c r="G8" s="127">
        <v>4</v>
      </c>
      <c r="H8" s="127">
        <v>5</v>
      </c>
      <c r="I8" s="127">
        <v>6</v>
      </c>
      <c r="J8" s="127">
        <v>7</v>
      </c>
      <c r="K8" s="127">
        <v>8</v>
      </c>
      <c r="L8" s="127">
        <v>9</v>
      </c>
      <c r="M8" s="127">
        <v>10</v>
      </c>
      <c r="N8" s="127">
        <v>11</v>
      </c>
      <c r="O8" s="127">
        <v>12</v>
      </c>
      <c r="P8" s="127">
        <v>13</v>
      </c>
      <c r="Q8" s="127">
        <v>14</v>
      </c>
      <c r="R8" s="127">
        <v>15</v>
      </c>
      <c r="S8" s="127">
        <v>16</v>
      </c>
      <c r="T8" s="127">
        <v>17</v>
      </c>
      <c r="U8" s="127">
        <v>18</v>
      </c>
      <c r="V8" s="127">
        <v>19</v>
      </c>
      <c r="W8" s="127">
        <v>20</v>
      </c>
      <c r="X8" s="127">
        <v>21</v>
      </c>
      <c r="Y8" s="127">
        <v>22</v>
      </c>
      <c r="Z8" s="127">
        <v>23</v>
      </c>
      <c r="AA8" s="127">
        <v>24</v>
      </c>
      <c r="AB8" s="128">
        <v>25</v>
      </c>
    </row>
    <row r="9" spans="2:28" x14ac:dyDescent="0.35">
      <c r="B9" s="39" t="s">
        <v>132</v>
      </c>
      <c r="C9" s="7"/>
      <c r="D9" s="7"/>
      <c r="E9" s="7"/>
      <c r="F9" s="7"/>
      <c r="G9" s="7"/>
      <c r="H9" s="7"/>
      <c r="I9" s="7"/>
      <c r="J9" s="7"/>
      <c r="K9" s="7"/>
      <c r="L9" s="7"/>
      <c r="M9" s="7"/>
      <c r="N9" s="7"/>
      <c r="O9" s="7"/>
      <c r="P9" s="7"/>
      <c r="Q9" s="7"/>
      <c r="R9" s="7"/>
      <c r="S9" s="7"/>
      <c r="T9" s="7"/>
      <c r="U9" s="7"/>
      <c r="V9" s="7"/>
      <c r="W9" s="7"/>
      <c r="X9" s="7"/>
      <c r="Y9" s="7"/>
      <c r="Z9" s="7"/>
      <c r="AA9" s="7"/>
      <c r="AB9" s="16"/>
    </row>
    <row r="10" spans="2:28" x14ac:dyDescent="0.35">
      <c r="B10" s="19" t="s">
        <v>190</v>
      </c>
      <c r="D10" s="82">
        <f ca="1">'P&amp;L'!D75</f>
        <v>1.0477270844637558</v>
      </c>
      <c r="E10" s="82">
        <f ca="1">'P&amp;L'!E75</f>
        <v>2.2739998731846383</v>
      </c>
      <c r="F10" s="82">
        <f ca="1">'P&amp;L'!F75</f>
        <v>3.4946554632437685</v>
      </c>
      <c r="G10" s="82">
        <f ca="1">'P&amp;L'!G75</f>
        <v>4.8472003220164881</v>
      </c>
      <c r="H10" s="82">
        <f ca="1">'P&amp;L'!H75</f>
        <v>6.118124938699923</v>
      </c>
      <c r="I10" s="82">
        <f ca="1">'P&amp;L'!I75</f>
        <v>7.3425406292351818</v>
      </c>
      <c r="J10" s="82">
        <f ca="1">'P&amp;L'!J75</f>
        <v>7.5745894306501187</v>
      </c>
      <c r="K10" s="82">
        <f ca="1">'P&amp;L'!K75</f>
        <v>7.5221948420329507</v>
      </c>
      <c r="L10" s="82">
        <f ca="1">'P&amp;L'!L75</f>
        <v>7.6098299205308635</v>
      </c>
      <c r="M10" s="82">
        <f ca="1">'P&amp;L'!M75</f>
        <v>7.8154402575826518</v>
      </c>
      <c r="N10" s="82">
        <f ca="1">'P&amp;L'!N75</f>
        <v>8.0766127676592738</v>
      </c>
      <c r="O10" s="82">
        <f ca="1">'P&amp;L'!O75</f>
        <v>8.461975111921717</v>
      </c>
      <c r="P10" s="82">
        <f ca="1">'P&amp;L'!P75</f>
        <v>8.9137969647513611</v>
      </c>
      <c r="Q10" s="82">
        <f ca="1">'P&amp;L'!Q75</f>
        <v>8.9348936620332999</v>
      </c>
      <c r="R10" s="82">
        <f ca="1">'P&amp;L'!R75</f>
        <v>8.0735974213357018</v>
      </c>
      <c r="S10" s="82">
        <f ca="1">'P&amp;L'!S75</f>
        <v>14.477524484570022</v>
      </c>
      <c r="T10" s="82">
        <f ca="1">'P&amp;L'!T75</f>
        <v>13.798826568430016</v>
      </c>
      <c r="U10" s="82">
        <f ca="1">'P&amp;L'!U75</f>
        <v>26.975347900342999</v>
      </c>
      <c r="V10" s="82">
        <f ca="1">'P&amp;L'!V75</f>
        <v>26.910292008570291</v>
      </c>
      <c r="W10" s="82">
        <f ca="1">'P&amp;L'!W75</f>
        <v>26.158547482790468</v>
      </c>
      <c r="X10" s="82">
        <f ca="1">'P&amp;L'!X75</f>
        <v>21.860623594308141</v>
      </c>
      <c r="Y10" s="82">
        <f ca="1">'P&amp;L'!Y75</f>
        <v>21.080976457638386</v>
      </c>
      <c r="Z10" s="82">
        <f ca="1">'P&amp;L'!Z75</f>
        <v>20.291484431622941</v>
      </c>
      <c r="AA10" s="82">
        <f ca="1">'P&amp;L'!AA75</f>
        <v>19.488197919934159</v>
      </c>
      <c r="AB10" s="82">
        <f ca="1">'P&amp;L'!AB75</f>
        <v>18.66743590663323</v>
      </c>
    </row>
    <row r="11" spans="2:28" x14ac:dyDescent="0.35">
      <c r="B11" s="19" t="s">
        <v>306</v>
      </c>
      <c r="D11" s="82">
        <f ca="1">D10+'P&amp;L'!D47</f>
        <v>19.580527084463753</v>
      </c>
      <c r="E11" s="82">
        <f ca="1">E10+'P&amp;L'!E47</f>
        <v>20.806799873184637</v>
      </c>
      <c r="F11" s="82">
        <f ca="1">F10+'P&amp;L'!F47</f>
        <v>22.027455463243768</v>
      </c>
      <c r="G11" s="82">
        <f ca="1">G10+'P&amp;L'!G47</f>
        <v>23.380000322016485</v>
      </c>
      <c r="H11" s="82">
        <f ca="1">H10+'P&amp;L'!H47</f>
        <v>24.650924938699923</v>
      </c>
      <c r="I11" s="82">
        <f ca="1">I10+'P&amp;L'!I47</f>
        <v>25.875340629235179</v>
      </c>
      <c r="J11" s="82">
        <f ca="1">J10+'P&amp;L'!J47</f>
        <v>26.107389430650116</v>
      </c>
      <c r="K11" s="82">
        <f ca="1">K10+'P&amp;L'!K47</f>
        <v>26.054994842032947</v>
      </c>
      <c r="L11" s="82">
        <f ca="1">L10+'P&amp;L'!L47</f>
        <v>26.142629920530862</v>
      </c>
      <c r="M11" s="82">
        <f ca="1">M10+'P&amp;L'!M47</f>
        <v>26.348240257582649</v>
      </c>
      <c r="N11" s="82">
        <f ca="1">N10+'P&amp;L'!N47</f>
        <v>26.609412767659272</v>
      </c>
      <c r="O11" s="82">
        <f ca="1">O10+'P&amp;L'!O47</f>
        <v>26.994775111921715</v>
      </c>
      <c r="P11" s="82">
        <f ca="1">P10+'P&amp;L'!P47</f>
        <v>27.446596964751357</v>
      </c>
      <c r="Q11" s="82">
        <f ca="1">Q10+'P&amp;L'!Q47</f>
        <v>27.467693662033298</v>
      </c>
      <c r="R11" s="82">
        <f ca="1">R10+'P&amp;L'!R47</f>
        <v>26.6063974213357</v>
      </c>
      <c r="S11" s="82">
        <f ca="1">S10+'P&amp;L'!S47</f>
        <v>33.01032448457002</v>
      </c>
      <c r="T11" s="82">
        <f ca="1">T10+'P&amp;L'!T47</f>
        <v>32.331626568430011</v>
      </c>
      <c r="U11" s="82">
        <f ca="1">U10+'P&amp;L'!U47</f>
        <v>27.8177479003431</v>
      </c>
      <c r="V11" s="82">
        <f ca="1">V10+'P&amp;L'!V47</f>
        <v>26.910292008570291</v>
      </c>
      <c r="W11" s="82">
        <f ca="1">W10+'P&amp;L'!W47</f>
        <v>26.158547482790468</v>
      </c>
      <c r="X11" s="82">
        <f ca="1">X10+'P&amp;L'!X47</f>
        <v>21.860623594308141</v>
      </c>
      <c r="Y11" s="82">
        <f ca="1">Y10+'P&amp;L'!Y47</f>
        <v>21.080976457638386</v>
      </c>
      <c r="Z11" s="82">
        <f ca="1">Z10+'P&amp;L'!Z47</f>
        <v>20.291484431622941</v>
      </c>
      <c r="AA11" s="82">
        <f ca="1">AA10+'P&amp;L'!AA47</f>
        <v>19.488197919934159</v>
      </c>
      <c r="AB11" s="82">
        <f ca="1">AB10+'P&amp;L'!AB47</f>
        <v>18.66743590663323</v>
      </c>
    </row>
    <row r="12" spans="2:28" x14ac:dyDescent="0.35">
      <c r="B12" s="19" t="s">
        <v>307</v>
      </c>
      <c r="D12" s="82">
        <f ca="1">D11+Determination_of_Tariff!D11</f>
        <v>45.230527084463752</v>
      </c>
      <c r="E12" s="82">
        <f ca="1">E11+Determination_of_Tariff!E11</f>
        <v>44.404799873184636</v>
      </c>
      <c r="F12" s="82">
        <f ca="1">F11+Determination_of_Tariff!F11</f>
        <v>43.573455463243775</v>
      </c>
      <c r="G12" s="82">
        <f ca="1">G11+Determination_of_Tariff!G11</f>
        <v>42.874000322016485</v>
      </c>
      <c r="H12" s="82">
        <f ca="1">H11+Determination_of_Tariff!H11</f>
        <v>42.092924938699923</v>
      </c>
      <c r="I12" s="82">
        <f ca="1">I11+Determination_of_Tariff!I11</f>
        <v>41.265340629235183</v>
      </c>
      <c r="J12" s="82">
        <f ca="1">J11+Determination_of_Tariff!J11</f>
        <v>39.445389430650117</v>
      </c>
      <c r="K12" s="82">
        <f ca="1">K11+Determination_of_Tariff!K11</f>
        <v>37.340994842032948</v>
      </c>
      <c r="L12" s="82">
        <f ca="1">L11+Determination_of_Tariff!L11</f>
        <v>35.376629920530867</v>
      </c>
      <c r="M12" s="82">
        <f ca="1">M11+Determination_of_Tariff!M11</f>
        <v>33.530240257582655</v>
      </c>
      <c r="N12" s="82">
        <f ca="1">N11+Determination_of_Tariff!N11</f>
        <v>31.739412767659275</v>
      </c>
      <c r="O12" s="82">
        <f ca="1">O11+Determination_of_Tariff!O11</f>
        <v>30.072775111921718</v>
      </c>
      <c r="P12" s="82">
        <f ca="1">P11+Determination_of_Tariff!P11</f>
        <v>28.472596964751361</v>
      </c>
      <c r="Q12" s="82">
        <f ca="1">Q11+Determination_of_Tariff!Q11</f>
        <v>27.467693662033298</v>
      </c>
      <c r="R12" s="82">
        <f ca="1">R11+Determination_of_Tariff!R11</f>
        <v>26.6063974213357</v>
      </c>
      <c r="S12" s="82">
        <f ca="1">S11+Determination_of_Tariff!S11</f>
        <v>33.01032448457002</v>
      </c>
      <c r="T12" s="82">
        <f ca="1">T11+Determination_of_Tariff!T11</f>
        <v>32.331626568430011</v>
      </c>
      <c r="U12" s="82">
        <f ca="1">U11+Determination_of_Tariff!U11</f>
        <v>27.8177479003431</v>
      </c>
      <c r="V12" s="82">
        <f ca="1">V11+Determination_of_Tariff!V11</f>
        <v>26.910292008570291</v>
      </c>
      <c r="W12" s="82">
        <f ca="1">W11+Determination_of_Tariff!W11</f>
        <v>26.158547482790468</v>
      </c>
      <c r="X12" s="82">
        <f ca="1">X11+Determination_of_Tariff!X11</f>
        <v>21.860623594308141</v>
      </c>
      <c r="Y12" s="82">
        <f ca="1">Y11+Determination_of_Tariff!Y11</f>
        <v>21.080976457638386</v>
      </c>
      <c r="Z12" s="82">
        <f ca="1">Z11+Determination_of_Tariff!Z11</f>
        <v>20.291484431622941</v>
      </c>
      <c r="AA12" s="82">
        <f ca="1">AA11+Determination_of_Tariff!AA11</f>
        <v>19.488197919934159</v>
      </c>
      <c r="AB12" s="151">
        <f ca="1">AB11+Determination_of_Tariff!AB11</f>
        <v>18.66743590663323</v>
      </c>
    </row>
    <row r="13" spans="2:28" x14ac:dyDescent="0.35">
      <c r="B13" s="19" t="s">
        <v>193</v>
      </c>
      <c r="C13" s="135">
        <f>-C5</f>
        <v>-351</v>
      </c>
      <c r="D13" s="82">
        <f t="shared" ref="D13:AB13" ca="1" si="0">D12-D5</f>
        <v>45.230527084463752</v>
      </c>
      <c r="E13" s="82">
        <f t="shared" ca="1" si="0"/>
        <v>44.404799873184636</v>
      </c>
      <c r="F13" s="82">
        <f t="shared" ca="1" si="0"/>
        <v>43.573455463243775</v>
      </c>
      <c r="G13" s="82">
        <f t="shared" ca="1" si="0"/>
        <v>42.874000322016485</v>
      </c>
      <c r="H13" s="82">
        <f t="shared" ca="1" si="0"/>
        <v>42.092924938699923</v>
      </c>
      <c r="I13" s="82">
        <f t="shared" ca="1" si="0"/>
        <v>41.265340629235183</v>
      </c>
      <c r="J13" s="82">
        <f t="shared" ca="1" si="0"/>
        <v>39.445389430650117</v>
      </c>
      <c r="K13" s="82">
        <f t="shared" ca="1" si="0"/>
        <v>37.340994842032948</v>
      </c>
      <c r="L13" s="82">
        <f t="shared" ca="1" si="0"/>
        <v>35.376629920530867</v>
      </c>
      <c r="M13" s="82">
        <f t="shared" ca="1" si="0"/>
        <v>33.530240257582655</v>
      </c>
      <c r="N13" s="82">
        <f t="shared" ca="1" si="0"/>
        <v>31.739412767659275</v>
      </c>
      <c r="O13" s="82">
        <f t="shared" ca="1" si="0"/>
        <v>30.072775111921718</v>
      </c>
      <c r="P13" s="82">
        <f t="shared" ca="1" si="0"/>
        <v>28.472596964751361</v>
      </c>
      <c r="Q13" s="82">
        <f t="shared" ca="1" si="0"/>
        <v>27.467693662033298</v>
      </c>
      <c r="R13" s="82">
        <f t="shared" ca="1" si="0"/>
        <v>26.6063974213357</v>
      </c>
      <c r="S13" s="82">
        <f t="shared" ca="1" si="0"/>
        <v>33.01032448457002</v>
      </c>
      <c r="T13" s="82">
        <f t="shared" ca="1" si="0"/>
        <v>32.331626568430011</v>
      </c>
      <c r="U13" s="82">
        <f t="shared" ca="1" si="0"/>
        <v>27.8177479003431</v>
      </c>
      <c r="V13" s="82">
        <f t="shared" ca="1" si="0"/>
        <v>26.910292008570291</v>
      </c>
      <c r="W13" s="82">
        <f t="shared" ca="1" si="0"/>
        <v>26.158547482790468</v>
      </c>
      <c r="X13" s="82">
        <f t="shared" ca="1" si="0"/>
        <v>21.860623594308141</v>
      </c>
      <c r="Y13" s="82">
        <f t="shared" ca="1" si="0"/>
        <v>21.080976457638386</v>
      </c>
      <c r="Z13" s="82">
        <f t="shared" ca="1" si="0"/>
        <v>20.291484431622941</v>
      </c>
      <c r="AA13" s="82">
        <f t="shared" ca="1" si="0"/>
        <v>19.488197919934159</v>
      </c>
      <c r="AB13" s="151">
        <f t="shared" ca="1" si="0"/>
        <v>18.66743590663323</v>
      </c>
    </row>
    <row r="14" spans="2:28" x14ac:dyDescent="0.35">
      <c r="B14" s="19" t="s">
        <v>207</v>
      </c>
      <c r="C14" s="135">
        <f>C13</f>
        <v>-351</v>
      </c>
      <c r="D14" s="82">
        <f ca="1">C14+D13</f>
        <v>-305.76947291553626</v>
      </c>
      <c r="E14" s="82">
        <f t="shared" ref="E14:AB14" ca="1" si="1">D14+E13</f>
        <v>-261.36467304235163</v>
      </c>
      <c r="F14" s="82">
        <f t="shared" ca="1" si="1"/>
        <v>-217.79121757910787</v>
      </c>
      <c r="G14" s="82">
        <f t="shared" ca="1" si="1"/>
        <v>-174.91721725709138</v>
      </c>
      <c r="H14" s="82">
        <f t="shared" ca="1" si="1"/>
        <v>-132.82429231839146</v>
      </c>
      <c r="I14" s="82">
        <f t="shared" ca="1" si="1"/>
        <v>-91.558951689156274</v>
      </c>
      <c r="J14" s="82">
        <f t="shared" ca="1" si="1"/>
        <v>-52.113562258506157</v>
      </c>
      <c r="K14" s="82">
        <f t="shared" ca="1" si="1"/>
        <v>-14.772567416473208</v>
      </c>
      <c r="L14" s="82">
        <f t="shared" ca="1" si="1"/>
        <v>20.604062504057659</v>
      </c>
      <c r="M14" s="82">
        <f t="shared" ca="1" si="1"/>
        <v>54.134302761640313</v>
      </c>
      <c r="N14" s="82">
        <f t="shared" ca="1" si="1"/>
        <v>85.873715529299588</v>
      </c>
      <c r="O14" s="82">
        <f t="shared" ca="1" si="1"/>
        <v>115.9464906412213</v>
      </c>
      <c r="P14" s="82">
        <f t="shared" ca="1" si="1"/>
        <v>144.41908760597266</v>
      </c>
      <c r="Q14" s="82">
        <f t="shared" ca="1" si="1"/>
        <v>171.88678126800596</v>
      </c>
      <c r="R14" s="82">
        <f t="shared" ca="1" si="1"/>
        <v>198.49317868934168</v>
      </c>
      <c r="S14" s="82">
        <f t="shared" ca="1" si="1"/>
        <v>231.5035031739117</v>
      </c>
      <c r="T14" s="82">
        <f t="shared" ca="1" si="1"/>
        <v>263.83512974234168</v>
      </c>
      <c r="U14" s="82">
        <f t="shared" ca="1" si="1"/>
        <v>291.65287764268476</v>
      </c>
      <c r="V14" s="82">
        <f t="shared" ca="1" si="1"/>
        <v>318.56316965125507</v>
      </c>
      <c r="W14" s="82">
        <f t="shared" ca="1" si="1"/>
        <v>344.72171713404555</v>
      </c>
      <c r="X14" s="82">
        <f t="shared" ca="1" si="1"/>
        <v>366.5823407283537</v>
      </c>
      <c r="Y14" s="82">
        <f t="shared" ca="1" si="1"/>
        <v>387.66331718599207</v>
      </c>
      <c r="Z14" s="82">
        <f t="shared" ca="1" si="1"/>
        <v>407.95480161761503</v>
      </c>
      <c r="AA14" s="82">
        <f t="shared" ca="1" si="1"/>
        <v>427.44299953754921</v>
      </c>
      <c r="AB14" s="82">
        <f t="shared" ca="1" si="1"/>
        <v>446.11043544418243</v>
      </c>
    </row>
    <row r="15" spans="2:28" x14ac:dyDescent="0.35">
      <c r="B15" s="19"/>
      <c r="C15" s="33" t="str">
        <f ca="1">IF(AND(D14&gt;0,C14&lt;=0),C$8,"")</f>
        <v/>
      </c>
      <c r="D15" s="33" t="str">
        <f t="shared" ref="D15:AA15" ca="1" si="2">IF(AND(E14&gt;0,D14&lt;=0),D$8,"")</f>
        <v/>
      </c>
      <c r="E15" s="33" t="str">
        <f t="shared" ca="1" si="2"/>
        <v/>
      </c>
      <c r="F15" s="33" t="str">
        <f t="shared" ca="1" si="2"/>
        <v/>
      </c>
      <c r="G15" s="33" t="str">
        <f t="shared" ca="1" si="2"/>
        <v/>
      </c>
      <c r="H15" s="33" t="str">
        <f t="shared" ca="1" si="2"/>
        <v/>
      </c>
      <c r="I15" s="33" t="str">
        <f t="shared" ca="1" si="2"/>
        <v/>
      </c>
      <c r="J15" s="33" t="str">
        <f t="shared" ca="1" si="2"/>
        <v/>
      </c>
      <c r="K15" s="33">
        <f t="shared" ca="1" si="2"/>
        <v>8</v>
      </c>
      <c r="L15" s="33" t="str">
        <f t="shared" ca="1" si="2"/>
        <v/>
      </c>
      <c r="M15" s="33" t="str">
        <f t="shared" ca="1" si="2"/>
        <v/>
      </c>
      <c r="N15" s="33" t="str">
        <f t="shared" ca="1" si="2"/>
        <v/>
      </c>
      <c r="O15" s="33" t="str">
        <f t="shared" ca="1" si="2"/>
        <v/>
      </c>
      <c r="P15" s="33" t="str">
        <f t="shared" ca="1" si="2"/>
        <v/>
      </c>
      <c r="Q15" s="33" t="str">
        <f t="shared" ca="1" si="2"/>
        <v/>
      </c>
      <c r="R15" s="33" t="str">
        <f t="shared" ca="1" si="2"/>
        <v/>
      </c>
      <c r="S15" s="33" t="str">
        <f t="shared" ca="1" si="2"/>
        <v/>
      </c>
      <c r="T15" s="33" t="str">
        <f t="shared" ca="1" si="2"/>
        <v/>
      </c>
      <c r="U15" s="33" t="str">
        <f t="shared" ca="1" si="2"/>
        <v/>
      </c>
      <c r="V15" s="33" t="str">
        <f t="shared" ca="1" si="2"/>
        <v/>
      </c>
      <c r="W15" s="33" t="str">
        <f t="shared" ca="1" si="2"/>
        <v/>
      </c>
      <c r="X15" s="33" t="str">
        <f t="shared" ca="1" si="2"/>
        <v/>
      </c>
      <c r="Y15" s="33" t="str">
        <f t="shared" ca="1" si="2"/>
        <v/>
      </c>
      <c r="Z15" s="33" t="str">
        <f t="shared" ca="1" si="2"/>
        <v/>
      </c>
      <c r="AA15" s="33" t="str">
        <f t="shared" ca="1" si="2"/>
        <v/>
      </c>
      <c r="AB15" s="33" t="str">
        <f ca="1">IF(AND(AC26&gt;0,AB14&lt;=0),AB$8,"")</f>
        <v/>
      </c>
    </row>
    <row r="16" spans="2:28" x14ac:dyDescent="0.35">
      <c r="B16" s="168" t="s">
        <v>189</v>
      </c>
      <c r="C16" s="159">
        <f ca="1">IRR(C13:AB13,$C$2)</f>
        <v>9.3365412712135276E-2</v>
      </c>
      <c r="AB16" s="17"/>
    </row>
    <row r="17" spans="2:28" ht="15" thickBot="1" x14ac:dyDescent="0.4">
      <c r="B17" s="169" t="s">
        <v>194</v>
      </c>
      <c r="C17" s="130">
        <f ca="1">NPV($C$2,D13:AB13)+C13</f>
        <v>30.107190503669301</v>
      </c>
      <c r="E17" s="126" t="str">
        <f ca="1">IF(AND(C16&gt;$C$2,C17&gt;0),"Accept The Project","Reject The Project")</f>
        <v>Accept The Project</v>
      </c>
      <c r="G17" s="32"/>
      <c r="H17" s="32"/>
      <c r="I17" s="32"/>
      <c r="J17" s="32"/>
      <c r="K17" s="32"/>
      <c r="L17" s="32"/>
      <c r="M17" s="32"/>
      <c r="N17" s="32"/>
      <c r="O17" s="32"/>
      <c r="P17" s="32"/>
      <c r="Q17" s="32"/>
      <c r="R17" s="32"/>
      <c r="S17" s="32"/>
      <c r="T17" s="32"/>
      <c r="U17" s="32"/>
      <c r="V17" s="32"/>
      <c r="W17" s="32"/>
      <c r="X17" s="32"/>
      <c r="Y17" s="32"/>
      <c r="Z17" s="32"/>
      <c r="AA17" s="32"/>
      <c r="AB17" s="2"/>
    </row>
    <row r="18" spans="2:28" ht="15" thickBot="1" x14ac:dyDescent="0.4">
      <c r="B18" s="168" t="s">
        <v>206</v>
      </c>
      <c r="C18" s="132">
        <f ca="1">MIN(C15:AB15)</f>
        <v>8</v>
      </c>
      <c r="D18" s="133" t="s">
        <v>26</v>
      </c>
      <c r="E18" s="131">
        <f ca="1">(ABS(INDEX(C14:AB14,,MATCH(C18,C15:AB15,0))))/(ABS(INDEX(C13:AB13,,(MATCH(C18,C15:AB15,0))+1)))*10</f>
        <v>4.1757983871436917</v>
      </c>
      <c r="F18" s="134" t="s">
        <v>57</v>
      </c>
      <c r="AB18" s="17"/>
    </row>
    <row r="19" spans="2:28" x14ac:dyDescent="0.35">
      <c r="B19" s="39" t="s">
        <v>195</v>
      </c>
      <c r="G19" s="7"/>
      <c r="H19" s="7"/>
      <c r="I19" s="7"/>
      <c r="J19" s="7"/>
      <c r="K19" s="7"/>
      <c r="L19" s="7"/>
      <c r="M19" s="7"/>
      <c r="N19" s="7"/>
      <c r="O19" s="7"/>
      <c r="P19" s="7"/>
      <c r="Q19" s="7"/>
      <c r="R19" s="7"/>
      <c r="S19" s="7"/>
      <c r="T19" s="7"/>
      <c r="U19" s="7"/>
      <c r="V19" s="7"/>
      <c r="W19" s="7"/>
      <c r="X19" s="7"/>
      <c r="Y19" s="7"/>
      <c r="Z19" s="7"/>
      <c r="AA19" s="7"/>
      <c r="AB19" s="16"/>
    </row>
    <row r="20" spans="2:28" x14ac:dyDescent="0.35">
      <c r="B20" s="19" t="s">
        <v>190</v>
      </c>
      <c r="D20" s="82">
        <f ca="1">'P&amp;L'!D91</f>
        <v>-3.5315976057267742</v>
      </c>
      <c r="E20" s="82">
        <f ca="1">'P&amp;L'!E91</f>
        <v>-1.9344011155241274</v>
      </c>
      <c r="F20" s="82">
        <f ca="1">'P&amp;L'!F91</f>
        <v>-0.34460334255112191</v>
      </c>
      <c r="G20" s="82">
        <f ca="1">'P&amp;L'!G91</f>
        <v>1.0953810252905285</v>
      </c>
      <c r="H20" s="82">
        <f ca="1">'P&amp;L'!H91</f>
        <v>2.3859796326764622</v>
      </c>
      <c r="I20" s="82">
        <f ca="1">'P&amp;L'!I91</f>
        <v>3.6332259681665979</v>
      </c>
      <c r="J20" s="82">
        <f ca="1">'P&amp;L'!J91</f>
        <v>4.8526174069967984</v>
      </c>
      <c r="K20" s="82">
        <f ca="1">'P&amp;L'!K91</f>
        <v>6.051492463807973</v>
      </c>
      <c r="L20" s="82">
        <f ca="1">'P&amp;L'!L91</f>
        <v>7.2330871582842455</v>
      </c>
      <c r="M20" s="82">
        <f ca="1">'P&amp;L'!M91</f>
        <v>8.3985618758930283</v>
      </c>
      <c r="N20" s="82">
        <f ca="1">'P&amp;L'!N91</f>
        <v>9.4965880270585572</v>
      </c>
      <c r="O20" s="82">
        <f ca="1">'P&amp;L'!O91</f>
        <v>10.6295540799499</v>
      </c>
      <c r="P20" s="82">
        <f ca="1">'P&amp;L'!P91</f>
        <v>11.745264026654038</v>
      </c>
      <c r="Q20" s="82">
        <f ca="1">'P&amp;L'!Q91</f>
        <v>12.261747261605528</v>
      </c>
      <c r="R20" s="82">
        <f ca="1">'P&amp;L'!R91</f>
        <v>3.3170708281522217</v>
      </c>
      <c r="S20" s="82">
        <f ca="1">'P&amp;L'!S91</f>
        <v>11.016722395260215</v>
      </c>
      <c r="T20" s="82">
        <f ca="1">'P&amp;L'!T91</f>
        <v>10.362248485165209</v>
      </c>
      <c r="U20" s="82">
        <f ca="1">'P&amp;L'!U91</f>
        <v>23.562825059370962</v>
      </c>
      <c r="V20" s="82">
        <f ca="1">'P&amp;L'!V91</f>
        <v>23.521656425340005</v>
      </c>
      <c r="W20" s="82">
        <f ca="1">'P&amp;L'!W91</f>
        <v>22.793632147570278</v>
      </c>
      <c r="X20" s="82">
        <f ca="1">'P&amp;L'!X91</f>
        <v>18.370221625546893</v>
      </c>
      <c r="Y20" s="82">
        <f ca="1">'P&amp;L'!Y91</f>
        <v>17.715617773751703</v>
      </c>
      <c r="Z20" s="82">
        <f ca="1">'P&amp;L'!Z91</f>
        <v>17.035299147273513</v>
      </c>
      <c r="AA20" s="82">
        <f ca="1">'P&amp;L'!AA91</f>
        <v>16.327637629538678</v>
      </c>
      <c r="AB20" s="151">
        <f ca="1">'P&amp;L'!AB91</f>
        <v>15.590941394871844</v>
      </c>
    </row>
    <row r="21" spans="2:28" x14ac:dyDescent="0.35">
      <c r="B21" s="19" t="s">
        <v>191</v>
      </c>
      <c r="D21" s="82">
        <f ca="1">D20+'P&amp;L'!D47</f>
        <v>15.001202394273225</v>
      </c>
      <c r="E21" s="82">
        <f ca="1">E20+'P&amp;L'!E47</f>
        <v>16.59839888447587</v>
      </c>
      <c r="F21" s="82">
        <f ca="1">F20+'P&amp;L'!F47</f>
        <v>18.188196657448877</v>
      </c>
      <c r="G21" s="82">
        <f ca="1">G20+'P&amp;L'!G47</f>
        <v>19.628181025290527</v>
      </c>
      <c r="H21" s="82">
        <f ca="1">H20+'P&amp;L'!H47</f>
        <v>20.918779632676461</v>
      </c>
      <c r="I21" s="82">
        <f ca="1">I20+'P&amp;L'!I47</f>
        <v>22.166025968166597</v>
      </c>
      <c r="J21" s="82">
        <f ca="1">J20+'P&amp;L'!J47</f>
        <v>23.385417406996797</v>
      </c>
      <c r="K21" s="82">
        <f ca="1">K20+'P&amp;L'!K47</f>
        <v>24.584292463807969</v>
      </c>
      <c r="L21" s="82">
        <f ca="1">L20+'P&amp;L'!L47</f>
        <v>25.765887158284244</v>
      </c>
      <c r="M21" s="82">
        <f ca="1">M20+'P&amp;L'!M47</f>
        <v>26.931361875893025</v>
      </c>
      <c r="N21" s="82">
        <f ca="1">N20+'P&amp;L'!N47</f>
        <v>28.029388027058555</v>
      </c>
      <c r="O21" s="82">
        <f ca="1">O20+'P&amp;L'!O47</f>
        <v>29.1623540799499</v>
      </c>
      <c r="P21" s="82">
        <f ca="1">P20+'P&amp;L'!P47</f>
        <v>30.278064026654036</v>
      </c>
      <c r="Q21" s="82">
        <f ca="1">Q20+'P&amp;L'!Q47</f>
        <v>30.794547261605526</v>
      </c>
      <c r="R21" s="82">
        <f ca="1">R20+'P&amp;L'!R47</f>
        <v>21.84987082815222</v>
      </c>
      <c r="S21" s="82">
        <f ca="1">S20+'P&amp;L'!S47</f>
        <v>29.549522395260212</v>
      </c>
      <c r="T21" s="82">
        <f ca="1">T20+'P&amp;L'!T47</f>
        <v>28.895048485165205</v>
      </c>
      <c r="U21" s="82">
        <f ca="1">U20+'P&amp;L'!U47</f>
        <v>24.405225059371062</v>
      </c>
      <c r="V21" s="82">
        <f ca="1">V20+'P&amp;L'!V47</f>
        <v>23.521656425340005</v>
      </c>
      <c r="W21" s="82">
        <f ca="1">W20+'P&amp;L'!W47</f>
        <v>22.793632147570278</v>
      </c>
      <c r="X21" s="82">
        <f ca="1">X20+'P&amp;L'!X47</f>
        <v>18.370221625546893</v>
      </c>
      <c r="Y21" s="82">
        <f ca="1">Y20+'P&amp;L'!Y47</f>
        <v>17.715617773751703</v>
      </c>
      <c r="Z21" s="82">
        <f ca="1">Z20+'P&amp;L'!Z47</f>
        <v>17.035299147273513</v>
      </c>
      <c r="AA21" s="82">
        <f ca="1">AA20+'P&amp;L'!AA47</f>
        <v>16.327637629538678</v>
      </c>
      <c r="AB21" s="82">
        <f ca="1">AB20+'P&amp;L'!AB47</f>
        <v>15.590941394871844</v>
      </c>
    </row>
    <row r="22" spans="2:28" x14ac:dyDescent="0.35">
      <c r="B22" s="19" t="s">
        <v>192</v>
      </c>
      <c r="D22" s="82">
        <f ca="1">D21+Determination_of_Tariff!D$11</f>
        <v>40.651202394273227</v>
      </c>
      <c r="E22" s="82">
        <f ca="1">E21+Determination_of_Tariff!E$11</f>
        <v>40.196398884475869</v>
      </c>
      <c r="F22" s="82">
        <f ca="1">F21+Determination_of_Tariff!F$11</f>
        <v>39.734196657448877</v>
      </c>
      <c r="G22" s="82">
        <f ca="1">G21+Determination_of_Tariff!G$11</f>
        <v>39.12218102529053</v>
      </c>
      <c r="H22" s="82">
        <f ca="1">H21+Determination_of_Tariff!H$11</f>
        <v>38.360779632676469</v>
      </c>
      <c r="I22" s="82">
        <f ca="1">I21+Determination_of_Tariff!I$11</f>
        <v>37.556025968166594</v>
      </c>
      <c r="J22" s="82">
        <f ca="1">J21+Determination_of_Tariff!J$11</f>
        <v>36.723417406996802</v>
      </c>
      <c r="K22" s="82">
        <f ca="1">K21+Determination_of_Tariff!K$11</f>
        <v>35.870292463807971</v>
      </c>
      <c r="L22" s="82">
        <f ca="1">L21+Determination_of_Tariff!L$11</f>
        <v>34.999887158284245</v>
      </c>
      <c r="M22" s="82">
        <f ca="1">M21+Determination_of_Tariff!M$11</f>
        <v>34.113361875893027</v>
      </c>
      <c r="N22" s="82">
        <f ca="1">N21+Determination_of_Tariff!N$11</f>
        <v>33.159388027058561</v>
      </c>
      <c r="O22" s="82">
        <f ca="1">O21+Determination_of_Tariff!O$11</f>
        <v>32.240354079949903</v>
      </c>
      <c r="P22" s="82">
        <f ca="1">P21+Determination_of_Tariff!P$11</f>
        <v>31.304064026654039</v>
      </c>
      <c r="Q22" s="82">
        <f ca="1">Q21+Determination_of_Tariff!Q$11</f>
        <v>30.794547261605526</v>
      </c>
      <c r="R22" s="82">
        <f ca="1">R21+Determination_of_Tariff!R$11</f>
        <v>21.84987082815222</v>
      </c>
      <c r="S22" s="82">
        <f ca="1">S21+Determination_of_Tariff!S$11</f>
        <v>29.549522395260212</v>
      </c>
      <c r="T22" s="82">
        <f ca="1">T21+Determination_of_Tariff!T$11</f>
        <v>28.895048485165205</v>
      </c>
      <c r="U22" s="82">
        <f ca="1">U21+Determination_of_Tariff!U$11</f>
        <v>24.405225059371062</v>
      </c>
      <c r="V22" s="82">
        <f ca="1">V21+Determination_of_Tariff!V$11</f>
        <v>23.521656425340005</v>
      </c>
      <c r="W22" s="82">
        <f ca="1">W21+Determination_of_Tariff!W$11</f>
        <v>22.793632147570278</v>
      </c>
      <c r="X22" s="82">
        <f ca="1">X21+Determination_of_Tariff!X$11</f>
        <v>18.370221625546893</v>
      </c>
      <c r="Y22" s="82">
        <f ca="1">Y21+Determination_of_Tariff!Y$11</f>
        <v>17.715617773751703</v>
      </c>
      <c r="Z22" s="82">
        <f ca="1">Z21+Determination_of_Tariff!Z$11</f>
        <v>17.035299147273513</v>
      </c>
      <c r="AA22" s="82">
        <f ca="1">AA21+Determination_of_Tariff!AA$11</f>
        <v>16.327637629538678</v>
      </c>
      <c r="AB22" s="151">
        <f ca="1">AB21+Determination_of_Tariff!AB$11</f>
        <v>15.590941394871844</v>
      </c>
    </row>
    <row r="23" spans="2:28" x14ac:dyDescent="0.35">
      <c r="B23" s="19" t="s">
        <v>193</v>
      </c>
      <c r="C23" s="135">
        <f>-C$5</f>
        <v>-351</v>
      </c>
      <c r="D23" s="82">
        <f t="shared" ref="D23:AB23" ca="1" si="3">D22-D5</f>
        <v>40.651202394273227</v>
      </c>
      <c r="E23" s="82">
        <f t="shared" ca="1" si="3"/>
        <v>40.196398884475869</v>
      </c>
      <c r="F23" s="82">
        <f t="shared" ca="1" si="3"/>
        <v>39.734196657448877</v>
      </c>
      <c r="G23" s="82">
        <f t="shared" ca="1" si="3"/>
        <v>39.12218102529053</v>
      </c>
      <c r="H23" s="82">
        <f t="shared" ca="1" si="3"/>
        <v>38.360779632676469</v>
      </c>
      <c r="I23" s="82">
        <f t="shared" ca="1" si="3"/>
        <v>37.556025968166594</v>
      </c>
      <c r="J23" s="82">
        <f t="shared" ca="1" si="3"/>
        <v>36.723417406996802</v>
      </c>
      <c r="K23" s="82">
        <f t="shared" ca="1" si="3"/>
        <v>35.870292463807971</v>
      </c>
      <c r="L23" s="82">
        <f t="shared" ca="1" si="3"/>
        <v>34.999887158284245</v>
      </c>
      <c r="M23" s="82">
        <f t="shared" ca="1" si="3"/>
        <v>34.113361875893027</v>
      </c>
      <c r="N23" s="82">
        <f t="shared" ca="1" si="3"/>
        <v>33.159388027058561</v>
      </c>
      <c r="O23" s="82">
        <f t="shared" ca="1" si="3"/>
        <v>32.240354079949903</v>
      </c>
      <c r="P23" s="82">
        <f t="shared" ca="1" si="3"/>
        <v>31.304064026654039</v>
      </c>
      <c r="Q23" s="82">
        <f t="shared" ca="1" si="3"/>
        <v>30.794547261605526</v>
      </c>
      <c r="R23" s="82">
        <f t="shared" ca="1" si="3"/>
        <v>21.84987082815222</v>
      </c>
      <c r="S23" s="82">
        <f t="shared" ca="1" si="3"/>
        <v>29.549522395260212</v>
      </c>
      <c r="T23" s="82">
        <f t="shared" ca="1" si="3"/>
        <v>28.895048485165205</v>
      </c>
      <c r="U23" s="82">
        <f t="shared" ca="1" si="3"/>
        <v>24.405225059371062</v>
      </c>
      <c r="V23" s="82">
        <f t="shared" ca="1" si="3"/>
        <v>23.521656425340005</v>
      </c>
      <c r="W23" s="82">
        <f t="shared" ca="1" si="3"/>
        <v>22.793632147570278</v>
      </c>
      <c r="X23" s="82">
        <f t="shared" ca="1" si="3"/>
        <v>18.370221625546893</v>
      </c>
      <c r="Y23" s="82">
        <f t="shared" ca="1" si="3"/>
        <v>17.715617773751703</v>
      </c>
      <c r="Z23" s="82">
        <f t="shared" ca="1" si="3"/>
        <v>17.035299147273513</v>
      </c>
      <c r="AA23" s="82">
        <f t="shared" ca="1" si="3"/>
        <v>16.327637629538678</v>
      </c>
      <c r="AB23" s="151">
        <f t="shared" ca="1" si="3"/>
        <v>15.590941394871844</v>
      </c>
    </row>
    <row r="24" spans="2:28" x14ac:dyDescent="0.35">
      <c r="B24" s="19" t="s">
        <v>196</v>
      </c>
      <c r="C24" s="84"/>
      <c r="D24" s="82">
        <f>Determination_of_Tariff!D89</f>
        <v>54.666495000000012</v>
      </c>
      <c r="E24" s="82">
        <f>Determination_of_Tariff!E89</f>
        <v>8.8073797499999955</v>
      </c>
      <c r="F24" s="82">
        <f>Determination_of_Tariff!F89</f>
        <v>-3.4470262125000013</v>
      </c>
      <c r="G24" s="82">
        <f>Determination_of_Tariff!G89</f>
        <v>-5.3595942806249983</v>
      </c>
      <c r="H24" s="82">
        <f>Determination_of_Tariff!H89</f>
        <v>-6.0134283385312495</v>
      </c>
      <c r="I24" s="82">
        <f>Determination_of_Tariff!I89</f>
        <v>-5.9860780077515594</v>
      </c>
      <c r="J24" s="82">
        <f>Determination_of_Tariff!J89</f>
        <v>-5.6129646585888295</v>
      </c>
      <c r="K24" s="82">
        <f>Determination_of_Tariff!K89</f>
        <v>-5.0858989710005025</v>
      </c>
      <c r="L24" s="82">
        <f>Determination_of_Tariff!L89</f>
        <v>-4.5119415320704253</v>
      </c>
      <c r="M24" s="82">
        <f>Determination_of_Tariff!M89</f>
        <v>-3.9485067462918639</v>
      </c>
      <c r="N24" s="82">
        <f>Determination_of_Tariff!N89</f>
        <v>-3.424244600767282</v>
      </c>
      <c r="O24" s="82">
        <f>Determination_of_Tariff!O89</f>
        <v>-2.9514162305037108</v>
      </c>
      <c r="P24" s="82">
        <f>Determination_of_Tariff!P89</f>
        <v>-2.5331887878390629</v>
      </c>
      <c r="Q24" s="82">
        <f>Determination_of_Tariff!Q89</f>
        <v>-2.167901464809753</v>
      </c>
      <c r="R24" s="82">
        <f>Determination_of_Tariff!R89</f>
        <v>-1.8515308421762215</v>
      </c>
      <c r="S24" s="82">
        <f>Determination_of_Tariff!S89</f>
        <v>-1.5790899741025481</v>
      </c>
      <c r="T24" s="82">
        <f>Determination_of_Tariff!T89</f>
        <v>-1.3453997329388179</v>
      </c>
      <c r="U24" s="82">
        <f>Determination_of_Tariff!U89</f>
        <v>-1.1454937259689897</v>
      </c>
      <c r="V24" s="82">
        <f>Determination_of_Tariff!V89</f>
        <v>-0.9748120388562328</v>
      </c>
      <c r="W24" s="82">
        <f>Determination_of_Tariff!W89</f>
        <v>-0.82927565609735487</v>
      </c>
      <c r="X24" s="82">
        <f>Determination_of_Tariff!X89</f>
        <v>-0.70529556152448525</v>
      </c>
      <c r="Y24" s="82">
        <f>Determination_of_Tariff!Y89</f>
        <v>-0.5997479796008548</v>
      </c>
      <c r="Z24" s="82">
        <f>Determination_of_Tariff!Z89</f>
        <v>-0.50993383404374915</v>
      </c>
      <c r="AA24" s="82">
        <f>Determination_of_Tariff!AA89</f>
        <v>-0.43353258976700643</v>
      </c>
      <c r="AB24" s="151">
        <f>Determination_of_Tariff!AB89</f>
        <v>-0.36855599979984677</v>
      </c>
    </row>
    <row r="25" spans="2:28" x14ac:dyDescent="0.35">
      <c r="B25" s="19" t="s">
        <v>197</v>
      </c>
      <c r="C25" s="135">
        <f>C23+C24</f>
        <v>-351</v>
      </c>
      <c r="D25" s="82">
        <f t="shared" ref="D25:AB25" ca="1" si="4">D23+D24</f>
        <v>95.317697394273239</v>
      </c>
      <c r="E25" s="82">
        <f t="shared" ca="1" si="4"/>
        <v>49.003778634475864</v>
      </c>
      <c r="F25" s="82">
        <f t="shared" ca="1" si="4"/>
        <v>36.287170444948877</v>
      </c>
      <c r="G25" s="82">
        <f t="shared" ca="1" si="4"/>
        <v>33.762586744665533</v>
      </c>
      <c r="H25" s="82">
        <f t="shared" ca="1" si="4"/>
        <v>32.34735129414522</v>
      </c>
      <c r="I25" s="82">
        <f t="shared" ca="1" si="4"/>
        <v>31.569947960415035</v>
      </c>
      <c r="J25" s="82">
        <f t="shared" ca="1" si="4"/>
        <v>31.110452748407972</v>
      </c>
      <c r="K25" s="82">
        <f t="shared" ca="1" si="4"/>
        <v>30.784393492807467</v>
      </c>
      <c r="L25" s="82">
        <f t="shared" ca="1" si="4"/>
        <v>30.487945626213822</v>
      </c>
      <c r="M25" s="82">
        <f t="shared" ca="1" si="4"/>
        <v>30.164855129601165</v>
      </c>
      <c r="N25" s="82">
        <f t="shared" ca="1" si="4"/>
        <v>29.73514342629128</v>
      </c>
      <c r="O25" s="82">
        <f t="shared" ca="1" si="4"/>
        <v>29.288937849446192</v>
      </c>
      <c r="P25" s="82">
        <f t="shared" ca="1" si="4"/>
        <v>28.770875238814977</v>
      </c>
      <c r="Q25" s="82">
        <f t="shared" ca="1" si="4"/>
        <v>28.626645796795774</v>
      </c>
      <c r="R25" s="82">
        <f t="shared" ca="1" si="4"/>
        <v>19.998339985975999</v>
      </c>
      <c r="S25" s="82">
        <f t="shared" ca="1" si="4"/>
        <v>27.970432421157664</v>
      </c>
      <c r="T25" s="82">
        <f t="shared" ca="1" si="4"/>
        <v>27.549648752226386</v>
      </c>
      <c r="U25" s="82">
        <f t="shared" ca="1" si="4"/>
        <v>23.259731333402073</v>
      </c>
      <c r="V25" s="82">
        <f t="shared" ca="1" si="4"/>
        <v>22.546844386483773</v>
      </c>
      <c r="W25" s="82">
        <f t="shared" ca="1" si="4"/>
        <v>21.964356491472923</v>
      </c>
      <c r="X25" s="82">
        <f t="shared" ca="1" si="4"/>
        <v>17.664926064022406</v>
      </c>
      <c r="Y25" s="82">
        <f t="shared" ca="1" si="4"/>
        <v>17.115869794150846</v>
      </c>
      <c r="Z25" s="82">
        <f t="shared" ca="1" si="4"/>
        <v>16.525365313229763</v>
      </c>
      <c r="AA25" s="82">
        <f t="shared" ca="1" si="4"/>
        <v>15.894105039771672</v>
      </c>
      <c r="AB25" s="151">
        <f t="shared" ca="1" si="4"/>
        <v>15.222385395071997</v>
      </c>
    </row>
    <row r="26" spans="2:28" x14ac:dyDescent="0.35">
      <c r="B26" s="19" t="s">
        <v>207</v>
      </c>
      <c r="C26" s="135">
        <f>C25</f>
        <v>-351</v>
      </c>
      <c r="D26" s="82">
        <f ca="1">C26+D25</f>
        <v>-255.68230260572676</v>
      </c>
      <c r="E26" s="82">
        <f ca="1">D26+E25</f>
        <v>-206.67852397125091</v>
      </c>
      <c r="F26" s="82">
        <f t="shared" ref="F26" ca="1" si="5">E26+F25</f>
        <v>-170.39135352630203</v>
      </c>
      <c r="G26" s="82">
        <f t="shared" ref="G26" ca="1" si="6">F26+G25</f>
        <v>-136.6287667816365</v>
      </c>
      <c r="H26" s="82">
        <f t="shared" ref="H26" ca="1" si="7">G26+H25</f>
        <v>-104.28141548749127</v>
      </c>
      <c r="I26" s="82">
        <f t="shared" ref="I26" ca="1" si="8">H26+I25</f>
        <v>-72.711467527076238</v>
      </c>
      <c r="J26" s="82">
        <f t="shared" ref="J26" ca="1" si="9">I26+J25</f>
        <v>-41.601014778668265</v>
      </c>
      <c r="K26" s="82">
        <f t="shared" ref="K26" ca="1" si="10">J26+K25</f>
        <v>-10.816621285860798</v>
      </c>
      <c r="L26" s="82">
        <f t="shared" ref="L26" ca="1" si="11">K26+L25</f>
        <v>19.671324340353024</v>
      </c>
      <c r="M26" s="82">
        <f t="shared" ref="M26" ca="1" si="12">L26+M25</f>
        <v>49.836179469954189</v>
      </c>
      <c r="N26" s="82">
        <f t="shared" ref="N26" ca="1" si="13">M26+N25</f>
        <v>79.571322896245476</v>
      </c>
      <c r="O26" s="82">
        <f t="shared" ref="O26" ca="1" si="14">N26+O25</f>
        <v>108.86026074569168</v>
      </c>
      <c r="P26" s="82">
        <f t="shared" ref="P26" ca="1" si="15">O26+P25</f>
        <v>137.63113598450664</v>
      </c>
      <c r="Q26" s="82">
        <f t="shared" ref="Q26" ca="1" si="16">P26+Q25</f>
        <v>166.25778178130241</v>
      </c>
      <c r="R26" s="82">
        <f t="shared" ref="R26" ca="1" si="17">Q26+R25</f>
        <v>186.25612176727842</v>
      </c>
      <c r="S26" s="82">
        <f t="shared" ref="S26" ca="1" si="18">R26+S25</f>
        <v>214.22655418843607</v>
      </c>
      <c r="T26" s="82">
        <f t="shared" ref="T26" ca="1" si="19">S26+T25</f>
        <v>241.77620294066244</v>
      </c>
      <c r="U26" s="82">
        <f t="shared" ref="U26" ca="1" si="20">T26+U25</f>
        <v>265.03593427406452</v>
      </c>
      <c r="V26" s="82">
        <f t="shared" ref="V26" ca="1" si="21">U26+V25</f>
        <v>287.58277866054829</v>
      </c>
      <c r="W26" s="82">
        <f t="shared" ref="W26" ca="1" si="22">V26+W25</f>
        <v>309.54713515202121</v>
      </c>
      <c r="X26" s="82">
        <f t="shared" ref="X26" ca="1" si="23">W26+X25</f>
        <v>327.21206121604359</v>
      </c>
      <c r="Y26" s="82">
        <f t="shared" ref="Y26" ca="1" si="24">X26+Y25</f>
        <v>344.32793101019445</v>
      </c>
      <c r="Z26" s="82">
        <f t="shared" ref="Z26" ca="1" si="25">Y26+Z25</f>
        <v>360.85329632342422</v>
      </c>
      <c r="AA26" s="82">
        <f t="shared" ref="AA26" ca="1" si="26">Z26+AA25</f>
        <v>376.74740136319588</v>
      </c>
      <c r="AB26" s="151">
        <f t="shared" ref="AB26" ca="1" si="27">AA26+AB25</f>
        <v>391.9697867582679</v>
      </c>
    </row>
    <row r="27" spans="2:28" x14ac:dyDescent="0.35">
      <c r="B27" s="19"/>
      <c r="C27" s="135" t="str">
        <f ca="1">IF(AND(D26&gt;0,C26&lt;=0),C$8,"")</f>
        <v/>
      </c>
      <c r="D27" s="135" t="str">
        <f t="shared" ref="D27" ca="1" si="28">IF(AND(E26&gt;0,D26&lt;=0),D$8,"")</f>
        <v/>
      </c>
      <c r="E27" s="135" t="str">
        <f t="shared" ref="E27" ca="1" si="29">IF(AND(F26&gt;0,E26&lt;=0),E$8,"")</f>
        <v/>
      </c>
      <c r="F27" s="135" t="str">
        <f t="shared" ref="F27" ca="1" si="30">IF(AND(G26&gt;0,F26&lt;=0),F$8,"")</f>
        <v/>
      </c>
      <c r="G27" s="135" t="str">
        <f t="shared" ref="G27" ca="1" si="31">IF(AND(H26&gt;0,G26&lt;=0),G$8,"")</f>
        <v/>
      </c>
      <c r="H27" s="135" t="str">
        <f t="shared" ref="H27" ca="1" si="32">IF(AND(I26&gt;0,H26&lt;=0),H$8,"")</f>
        <v/>
      </c>
      <c r="I27" s="135" t="str">
        <f t="shared" ref="I27" ca="1" si="33">IF(AND(J26&gt;0,I26&lt;=0),I$8,"")</f>
        <v/>
      </c>
      <c r="J27" s="135" t="str">
        <f t="shared" ref="J27" ca="1" si="34">IF(AND(K26&gt;0,J26&lt;=0),J$8,"")</f>
        <v/>
      </c>
      <c r="K27" s="135">
        <f t="shared" ref="K27" ca="1" si="35">IF(AND(L26&gt;0,K26&lt;=0),K$8,"")</f>
        <v>8</v>
      </c>
      <c r="L27" s="135" t="str">
        <f t="shared" ref="L27" ca="1" si="36">IF(AND(M26&gt;0,L26&lt;=0),L$8,"")</f>
        <v/>
      </c>
      <c r="M27" s="135" t="str">
        <f t="shared" ref="M27" ca="1" si="37">IF(AND(N26&gt;0,M26&lt;=0),M$8,"")</f>
        <v/>
      </c>
      <c r="N27" s="135" t="str">
        <f t="shared" ref="N27" ca="1" si="38">IF(AND(O26&gt;0,N26&lt;=0),N$8,"")</f>
        <v/>
      </c>
      <c r="O27" s="135" t="str">
        <f t="shared" ref="O27" ca="1" si="39">IF(AND(P26&gt;0,O26&lt;=0),O$8,"")</f>
        <v/>
      </c>
      <c r="P27" s="135" t="str">
        <f t="shared" ref="P27" ca="1" si="40">IF(AND(Q26&gt;0,P26&lt;=0),P$8,"")</f>
        <v/>
      </c>
      <c r="Q27" s="135" t="str">
        <f t="shared" ref="Q27" ca="1" si="41">IF(AND(R26&gt;0,Q26&lt;=0),Q$8,"")</f>
        <v/>
      </c>
      <c r="R27" s="135" t="str">
        <f t="shared" ref="R27" ca="1" si="42">IF(AND(S26&gt;0,R26&lt;=0),R$8,"")</f>
        <v/>
      </c>
      <c r="S27" s="135" t="str">
        <f t="shared" ref="S27" ca="1" si="43">IF(AND(T26&gt;0,S26&lt;=0),S$8,"")</f>
        <v/>
      </c>
      <c r="T27" s="135" t="str">
        <f t="shared" ref="T27" ca="1" si="44">IF(AND(U26&gt;0,T26&lt;=0),T$8,"")</f>
        <v/>
      </c>
      <c r="U27" s="135" t="str">
        <f t="shared" ref="U27" ca="1" si="45">IF(AND(V26&gt;0,U26&lt;=0),U$8,"")</f>
        <v/>
      </c>
      <c r="V27" s="135" t="str">
        <f t="shared" ref="V27" ca="1" si="46">IF(AND(W26&gt;0,V26&lt;=0),V$8,"")</f>
        <v/>
      </c>
      <c r="W27" s="135" t="str">
        <f t="shared" ref="W27" ca="1" si="47">IF(AND(X26&gt;0,W26&lt;=0),W$8,"")</f>
        <v/>
      </c>
      <c r="X27" s="135" t="str">
        <f t="shared" ref="X27" ca="1" si="48">IF(AND(Y26&gt;0,X26&lt;=0),X$8,"")</f>
        <v/>
      </c>
      <c r="Y27" s="135" t="str">
        <f t="shared" ref="Y27" ca="1" si="49">IF(AND(Z26&gt;0,Y26&lt;=0),Y$8,"")</f>
        <v/>
      </c>
      <c r="Z27" s="135" t="str">
        <f t="shared" ref="Z27" ca="1" si="50">IF(AND(AA26&gt;0,Z26&lt;=0),Z$8,"")</f>
        <v/>
      </c>
      <c r="AA27" s="135" t="str">
        <f t="shared" ref="AA27" ca="1" si="51">IF(AND(AB26&gt;0,AA26&lt;=0),AA$8,"")</f>
        <v/>
      </c>
      <c r="AB27" s="136" t="str">
        <f ca="1">IF(AND(AC38&gt;0,AB26&lt;=0),AB$8,"")</f>
        <v/>
      </c>
    </row>
    <row r="28" spans="2:28" x14ac:dyDescent="0.35">
      <c r="B28" s="170" t="s">
        <v>189</v>
      </c>
      <c r="C28" s="124">
        <f ca="1">IRR(C25:AB25,$C$2)</f>
        <v>9.5825831352551072E-2</v>
      </c>
      <c r="AB28" s="17"/>
    </row>
    <row r="29" spans="2:28" ht="15" thickBot="1" x14ac:dyDescent="0.4">
      <c r="B29" s="169" t="s">
        <v>194</v>
      </c>
      <c r="C29" s="125">
        <f ca="1">NPV($C$2,D25:AB25)+C25</f>
        <v>31.503395974976797</v>
      </c>
      <c r="D29" s="32"/>
      <c r="E29" s="126" t="str">
        <f ca="1">IF(AND(C28&gt;$C$2,C29&gt;0),"Accept The Project","Reject The Project")</f>
        <v>Accept The Project</v>
      </c>
      <c r="F29" s="32"/>
      <c r="G29" s="32"/>
      <c r="H29" s="32"/>
      <c r="I29" s="32"/>
      <c r="J29" s="32"/>
      <c r="K29" s="32"/>
      <c r="L29" s="32"/>
      <c r="M29" s="32"/>
      <c r="N29" s="32"/>
      <c r="O29" s="32"/>
      <c r="P29" s="32"/>
      <c r="Q29" s="32"/>
      <c r="R29" s="32"/>
      <c r="S29" s="32"/>
      <c r="T29" s="32"/>
      <c r="U29" s="32"/>
      <c r="V29" s="32"/>
      <c r="W29" s="32"/>
      <c r="X29" s="32"/>
      <c r="Y29" s="32"/>
      <c r="Z29" s="32"/>
      <c r="AA29" s="32"/>
      <c r="AB29" s="2"/>
    </row>
    <row r="30" spans="2:28" ht="15" thickBot="1" x14ac:dyDescent="0.4">
      <c r="B30" s="168" t="s">
        <v>206</v>
      </c>
      <c r="C30" s="132">
        <f ca="1">MIN(C27:AB27)</f>
        <v>8</v>
      </c>
      <c r="D30" s="133" t="s">
        <v>26</v>
      </c>
      <c r="E30" s="131">
        <f ca="1">(ABS(INDEX(C26:AB26,,MATCH(C30,C27:AB27,0))))/(ABS(INDEX(C25:AB25,,(MATCH(C30,C27:AB27,0))+1)))*10</f>
        <v>3.5478354030389525</v>
      </c>
      <c r="F30" s="134" t="s">
        <v>57</v>
      </c>
      <c r="AB30" s="17"/>
    </row>
    <row r="31" spans="2:28" x14ac:dyDescent="0.35">
      <c r="B31" s="39" t="s">
        <v>134</v>
      </c>
      <c r="C31" s="7"/>
      <c r="D31" s="7"/>
      <c r="E31" s="7"/>
      <c r="F31" s="7"/>
      <c r="G31" s="7"/>
      <c r="H31" s="7"/>
      <c r="I31" s="7"/>
      <c r="J31" s="7"/>
      <c r="K31" s="7"/>
      <c r="L31" s="7"/>
      <c r="M31" s="7"/>
      <c r="N31" s="7"/>
      <c r="O31" s="7"/>
      <c r="P31" s="7"/>
      <c r="Q31" s="7"/>
      <c r="R31" s="7"/>
      <c r="S31" s="7"/>
      <c r="T31" s="7"/>
      <c r="U31" s="7"/>
      <c r="V31" s="7"/>
      <c r="W31" s="7"/>
      <c r="X31" s="7"/>
      <c r="Y31" s="7"/>
      <c r="Z31" s="7"/>
      <c r="AA31" s="7"/>
      <c r="AB31" s="16"/>
    </row>
    <row r="32" spans="2:28" x14ac:dyDescent="0.35">
      <c r="B32" s="19" t="s">
        <v>190</v>
      </c>
      <c r="D32" s="82">
        <f ca="1">'P&amp;L'!D105</f>
        <v>25.62196890872098</v>
      </c>
      <c r="E32" s="82">
        <f ca="1">'P&amp;L'!E105</f>
        <v>26.67622200467207</v>
      </c>
      <c r="F32" s="82">
        <f ca="1">'P&amp;L'!F105</f>
        <v>27.72606203981077</v>
      </c>
      <c r="G32" s="82">
        <f ca="1">'P&amp;L'!G105</f>
        <v>28.943526227294583</v>
      </c>
      <c r="H32" s="82">
        <f ca="1">'P&amp;L'!H105</f>
        <v>28.218728129276975</v>
      </c>
      <c r="I32" s="82">
        <f ca="1">'P&amp;L'!I105</f>
        <v>27.690020164651287</v>
      </c>
      <c r="J32" s="82">
        <f ca="1">'P&amp;L'!J105</f>
        <v>27.342897527071948</v>
      </c>
      <c r="K32" s="82">
        <f ca="1">'P&amp;L'!K105</f>
        <v>27.15654297877326</v>
      </c>
      <c r="L32" s="82">
        <f ca="1">'P&amp;L'!L105</f>
        <v>27.108946718810689</v>
      </c>
      <c r="M32" s="82">
        <f ca="1">'P&amp;L'!M105</f>
        <v>27.179167787522875</v>
      </c>
      <c r="N32" s="82">
        <f ca="1">'P&amp;L'!N105</f>
        <v>27.305346479514107</v>
      </c>
      <c r="O32" s="82">
        <f ca="1">'P&amp;L'!O105</f>
        <v>27.556383825105641</v>
      </c>
      <c r="P32" s="82">
        <f ca="1">'P&amp;L'!P105</f>
        <v>27.874682885599047</v>
      </c>
      <c r="Q32" s="82">
        <f ca="1">'P&amp;L'!Q105</f>
        <v>27.763122415763071</v>
      </c>
      <c r="R32" s="82">
        <f ca="1">'P&amp;L'!R105</f>
        <v>26.770063090953375</v>
      </c>
      <c r="S32" s="82">
        <f ca="1">'P&amp;L'!S105</f>
        <v>36.751143105074604</v>
      </c>
      <c r="T32" s="82">
        <f ca="1">'P&amp;L'!T105</f>
        <v>35.916540211364868</v>
      </c>
      <c r="U32" s="82">
        <f ca="1">'P&amp;L'!U105</f>
        <v>48.938242724164212</v>
      </c>
      <c r="V32" s="82">
        <f ca="1">'P&amp;L'!V105</f>
        <v>48.7194491568182</v>
      </c>
      <c r="W32" s="82">
        <f ca="1">'P&amp;L'!W105</f>
        <v>47.815041825097367</v>
      </c>
      <c r="X32" s="82">
        <f ca="1">'P&amp;L'!X105</f>
        <v>39.785485037248051</v>
      </c>
      <c r="Y32" s="82">
        <f ca="1">'P&amp;L'!Y105</f>
        <v>38.880364140143058</v>
      </c>
      <c r="Z32" s="82">
        <f ca="1">'P&amp;L'!Z105</f>
        <v>37.966276535182757</v>
      </c>
      <c r="AA32" s="82">
        <f ca="1">'P&amp;L'!AA105</f>
        <v>37.039266546185402</v>
      </c>
      <c r="AB32" s="151">
        <f ca="1">'P&amp;L'!AB105</f>
        <v>36.095647086208871</v>
      </c>
    </row>
    <row r="33" spans="2:28" x14ac:dyDescent="0.35">
      <c r="B33" s="19" t="s">
        <v>191</v>
      </c>
      <c r="D33" s="82">
        <f ca="1">D32+'P&amp;L'!D47</f>
        <v>44.154768908720982</v>
      </c>
      <c r="E33" s="82">
        <f ca="1">E32+'P&amp;L'!E47</f>
        <v>45.209022004672065</v>
      </c>
      <c r="F33" s="82">
        <f ca="1">F32+'P&amp;L'!F47</f>
        <v>46.258862039810765</v>
      </c>
      <c r="G33" s="82">
        <f ca="1">G32+'P&amp;L'!G47</f>
        <v>47.476326227294578</v>
      </c>
      <c r="H33" s="82">
        <f ca="1">H32+'P&amp;L'!H47</f>
        <v>46.751528129276977</v>
      </c>
      <c r="I33" s="82">
        <f ca="1">I32+'P&amp;L'!I47</f>
        <v>46.222820164651282</v>
      </c>
      <c r="J33" s="82">
        <f ca="1">J32+'P&amp;L'!J47</f>
        <v>45.875697527071949</v>
      </c>
      <c r="K33" s="82">
        <f ca="1">K32+'P&amp;L'!K47</f>
        <v>45.689342978773254</v>
      </c>
      <c r="L33" s="82">
        <f ca="1">L32+'P&amp;L'!L47</f>
        <v>45.641746718810687</v>
      </c>
      <c r="M33" s="82">
        <f ca="1">M32+'P&amp;L'!M47</f>
        <v>45.711967787522873</v>
      </c>
      <c r="N33" s="82">
        <f ca="1">N32+'P&amp;L'!N47</f>
        <v>45.838146479514108</v>
      </c>
      <c r="O33" s="82">
        <f ca="1">O32+'P&amp;L'!O47</f>
        <v>46.089183825105636</v>
      </c>
      <c r="P33" s="82">
        <f ca="1">P32+'P&amp;L'!P47</f>
        <v>46.407482885599045</v>
      </c>
      <c r="Q33" s="82">
        <f ca="1">Q32+'P&amp;L'!Q47</f>
        <v>46.295922415763073</v>
      </c>
      <c r="R33" s="82">
        <f ca="1">R32+'P&amp;L'!R47</f>
        <v>45.302863090953373</v>
      </c>
      <c r="S33" s="82">
        <f ca="1">S32+'P&amp;L'!S47</f>
        <v>55.283943105074599</v>
      </c>
      <c r="T33" s="82">
        <f ca="1">T32+'P&amp;L'!T47</f>
        <v>54.44934021136487</v>
      </c>
      <c r="U33" s="82">
        <f ca="1">U32+'P&amp;L'!U47</f>
        <v>49.780642724164316</v>
      </c>
      <c r="V33" s="82">
        <f ca="1">V32+'P&amp;L'!V47</f>
        <v>48.7194491568182</v>
      </c>
      <c r="W33" s="82">
        <f ca="1">W32+'P&amp;L'!W47</f>
        <v>47.815041825097367</v>
      </c>
      <c r="X33" s="82">
        <f ca="1">X32+'P&amp;L'!X47</f>
        <v>39.785485037248051</v>
      </c>
      <c r="Y33" s="82">
        <f ca="1">Y32+'P&amp;L'!Y47</f>
        <v>38.880364140143058</v>
      </c>
      <c r="Z33" s="82">
        <f ca="1">Z32+'P&amp;L'!Z47</f>
        <v>37.966276535182757</v>
      </c>
      <c r="AA33" s="82">
        <f ca="1">AA32+'P&amp;L'!AA47</f>
        <v>37.039266546185402</v>
      </c>
      <c r="AB33" s="82">
        <f ca="1">AB32+'P&amp;L'!AB47</f>
        <v>36.095647086208871</v>
      </c>
    </row>
    <row r="34" spans="2:28" x14ac:dyDescent="0.35">
      <c r="B34" s="19" t="s">
        <v>192</v>
      </c>
      <c r="D34" s="82">
        <f ca="1">D33+Determination_of_Tariff!D$11</f>
        <v>69.804768908720973</v>
      </c>
      <c r="E34" s="82">
        <f ca="1">E33+Determination_of_Tariff!E$11</f>
        <v>68.807022004672064</v>
      </c>
      <c r="F34" s="82">
        <f ca="1">F33+Determination_of_Tariff!F$11</f>
        <v>67.804862039810772</v>
      </c>
      <c r="G34" s="82">
        <f ca="1">G33+Determination_of_Tariff!G$11</f>
        <v>66.970326227294578</v>
      </c>
      <c r="H34" s="82">
        <f ca="1">H33+Determination_of_Tariff!H$11</f>
        <v>64.193528129276984</v>
      </c>
      <c r="I34" s="82">
        <f ca="1">I33+Determination_of_Tariff!I$11</f>
        <v>61.612820164651282</v>
      </c>
      <c r="J34" s="82">
        <f ca="1">J33+Determination_of_Tariff!J$11</f>
        <v>59.21369752707195</v>
      </c>
      <c r="K34" s="82">
        <f ca="1">K33+Determination_of_Tariff!K$11</f>
        <v>56.975342978773256</v>
      </c>
      <c r="L34" s="82">
        <f ca="1">L33+Determination_of_Tariff!L$11</f>
        <v>54.875746718810689</v>
      </c>
      <c r="M34" s="82">
        <f ca="1">M33+Determination_of_Tariff!M$11</f>
        <v>52.893967787522875</v>
      </c>
      <c r="N34" s="82">
        <f ca="1">N33+Determination_of_Tariff!N$11</f>
        <v>50.968146479514111</v>
      </c>
      <c r="O34" s="82">
        <f ca="1">O33+Determination_of_Tariff!O$11</f>
        <v>49.167183825105639</v>
      </c>
      <c r="P34" s="82">
        <f ca="1">P33+Determination_of_Tariff!P$11</f>
        <v>47.433482885599048</v>
      </c>
      <c r="Q34" s="82">
        <f ca="1">Q33+Determination_of_Tariff!Q$11</f>
        <v>46.295922415763073</v>
      </c>
      <c r="R34" s="82">
        <f ca="1">R33+Determination_of_Tariff!R$11</f>
        <v>45.302863090953373</v>
      </c>
      <c r="S34" s="82">
        <f ca="1">S33+Determination_of_Tariff!S$11</f>
        <v>55.283943105074599</v>
      </c>
      <c r="T34" s="82">
        <f ca="1">T33+Determination_of_Tariff!T$11</f>
        <v>54.44934021136487</v>
      </c>
      <c r="U34" s="82">
        <f ca="1">U33+Determination_of_Tariff!U$11</f>
        <v>49.780642724164316</v>
      </c>
      <c r="V34" s="82">
        <f ca="1">V33+Determination_of_Tariff!V$11</f>
        <v>48.7194491568182</v>
      </c>
      <c r="W34" s="82">
        <f ca="1">W33+Determination_of_Tariff!W$11</f>
        <v>47.815041825097367</v>
      </c>
      <c r="X34" s="82">
        <f ca="1">X33+Determination_of_Tariff!X$11</f>
        <v>39.785485037248051</v>
      </c>
      <c r="Y34" s="82">
        <f ca="1">Y33+Determination_of_Tariff!Y$11</f>
        <v>38.880364140143058</v>
      </c>
      <c r="Z34" s="82">
        <f ca="1">Z33+Determination_of_Tariff!Z$11</f>
        <v>37.966276535182757</v>
      </c>
      <c r="AA34" s="82">
        <f ca="1">AA33+Determination_of_Tariff!AA$11</f>
        <v>37.039266546185402</v>
      </c>
      <c r="AB34" s="82">
        <f ca="1">AB33+Determination_of_Tariff!AB$11</f>
        <v>36.095647086208871</v>
      </c>
    </row>
    <row r="35" spans="2:28" x14ac:dyDescent="0.35">
      <c r="B35" s="19" t="s">
        <v>193</v>
      </c>
      <c r="C35" s="135">
        <f>-C5</f>
        <v>-351</v>
      </c>
      <c r="D35" s="82">
        <f t="shared" ref="D35:AB35" ca="1" si="52">D34-D5</f>
        <v>69.804768908720973</v>
      </c>
      <c r="E35" s="82">
        <f t="shared" ca="1" si="52"/>
        <v>68.807022004672064</v>
      </c>
      <c r="F35" s="82">
        <f t="shared" ca="1" si="52"/>
        <v>67.804862039810772</v>
      </c>
      <c r="G35" s="82">
        <f t="shared" ca="1" si="52"/>
        <v>66.970326227294578</v>
      </c>
      <c r="H35" s="82">
        <f t="shared" ca="1" si="52"/>
        <v>64.193528129276984</v>
      </c>
      <c r="I35" s="82">
        <f t="shared" ca="1" si="52"/>
        <v>61.612820164651282</v>
      </c>
      <c r="J35" s="82">
        <f t="shared" ca="1" si="52"/>
        <v>59.21369752707195</v>
      </c>
      <c r="K35" s="82">
        <f t="shared" ca="1" si="52"/>
        <v>56.975342978773256</v>
      </c>
      <c r="L35" s="82">
        <f t="shared" ca="1" si="52"/>
        <v>54.875746718810689</v>
      </c>
      <c r="M35" s="82">
        <f t="shared" ca="1" si="52"/>
        <v>52.893967787522875</v>
      </c>
      <c r="N35" s="82">
        <f t="shared" ca="1" si="52"/>
        <v>50.968146479514111</v>
      </c>
      <c r="O35" s="82">
        <f t="shared" ca="1" si="52"/>
        <v>49.167183825105639</v>
      </c>
      <c r="P35" s="82">
        <f t="shared" ca="1" si="52"/>
        <v>47.433482885599048</v>
      </c>
      <c r="Q35" s="82">
        <f t="shared" ca="1" si="52"/>
        <v>46.295922415763073</v>
      </c>
      <c r="R35" s="82">
        <f t="shared" ca="1" si="52"/>
        <v>45.302863090953373</v>
      </c>
      <c r="S35" s="82">
        <f t="shared" ca="1" si="52"/>
        <v>55.283943105074599</v>
      </c>
      <c r="T35" s="82">
        <f t="shared" ca="1" si="52"/>
        <v>54.44934021136487</v>
      </c>
      <c r="U35" s="82">
        <f t="shared" ca="1" si="52"/>
        <v>49.780642724164316</v>
      </c>
      <c r="V35" s="82">
        <f t="shared" ca="1" si="52"/>
        <v>48.7194491568182</v>
      </c>
      <c r="W35" s="82">
        <f t="shared" ca="1" si="52"/>
        <v>47.815041825097367</v>
      </c>
      <c r="X35" s="82">
        <f t="shared" ca="1" si="52"/>
        <v>39.785485037248051</v>
      </c>
      <c r="Y35" s="82">
        <f t="shared" ca="1" si="52"/>
        <v>38.880364140143058</v>
      </c>
      <c r="Z35" s="82">
        <f t="shared" ca="1" si="52"/>
        <v>37.966276535182757</v>
      </c>
      <c r="AA35" s="82">
        <f t="shared" ca="1" si="52"/>
        <v>37.039266546185402</v>
      </c>
      <c r="AB35" s="82">
        <f t="shared" ca="1" si="52"/>
        <v>36.095647086208871</v>
      </c>
    </row>
    <row r="36" spans="2:28" x14ac:dyDescent="0.35">
      <c r="B36" s="19" t="s">
        <v>207</v>
      </c>
      <c r="C36" s="135">
        <f>C35</f>
        <v>-351</v>
      </c>
      <c r="D36" s="82">
        <f ca="1">C36+D35</f>
        <v>-281.19523109127903</v>
      </c>
      <c r="E36" s="82">
        <f ca="1">D36+E35</f>
        <v>-212.38820908660696</v>
      </c>
      <c r="F36" s="82">
        <f t="shared" ref="F36" ca="1" si="53">E36+F35</f>
        <v>-144.58334704679618</v>
      </c>
      <c r="G36" s="82">
        <f t="shared" ref="G36" ca="1" si="54">F36+G35</f>
        <v>-77.6130208195016</v>
      </c>
      <c r="H36" s="82">
        <f t="shared" ref="H36" ca="1" si="55">G36+H35</f>
        <v>-13.419492690224615</v>
      </c>
      <c r="I36" s="82">
        <f t="shared" ref="I36" ca="1" si="56">H36+I35</f>
        <v>48.193327474426667</v>
      </c>
      <c r="J36" s="82">
        <f t="shared" ref="J36" ca="1" si="57">I36+J35</f>
        <v>107.40702500149862</v>
      </c>
      <c r="K36" s="82">
        <f t="shared" ref="K36" ca="1" si="58">J36+K35</f>
        <v>164.38236798027188</v>
      </c>
      <c r="L36" s="82">
        <f t="shared" ref="L36" ca="1" si="59">K36+L35</f>
        <v>219.25811469908257</v>
      </c>
      <c r="M36" s="82">
        <f t="shared" ref="M36" ca="1" si="60">L36+M35</f>
        <v>272.15208248660542</v>
      </c>
      <c r="N36" s="82">
        <f t="shared" ref="N36" ca="1" si="61">M36+N35</f>
        <v>323.12022896611956</v>
      </c>
      <c r="O36" s="82">
        <f t="shared" ref="O36" ca="1" si="62">N36+O35</f>
        <v>372.28741279122517</v>
      </c>
      <c r="P36" s="82">
        <f t="shared" ref="P36" ca="1" si="63">O36+P35</f>
        <v>419.72089567682423</v>
      </c>
      <c r="Q36" s="82">
        <f t="shared" ref="Q36" ca="1" si="64">P36+Q35</f>
        <v>466.0168180925873</v>
      </c>
      <c r="R36" s="82">
        <f t="shared" ref="R36" ca="1" si="65">Q36+R35</f>
        <v>511.31968118354069</v>
      </c>
      <c r="S36" s="82">
        <f t="shared" ref="S36" ca="1" si="66">R36+S35</f>
        <v>566.60362428861526</v>
      </c>
      <c r="T36" s="82">
        <f t="shared" ref="T36" ca="1" si="67">S36+T35</f>
        <v>621.05296449998013</v>
      </c>
      <c r="U36" s="82">
        <f t="shared" ref="U36" ca="1" si="68">T36+U35</f>
        <v>670.83360722414443</v>
      </c>
      <c r="V36" s="82">
        <f t="shared" ref="V36" ca="1" si="69">U36+V35</f>
        <v>719.55305638096263</v>
      </c>
      <c r="W36" s="82">
        <f t="shared" ref="W36" ca="1" si="70">V36+W35</f>
        <v>767.36809820606004</v>
      </c>
      <c r="X36" s="82">
        <f t="shared" ref="X36" ca="1" si="71">W36+X35</f>
        <v>807.15358324330805</v>
      </c>
      <c r="Y36" s="82">
        <f t="shared" ref="Y36" ca="1" si="72">X36+Y35</f>
        <v>846.03394738345105</v>
      </c>
      <c r="Z36" s="82">
        <f t="shared" ref="Z36" ca="1" si="73">Y36+Z35</f>
        <v>884.00022391863376</v>
      </c>
      <c r="AA36" s="82">
        <f t="shared" ref="AA36" ca="1" si="74">Z36+AA35</f>
        <v>921.03949046481921</v>
      </c>
      <c r="AB36" s="151">
        <f t="shared" ref="AB36" ca="1" si="75">AA36+AB35</f>
        <v>957.13513755102804</v>
      </c>
    </row>
    <row r="37" spans="2:28" x14ac:dyDescent="0.35">
      <c r="B37" s="19"/>
      <c r="C37" s="135" t="str">
        <f ca="1">IF(AND(D36&gt;0,C36&lt;=0),C$8,"")</f>
        <v/>
      </c>
      <c r="D37" s="135" t="str">
        <f t="shared" ref="D37" ca="1" si="76">IF(AND(E36&gt;0,D36&lt;=0),D$8,"")</f>
        <v/>
      </c>
      <c r="E37" s="135" t="str">
        <f t="shared" ref="E37" ca="1" si="77">IF(AND(F36&gt;0,E36&lt;=0),E$8,"")</f>
        <v/>
      </c>
      <c r="F37" s="135" t="str">
        <f t="shared" ref="F37" ca="1" si="78">IF(AND(G36&gt;0,F36&lt;=0),F$8,"")</f>
        <v/>
      </c>
      <c r="G37" s="135" t="str">
        <f t="shared" ref="G37" ca="1" si="79">IF(AND(H36&gt;0,G36&lt;=0),G$8,"")</f>
        <v/>
      </c>
      <c r="H37" s="135">
        <f t="shared" ref="H37" ca="1" si="80">IF(AND(I36&gt;0,H36&lt;=0),H$8,"")</f>
        <v>5</v>
      </c>
      <c r="I37" s="135" t="str">
        <f t="shared" ref="I37" ca="1" si="81">IF(AND(J36&gt;0,I36&lt;=0),I$8,"")</f>
        <v/>
      </c>
      <c r="J37" s="135" t="str">
        <f t="shared" ref="J37" ca="1" si="82">IF(AND(K36&gt;0,J36&lt;=0),J$8,"")</f>
        <v/>
      </c>
      <c r="K37" s="135" t="str">
        <f t="shared" ref="K37" ca="1" si="83">IF(AND(L36&gt;0,K36&lt;=0),K$8,"")</f>
        <v/>
      </c>
      <c r="L37" s="135" t="str">
        <f t="shared" ref="L37" ca="1" si="84">IF(AND(M36&gt;0,L36&lt;=0),L$8,"")</f>
        <v/>
      </c>
      <c r="M37" s="135" t="str">
        <f t="shared" ref="M37" ca="1" si="85">IF(AND(N36&gt;0,M36&lt;=0),M$8,"")</f>
        <v/>
      </c>
      <c r="N37" s="135" t="str">
        <f t="shared" ref="N37" ca="1" si="86">IF(AND(O36&gt;0,N36&lt;=0),N$8,"")</f>
        <v/>
      </c>
      <c r="O37" s="135" t="str">
        <f t="shared" ref="O37" ca="1" si="87">IF(AND(P36&gt;0,O36&lt;=0),O$8,"")</f>
        <v/>
      </c>
      <c r="P37" s="135" t="str">
        <f t="shared" ref="P37" ca="1" si="88">IF(AND(Q36&gt;0,P36&lt;=0),P$8,"")</f>
        <v/>
      </c>
      <c r="Q37" s="135" t="str">
        <f t="shared" ref="Q37" ca="1" si="89">IF(AND(R36&gt;0,Q36&lt;=0),Q$8,"")</f>
        <v/>
      </c>
      <c r="R37" s="135" t="str">
        <f t="shared" ref="R37" ca="1" si="90">IF(AND(S36&gt;0,R36&lt;=0),R$8,"")</f>
        <v/>
      </c>
      <c r="S37" s="135" t="str">
        <f t="shared" ref="S37" ca="1" si="91">IF(AND(T36&gt;0,S36&lt;=0),S$8,"")</f>
        <v/>
      </c>
      <c r="T37" s="135" t="str">
        <f t="shared" ref="T37" ca="1" si="92">IF(AND(U36&gt;0,T36&lt;=0),T$8,"")</f>
        <v/>
      </c>
      <c r="U37" s="135" t="str">
        <f t="shared" ref="U37" ca="1" si="93">IF(AND(V36&gt;0,U36&lt;=0),U$8,"")</f>
        <v/>
      </c>
      <c r="V37" s="135" t="str">
        <f t="shared" ref="V37" ca="1" si="94">IF(AND(W36&gt;0,V36&lt;=0),V$8,"")</f>
        <v/>
      </c>
      <c r="W37" s="135" t="str">
        <f t="shared" ref="W37" ca="1" si="95">IF(AND(X36&gt;0,W36&lt;=0),W$8,"")</f>
        <v/>
      </c>
      <c r="X37" s="135" t="str">
        <f t="shared" ref="X37" ca="1" si="96">IF(AND(Y36&gt;0,X36&lt;=0),X$8,"")</f>
        <v/>
      </c>
      <c r="Y37" s="135" t="str">
        <f t="shared" ref="Y37" ca="1" si="97">IF(AND(Z36&gt;0,Y36&lt;=0),Y$8,"")</f>
        <v/>
      </c>
      <c r="Z37" s="135" t="str">
        <f t="shared" ref="Z37" ca="1" si="98">IF(AND(AA36&gt;0,Z36&lt;=0),Z$8,"")</f>
        <v/>
      </c>
      <c r="AA37" s="135" t="str">
        <f t="shared" ref="AA37" ca="1" si="99">IF(AND(AB36&gt;0,AA36&lt;=0),AA$8,"")</f>
        <v/>
      </c>
      <c r="AB37" s="136" t="str">
        <f ca="1">IF(AND(AC48&gt;0,AB36&lt;=0),AB$8,"")</f>
        <v/>
      </c>
    </row>
    <row r="38" spans="2:28" x14ac:dyDescent="0.35">
      <c r="B38" s="168" t="s">
        <v>189</v>
      </c>
      <c r="C38" s="124">
        <f ca="1">IRR(C35:AB35,$C$2)</f>
        <v>0.17221462226439921</v>
      </c>
      <c r="AB38" s="17"/>
    </row>
    <row r="39" spans="2:28" ht="15" thickBot="1" x14ac:dyDescent="0.4">
      <c r="B39" s="169" t="s">
        <v>194</v>
      </c>
      <c r="C39" s="125">
        <f ca="1">NPV($C$2,D35:AB35)+C35</f>
        <v>254.49894858595383</v>
      </c>
      <c r="D39" s="32"/>
      <c r="E39" s="129" t="str">
        <f ca="1">IF(AND(C38&gt;$C$2,C39&gt;0),"Accept The Project","Reject The Project")</f>
        <v>Accept The Project</v>
      </c>
      <c r="F39" s="32"/>
      <c r="G39" s="32"/>
      <c r="H39" s="32"/>
      <c r="I39" s="32"/>
      <c r="J39" s="32"/>
      <c r="K39" s="32"/>
      <c r="L39" s="32"/>
      <c r="M39" s="32"/>
      <c r="N39" s="32"/>
      <c r="O39" s="32"/>
      <c r="P39" s="32"/>
      <c r="Q39" s="32"/>
      <c r="R39" s="32"/>
      <c r="S39" s="32"/>
      <c r="T39" s="32"/>
      <c r="U39" s="32"/>
      <c r="V39" s="32"/>
      <c r="W39" s="32"/>
      <c r="X39" s="32"/>
      <c r="Y39" s="32"/>
      <c r="Z39" s="32"/>
      <c r="AA39" s="32"/>
      <c r="AB39" s="2"/>
    </row>
    <row r="40" spans="2:28" ht="15" thickBot="1" x14ac:dyDescent="0.4">
      <c r="B40" s="168" t="s">
        <v>206</v>
      </c>
      <c r="C40" s="132">
        <f ca="1">MIN(C37:AB37)</f>
        <v>5</v>
      </c>
      <c r="D40" s="133" t="s">
        <v>26</v>
      </c>
      <c r="E40" s="131">
        <f ca="1">(ABS(INDEX(C36:AB36,,MATCH(C40,C37:AB37,0))))/(ABS(INDEX(C35:AB35,,(MATCH(C40,C37:AB37,0))+1)))*10</f>
        <v>2.1780357812486066</v>
      </c>
      <c r="F40" s="134" t="s">
        <v>57</v>
      </c>
    </row>
    <row r="42" spans="2:28" ht="15" thickBot="1" x14ac:dyDescent="0.4"/>
    <row r="43" spans="2:28" ht="16" thickBot="1" x14ac:dyDescent="0.4">
      <c r="B43" s="154" t="s">
        <v>236</v>
      </c>
      <c r="C43" s="127">
        <v>0</v>
      </c>
      <c r="D43" s="127">
        <v>1</v>
      </c>
      <c r="E43" s="127">
        <v>2</v>
      </c>
      <c r="F43" s="127">
        <v>3</v>
      </c>
      <c r="G43" s="127">
        <v>4</v>
      </c>
      <c r="H43" s="127">
        <v>5</v>
      </c>
      <c r="I43" s="127">
        <v>6</v>
      </c>
      <c r="J43" s="127">
        <v>7</v>
      </c>
      <c r="K43" s="127">
        <v>8</v>
      </c>
      <c r="L43" s="127">
        <v>9</v>
      </c>
      <c r="M43" s="127">
        <v>10</v>
      </c>
      <c r="N43" s="127">
        <v>11</v>
      </c>
      <c r="O43" s="127">
        <v>12</v>
      </c>
      <c r="P43" s="127">
        <v>13</v>
      </c>
      <c r="Q43" s="127">
        <v>14</v>
      </c>
      <c r="R43" s="127">
        <v>15</v>
      </c>
      <c r="S43" s="127">
        <v>16</v>
      </c>
      <c r="T43" s="127">
        <v>17</v>
      </c>
      <c r="U43" s="127">
        <v>18</v>
      </c>
      <c r="V43" s="127">
        <v>19</v>
      </c>
      <c r="W43" s="127">
        <v>20</v>
      </c>
      <c r="X43" s="127">
        <v>21</v>
      </c>
      <c r="Y43" s="127">
        <v>22</v>
      </c>
      <c r="Z43" s="127">
        <v>23</v>
      </c>
      <c r="AA43" s="127">
        <v>24</v>
      </c>
      <c r="AB43" s="128">
        <v>25</v>
      </c>
    </row>
    <row r="44" spans="2:28" x14ac:dyDescent="0.35">
      <c r="B44" s="19" t="s">
        <v>237</v>
      </c>
      <c r="C44">
        <f>-'Assumption for solar PV Power P'!$F$26</f>
        <v>-70.2</v>
      </c>
      <c r="D44" s="82"/>
      <c r="E44" s="82"/>
      <c r="F44" s="82"/>
      <c r="G44" s="82"/>
      <c r="H44" s="82"/>
      <c r="I44" s="82"/>
      <c r="J44" s="82"/>
      <c r="K44" s="82"/>
      <c r="L44" s="82"/>
      <c r="M44" s="82"/>
      <c r="N44" s="82"/>
      <c r="O44" s="82"/>
      <c r="P44" s="82"/>
      <c r="Q44" s="82"/>
      <c r="R44" s="82"/>
      <c r="S44" s="82"/>
      <c r="T44" s="82"/>
      <c r="U44" s="82"/>
      <c r="V44" s="82"/>
      <c r="W44" s="82"/>
      <c r="X44" s="82"/>
      <c r="Y44" s="82"/>
      <c r="Z44" s="82"/>
      <c r="AA44" s="82"/>
      <c r="AB44" s="151"/>
    </row>
    <row r="45" spans="2:28" ht="15" thickBot="1" x14ac:dyDescent="0.4">
      <c r="B45" s="30" t="s">
        <v>275</v>
      </c>
      <c r="C45" s="157"/>
      <c r="D45" s="145">
        <f>IF(D43&lt;='Assumption for solar PV Power P'!$F$23,'Interest(onLOAN)'!$C$12,0)</f>
        <v>21.6</v>
      </c>
      <c r="E45" s="145">
        <f>IF(E43&lt;='Assumption for solar PV Power P'!$F$23,'Interest(onLOAN)'!$C$12,0)</f>
        <v>21.6</v>
      </c>
      <c r="F45" s="145">
        <f>IF(F43&lt;='Assumption for solar PV Power P'!$F$23,'Interest(onLOAN)'!$C$12,0)</f>
        <v>21.6</v>
      </c>
      <c r="G45" s="145">
        <f>IF(G43&lt;='Assumption for solar PV Power P'!$F$23,'Interest(onLOAN)'!$C$12,0)</f>
        <v>21.6</v>
      </c>
      <c r="H45" s="145">
        <f>IF(H43&lt;='Assumption for solar PV Power P'!$F$23,'Interest(onLOAN)'!$C$12,0)</f>
        <v>21.6</v>
      </c>
      <c r="I45" s="145">
        <f>IF(I43&lt;='Assumption for solar PV Power P'!$F$23,'Interest(onLOAN)'!$C$12,0)</f>
        <v>21.6</v>
      </c>
      <c r="J45" s="145">
        <f>IF(J43&lt;='Assumption for solar PV Power P'!$F$23,'Interest(onLOAN)'!$C$12,0)</f>
        <v>21.6</v>
      </c>
      <c r="K45" s="145">
        <f>IF(K43&lt;='Assumption for solar PV Power P'!$F$23,'Interest(onLOAN)'!$C$12,0)</f>
        <v>21.6</v>
      </c>
      <c r="L45" s="145">
        <f>IF(L43&lt;='Assumption for solar PV Power P'!$F$23,'Interest(onLOAN)'!$C$12,0)</f>
        <v>21.6</v>
      </c>
      <c r="M45" s="145">
        <f>IF(M43&lt;='Assumption for solar PV Power P'!$F$23,'Interest(onLOAN)'!$C$12,0)</f>
        <v>21.6</v>
      </c>
      <c r="N45" s="145">
        <f>IF(N43&lt;='Assumption for solar PV Power P'!$F$23,'Interest(onLOAN)'!$C$12,0)</f>
        <v>21.6</v>
      </c>
      <c r="O45" s="145">
        <f>IF(O43&lt;='Assumption for solar PV Power P'!$F$23,'Interest(onLOAN)'!$C$12,0)</f>
        <v>21.6</v>
      </c>
      <c r="P45" s="145">
        <f>IF(P43&lt;='Assumption for solar PV Power P'!$F$23,'Interest(onLOAN)'!$C$12,0)</f>
        <v>21.6</v>
      </c>
      <c r="Q45" s="145">
        <f>IF(Q43&lt;='Assumption for solar PV Power P'!$F$23,'Interest(onLOAN)'!$C$12,0)</f>
        <v>0</v>
      </c>
      <c r="R45" s="145">
        <f>IF(R43&lt;='Assumption for solar PV Power P'!$F$23,'Interest(onLOAN)'!$C$12,0)</f>
        <v>0</v>
      </c>
      <c r="S45" s="145">
        <f>IF(S43&lt;='Assumption for solar PV Power P'!$F$23,'Interest(onLOAN)'!$C$12,0)</f>
        <v>0</v>
      </c>
      <c r="T45" s="145">
        <f>IF(T43&lt;='Assumption for solar PV Power P'!$F$23,'Interest(onLOAN)'!$C$12,0)</f>
        <v>0</v>
      </c>
      <c r="U45" s="145">
        <f>IF(U43&lt;='Assumption for solar PV Power P'!$F$23,'Interest(onLOAN)'!$C$12,0)</f>
        <v>0</v>
      </c>
      <c r="V45" s="145">
        <f>IF(V43&lt;='Assumption for solar PV Power P'!$F$23,'Interest(onLOAN)'!$C$12,0)</f>
        <v>0</v>
      </c>
      <c r="W45" s="145">
        <f>IF(W43&lt;='Assumption for solar PV Power P'!$F$23,'Interest(onLOAN)'!$C$12,0)</f>
        <v>0</v>
      </c>
      <c r="X45" s="145">
        <f>IF(X43&lt;='Assumption for solar PV Power P'!$F$23,'Interest(onLOAN)'!$C$12,0)</f>
        <v>0</v>
      </c>
      <c r="Y45" s="145">
        <f>IF(Y43&lt;='Assumption for solar PV Power P'!$F$23,'Interest(onLOAN)'!$C$12,0)</f>
        <v>0</v>
      </c>
      <c r="Z45" s="145">
        <f>IF(Z43&lt;='Assumption for solar PV Power P'!$F$23,'Interest(onLOAN)'!$C$12,0)</f>
        <v>0</v>
      </c>
      <c r="AA45" s="145">
        <f>IF(AA43&lt;='Assumption for solar PV Power P'!$F$23,'Interest(onLOAN)'!$C$12,0)</f>
        <v>0</v>
      </c>
      <c r="AB45" s="145">
        <f>IF(AB43&lt;='Assumption for solar PV Power P'!$F$23,'Interest(onLOAN)'!$C$12,0)</f>
        <v>0</v>
      </c>
    </row>
    <row r="46" spans="2:28" x14ac:dyDescent="0.35">
      <c r="B46" s="39" t="s">
        <v>132</v>
      </c>
      <c r="C46" s="166"/>
      <c r="D46" s="166"/>
      <c r="E46" s="166"/>
      <c r="F46" s="166"/>
      <c r="G46" s="166"/>
      <c r="H46" s="166"/>
      <c r="I46" s="166"/>
      <c r="J46" s="166"/>
      <c r="K46" s="166"/>
      <c r="L46" s="166"/>
      <c r="M46" s="166"/>
      <c r="N46" s="166"/>
      <c r="O46" s="166"/>
      <c r="P46" s="166"/>
      <c r="Q46" s="166"/>
      <c r="R46" s="166"/>
      <c r="S46" s="166"/>
      <c r="T46" s="166"/>
      <c r="U46" s="166"/>
      <c r="V46" s="166"/>
      <c r="W46" s="166"/>
      <c r="X46" s="166"/>
      <c r="Y46" s="166"/>
      <c r="Z46" s="166"/>
      <c r="AA46" s="166"/>
      <c r="AB46" s="167"/>
    </row>
    <row r="47" spans="2:28" x14ac:dyDescent="0.35">
      <c r="B47" s="19" t="s">
        <v>274</v>
      </c>
      <c r="C47" s="82">
        <f>C11</f>
        <v>0</v>
      </c>
      <c r="D47" s="82">
        <f t="shared" ref="D47:AB47" ca="1" si="100">D11</f>
        <v>19.580527084463753</v>
      </c>
      <c r="E47" s="82">
        <f t="shared" ca="1" si="100"/>
        <v>20.806799873184637</v>
      </c>
      <c r="F47" s="82">
        <f t="shared" ca="1" si="100"/>
        <v>22.027455463243768</v>
      </c>
      <c r="G47" s="82">
        <f t="shared" ca="1" si="100"/>
        <v>23.380000322016485</v>
      </c>
      <c r="H47" s="82">
        <f t="shared" ca="1" si="100"/>
        <v>24.650924938699923</v>
      </c>
      <c r="I47" s="82">
        <f t="shared" ca="1" si="100"/>
        <v>25.875340629235179</v>
      </c>
      <c r="J47" s="82">
        <f t="shared" ca="1" si="100"/>
        <v>26.107389430650116</v>
      </c>
      <c r="K47" s="82">
        <f t="shared" ca="1" si="100"/>
        <v>26.054994842032947</v>
      </c>
      <c r="L47" s="82">
        <f t="shared" ca="1" si="100"/>
        <v>26.142629920530862</v>
      </c>
      <c r="M47" s="82">
        <f t="shared" ca="1" si="100"/>
        <v>26.348240257582649</v>
      </c>
      <c r="N47" s="82">
        <f t="shared" ca="1" si="100"/>
        <v>26.609412767659272</v>
      </c>
      <c r="O47" s="82">
        <f t="shared" ca="1" si="100"/>
        <v>26.994775111921715</v>
      </c>
      <c r="P47" s="82">
        <f t="shared" ca="1" si="100"/>
        <v>27.446596964751357</v>
      </c>
      <c r="Q47" s="82">
        <f t="shared" ca="1" si="100"/>
        <v>27.467693662033298</v>
      </c>
      <c r="R47" s="82">
        <f t="shared" ca="1" si="100"/>
        <v>26.6063974213357</v>
      </c>
      <c r="S47" s="82">
        <f t="shared" ca="1" si="100"/>
        <v>33.01032448457002</v>
      </c>
      <c r="T47" s="82">
        <f t="shared" ca="1" si="100"/>
        <v>32.331626568430011</v>
      </c>
      <c r="U47" s="82">
        <f t="shared" ca="1" si="100"/>
        <v>27.8177479003431</v>
      </c>
      <c r="V47" s="82">
        <f t="shared" ca="1" si="100"/>
        <v>26.910292008570291</v>
      </c>
      <c r="W47" s="82">
        <f t="shared" ca="1" si="100"/>
        <v>26.158547482790468</v>
      </c>
      <c r="X47" s="82">
        <f t="shared" ca="1" si="100"/>
        <v>21.860623594308141</v>
      </c>
      <c r="Y47" s="82">
        <f t="shared" ca="1" si="100"/>
        <v>21.080976457638386</v>
      </c>
      <c r="Z47" s="82">
        <f t="shared" ca="1" si="100"/>
        <v>20.291484431622941</v>
      </c>
      <c r="AA47" s="82">
        <f t="shared" ca="1" si="100"/>
        <v>19.488197919934159</v>
      </c>
      <c r="AB47" s="151">
        <f t="shared" ca="1" si="100"/>
        <v>18.66743590663323</v>
      </c>
    </row>
    <row r="48" spans="2:28" x14ac:dyDescent="0.35">
      <c r="B48" s="19" t="s">
        <v>239</v>
      </c>
      <c r="C48" s="82">
        <f>C47-C45</f>
        <v>0</v>
      </c>
      <c r="D48" s="82">
        <f ca="1">D47-D45</f>
        <v>-2.0194729155362481</v>
      </c>
      <c r="E48" s="82">
        <f t="shared" ref="E48:AB48" ca="1" si="101">E47-E45</f>
        <v>-0.79320012681536411</v>
      </c>
      <c r="F48" s="82">
        <f t="shared" ca="1" si="101"/>
        <v>0.42745546324376704</v>
      </c>
      <c r="G48" s="82">
        <f t="shared" ca="1" si="101"/>
        <v>1.7800003220164839</v>
      </c>
      <c r="H48" s="82">
        <f t="shared" ca="1" si="101"/>
        <v>3.0509249386999215</v>
      </c>
      <c r="I48" s="82">
        <f t="shared" ca="1" si="101"/>
        <v>4.2753406292351777</v>
      </c>
      <c r="J48" s="82">
        <f t="shared" ca="1" si="101"/>
        <v>4.5073894306501145</v>
      </c>
      <c r="K48" s="82">
        <f t="shared" ca="1" si="101"/>
        <v>4.4549948420329457</v>
      </c>
      <c r="L48" s="82">
        <f t="shared" ca="1" si="101"/>
        <v>4.5426299205308602</v>
      </c>
      <c r="M48" s="82">
        <f t="shared" ca="1" si="101"/>
        <v>4.7482402575826477</v>
      </c>
      <c r="N48" s="82">
        <f t="shared" ca="1" si="101"/>
        <v>5.0094127676592706</v>
      </c>
      <c r="O48" s="82">
        <f t="shared" ca="1" si="101"/>
        <v>5.3947751119217138</v>
      </c>
      <c r="P48" s="82">
        <f t="shared" ca="1" si="101"/>
        <v>5.846596964751356</v>
      </c>
      <c r="Q48" s="82">
        <f t="shared" ca="1" si="101"/>
        <v>27.467693662033298</v>
      </c>
      <c r="R48" s="82">
        <f t="shared" ca="1" si="101"/>
        <v>26.6063974213357</v>
      </c>
      <c r="S48" s="82">
        <f t="shared" ca="1" si="101"/>
        <v>33.01032448457002</v>
      </c>
      <c r="T48" s="82">
        <f t="shared" ca="1" si="101"/>
        <v>32.331626568430011</v>
      </c>
      <c r="U48" s="82">
        <f t="shared" ca="1" si="101"/>
        <v>27.8177479003431</v>
      </c>
      <c r="V48" s="82">
        <f t="shared" ca="1" si="101"/>
        <v>26.910292008570291</v>
      </c>
      <c r="W48" s="82">
        <f t="shared" ca="1" si="101"/>
        <v>26.158547482790468</v>
      </c>
      <c r="X48" s="82">
        <f t="shared" ca="1" si="101"/>
        <v>21.860623594308141</v>
      </c>
      <c r="Y48" s="82">
        <f t="shared" ca="1" si="101"/>
        <v>21.080976457638386</v>
      </c>
      <c r="Z48" s="82">
        <f t="shared" ca="1" si="101"/>
        <v>20.291484431622941</v>
      </c>
      <c r="AA48" s="82">
        <f t="shared" ca="1" si="101"/>
        <v>19.488197919934159</v>
      </c>
      <c r="AB48" s="151">
        <f t="shared" ca="1" si="101"/>
        <v>18.66743590663323</v>
      </c>
    </row>
    <row r="49" spans="2:28" x14ac:dyDescent="0.35">
      <c r="B49" s="19" t="s">
        <v>240</v>
      </c>
      <c r="C49" s="33">
        <f>C44+C48</f>
        <v>-70.2</v>
      </c>
      <c r="D49" s="82">
        <f ca="1">D44+D48</f>
        <v>-2.0194729155362481</v>
      </c>
      <c r="E49" s="82">
        <f t="shared" ref="E49:AB49" ca="1" si="102">E44+E48</f>
        <v>-0.79320012681536411</v>
      </c>
      <c r="F49" s="82">
        <f t="shared" ca="1" si="102"/>
        <v>0.42745546324376704</v>
      </c>
      <c r="G49" s="82">
        <f t="shared" ca="1" si="102"/>
        <v>1.7800003220164839</v>
      </c>
      <c r="H49" s="82">
        <f t="shared" ca="1" si="102"/>
        <v>3.0509249386999215</v>
      </c>
      <c r="I49" s="82">
        <f t="shared" ca="1" si="102"/>
        <v>4.2753406292351777</v>
      </c>
      <c r="J49" s="82">
        <f t="shared" ca="1" si="102"/>
        <v>4.5073894306501145</v>
      </c>
      <c r="K49" s="82">
        <f t="shared" ca="1" si="102"/>
        <v>4.4549948420329457</v>
      </c>
      <c r="L49" s="82">
        <f t="shared" ca="1" si="102"/>
        <v>4.5426299205308602</v>
      </c>
      <c r="M49" s="82">
        <f t="shared" ca="1" si="102"/>
        <v>4.7482402575826477</v>
      </c>
      <c r="N49" s="82">
        <f t="shared" ca="1" si="102"/>
        <v>5.0094127676592706</v>
      </c>
      <c r="O49" s="82">
        <f t="shared" ca="1" si="102"/>
        <v>5.3947751119217138</v>
      </c>
      <c r="P49" s="82">
        <f t="shared" ca="1" si="102"/>
        <v>5.846596964751356</v>
      </c>
      <c r="Q49" s="82">
        <f t="shared" ca="1" si="102"/>
        <v>27.467693662033298</v>
      </c>
      <c r="R49" s="82">
        <f t="shared" ca="1" si="102"/>
        <v>26.6063974213357</v>
      </c>
      <c r="S49" s="82">
        <f t="shared" ca="1" si="102"/>
        <v>33.01032448457002</v>
      </c>
      <c r="T49" s="82">
        <f t="shared" ca="1" si="102"/>
        <v>32.331626568430011</v>
      </c>
      <c r="U49" s="82">
        <f t="shared" ca="1" si="102"/>
        <v>27.8177479003431</v>
      </c>
      <c r="V49" s="82">
        <f t="shared" ca="1" si="102"/>
        <v>26.910292008570291</v>
      </c>
      <c r="W49" s="82">
        <f t="shared" ca="1" si="102"/>
        <v>26.158547482790468</v>
      </c>
      <c r="X49" s="82">
        <f t="shared" ca="1" si="102"/>
        <v>21.860623594308141</v>
      </c>
      <c r="Y49" s="82">
        <f t="shared" ca="1" si="102"/>
        <v>21.080976457638386</v>
      </c>
      <c r="Z49" s="82">
        <f t="shared" ca="1" si="102"/>
        <v>20.291484431622941</v>
      </c>
      <c r="AA49" s="82">
        <f t="shared" ca="1" si="102"/>
        <v>19.488197919934159</v>
      </c>
      <c r="AB49" s="151">
        <f t="shared" ca="1" si="102"/>
        <v>18.66743590663323</v>
      </c>
    </row>
    <row r="50" spans="2:28" x14ac:dyDescent="0.35">
      <c r="B50" s="19" t="s">
        <v>207</v>
      </c>
      <c r="C50" s="33">
        <f>C49</f>
        <v>-70.2</v>
      </c>
      <c r="D50" s="82">
        <f ca="1">C50+D49</f>
        <v>-72.219472915536244</v>
      </c>
      <c r="E50" s="82">
        <f t="shared" ref="E50:AB50" ca="1" si="103">D50+E49</f>
        <v>-73.012673042351608</v>
      </c>
      <c r="F50" s="82">
        <f t="shared" ca="1" si="103"/>
        <v>-72.585217579107848</v>
      </c>
      <c r="G50" s="82">
        <f t="shared" ca="1" si="103"/>
        <v>-70.805217257091357</v>
      </c>
      <c r="H50" s="82">
        <f t="shared" ca="1" si="103"/>
        <v>-67.754292318391435</v>
      </c>
      <c r="I50" s="82">
        <f t="shared" ca="1" si="103"/>
        <v>-63.478951689156261</v>
      </c>
      <c r="J50" s="82">
        <f t="shared" ca="1" si="103"/>
        <v>-58.971562258506147</v>
      </c>
      <c r="K50" s="82">
        <f t="shared" ca="1" si="103"/>
        <v>-54.516567416473201</v>
      </c>
      <c r="L50" s="82">
        <f t="shared" ca="1" si="103"/>
        <v>-49.973937495942337</v>
      </c>
      <c r="M50" s="82">
        <f t="shared" ca="1" si="103"/>
        <v>-45.225697238359686</v>
      </c>
      <c r="N50" s="82">
        <f t="shared" ca="1" si="103"/>
        <v>-40.216284470700415</v>
      </c>
      <c r="O50" s="82">
        <f t="shared" ca="1" si="103"/>
        <v>-34.821509358778698</v>
      </c>
      <c r="P50" s="82">
        <f t="shared" ca="1" si="103"/>
        <v>-28.974912394027342</v>
      </c>
      <c r="Q50" s="82">
        <f t="shared" ca="1" si="103"/>
        <v>-1.507218731994044</v>
      </c>
      <c r="R50" s="82">
        <f t="shared" ca="1" si="103"/>
        <v>25.099178689341656</v>
      </c>
      <c r="S50" s="82">
        <f t="shared" ca="1" si="103"/>
        <v>58.109503173911676</v>
      </c>
      <c r="T50" s="82">
        <f t="shared" ca="1" si="103"/>
        <v>90.441129742341687</v>
      </c>
      <c r="U50" s="82">
        <f t="shared" ca="1" si="103"/>
        <v>118.25887764268478</v>
      </c>
      <c r="V50" s="82">
        <f t="shared" ca="1" si="103"/>
        <v>145.16916965125506</v>
      </c>
      <c r="W50" s="82">
        <f t="shared" ca="1" si="103"/>
        <v>171.32771713404554</v>
      </c>
      <c r="X50" s="82">
        <f t="shared" ca="1" si="103"/>
        <v>193.18834072835369</v>
      </c>
      <c r="Y50" s="82">
        <f t="shared" ca="1" si="103"/>
        <v>214.26931718599207</v>
      </c>
      <c r="Z50" s="82">
        <f t="shared" ca="1" si="103"/>
        <v>234.560801617615</v>
      </c>
      <c r="AA50" s="82">
        <f t="shared" ca="1" si="103"/>
        <v>254.04899953754915</v>
      </c>
      <c r="AB50" s="151">
        <f t="shared" ca="1" si="103"/>
        <v>272.71643544418237</v>
      </c>
    </row>
    <row r="51" spans="2:28" x14ac:dyDescent="0.35">
      <c r="B51" s="19"/>
      <c r="C51" s="33" t="str">
        <f ca="1">IF(AND(D50&gt;0,C50&lt;=0),C$8,"")</f>
        <v/>
      </c>
      <c r="D51" s="33" t="str">
        <f t="shared" ref="D51" ca="1" si="104">IF(AND(E50&gt;0,D50&lt;=0),D$8,"")</f>
        <v/>
      </c>
      <c r="E51" s="33" t="str">
        <f t="shared" ref="E51" ca="1" si="105">IF(AND(F50&gt;0,E50&lt;=0),E$8,"")</f>
        <v/>
      </c>
      <c r="F51" s="33" t="str">
        <f t="shared" ref="F51" ca="1" si="106">IF(AND(G50&gt;0,F50&lt;=0),F$8,"")</f>
        <v/>
      </c>
      <c r="G51" s="33" t="str">
        <f t="shared" ref="G51" ca="1" si="107">IF(AND(H50&gt;0,G50&lt;=0),G$8,"")</f>
        <v/>
      </c>
      <c r="H51" s="33" t="str">
        <f t="shared" ref="H51" ca="1" si="108">IF(AND(I50&gt;0,H50&lt;=0),H$8,"")</f>
        <v/>
      </c>
      <c r="I51" s="33" t="str">
        <f t="shared" ref="I51" ca="1" si="109">IF(AND(J50&gt;0,I50&lt;=0),I$8,"")</f>
        <v/>
      </c>
      <c r="J51" s="33" t="str">
        <f t="shared" ref="J51" ca="1" si="110">IF(AND(K50&gt;0,J50&lt;=0),J$8,"")</f>
        <v/>
      </c>
      <c r="K51" s="33" t="str">
        <f t="shared" ref="K51" ca="1" si="111">IF(AND(L50&gt;0,K50&lt;=0),K$8,"")</f>
        <v/>
      </c>
      <c r="L51" s="33" t="str">
        <f t="shared" ref="L51" ca="1" si="112">IF(AND(M50&gt;0,L50&lt;=0),L$8,"")</f>
        <v/>
      </c>
      <c r="M51" s="33" t="str">
        <f t="shared" ref="M51" ca="1" si="113">IF(AND(N50&gt;0,M50&lt;=0),M$8,"")</f>
        <v/>
      </c>
      <c r="N51" s="33" t="str">
        <f t="shared" ref="N51" ca="1" si="114">IF(AND(O50&gt;0,N50&lt;=0),N$8,"")</f>
        <v/>
      </c>
      <c r="O51" s="33" t="str">
        <f t="shared" ref="O51" ca="1" si="115">IF(AND(P50&gt;0,O50&lt;=0),O$8,"")</f>
        <v/>
      </c>
      <c r="P51" s="33" t="str">
        <f t="shared" ref="P51" ca="1" si="116">IF(AND(Q50&gt;0,P50&lt;=0),P$8,"")</f>
        <v/>
      </c>
      <c r="Q51" s="33">
        <f t="shared" ref="Q51" ca="1" si="117">IF(AND(R50&gt;0,Q50&lt;=0),Q$8,"")</f>
        <v>14</v>
      </c>
      <c r="R51" s="33" t="str">
        <f t="shared" ref="R51" ca="1" si="118">IF(AND(S50&gt;0,R50&lt;=0),R$8,"")</f>
        <v/>
      </c>
      <c r="S51" s="33" t="str">
        <f t="shared" ref="S51" ca="1" si="119">IF(AND(T50&gt;0,S50&lt;=0),S$8,"")</f>
        <v/>
      </c>
      <c r="T51" s="33" t="str">
        <f t="shared" ref="T51" ca="1" si="120">IF(AND(U50&gt;0,T50&lt;=0),T$8,"")</f>
        <v/>
      </c>
      <c r="U51" s="33" t="str">
        <f t="shared" ref="U51" ca="1" si="121">IF(AND(V50&gt;0,U50&lt;=0),U$8,"")</f>
        <v/>
      </c>
      <c r="V51" s="33" t="str">
        <f t="shared" ref="V51" ca="1" si="122">IF(AND(W50&gt;0,V50&lt;=0),V$8,"")</f>
        <v/>
      </c>
      <c r="W51" s="33" t="str">
        <f t="shared" ref="W51" ca="1" si="123">IF(AND(X50&gt;0,W50&lt;=0),W$8,"")</f>
        <v/>
      </c>
      <c r="X51" s="33" t="str">
        <f t="shared" ref="X51" ca="1" si="124">IF(AND(Y50&gt;0,X50&lt;=0),X$8,"")</f>
        <v/>
      </c>
      <c r="Y51" s="33" t="str">
        <f t="shared" ref="Y51" ca="1" si="125">IF(AND(Z50&gt;0,Y50&lt;=0),Y$8,"")</f>
        <v/>
      </c>
      <c r="Z51" s="33" t="str">
        <f t="shared" ref="Z51" ca="1" si="126">IF(AND(AA50&gt;0,Z50&lt;=0),Z$8,"")</f>
        <v/>
      </c>
      <c r="AA51" s="33" t="str">
        <f t="shared" ref="AA51" ca="1" si="127">IF(AND(AB50&gt;0,AA50&lt;=0),AA$8,"")</f>
        <v/>
      </c>
      <c r="AB51" s="91" t="str">
        <f ca="1">IF(AND(AC62&gt;0,AB50&lt;=0),AB$8,"")</f>
        <v/>
      </c>
    </row>
    <row r="52" spans="2:28" x14ac:dyDescent="0.35">
      <c r="B52" s="168" t="s">
        <v>241</v>
      </c>
      <c r="C52" s="146">
        <f ca="1">IRR(C49:AB49)</f>
        <v>9.8462507948260836E-2</v>
      </c>
      <c r="AB52" s="17"/>
    </row>
    <row r="53" spans="2:28" ht="15" thickBot="1" x14ac:dyDescent="0.4">
      <c r="B53" s="169" t="s">
        <v>242</v>
      </c>
      <c r="C53" s="125">
        <f ca="1">NPV($C$2,D49:AB49)+C49</f>
        <v>19.823145973310488</v>
      </c>
      <c r="D53" s="32"/>
      <c r="E53" s="129"/>
      <c r="F53" s="32"/>
      <c r="G53" s="32"/>
      <c r="H53" s="32"/>
      <c r="I53" s="32"/>
      <c r="J53" s="32"/>
      <c r="K53" s="32"/>
      <c r="L53" s="32"/>
      <c r="M53" s="32"/>
      <c r="N53" s="32"/>
      <c r="O53" s="32"/>
      <c r="P53" s="32"/>
      <c r="Q53" s="32"/>
      <c r="R53" s="32"/>
      <c r="S53" s="32"/>
      <c r="T53" s="32"/>
      <c r="U53" s="32"/>
      <c r="V53" s="32"/>
      <c r="W53" s="32"/>
      <c r="X53" s="32"/>
      <c r="Y53" s="32"/>
      <c r="Z53" s="32"/>
      <c r="AA53" s="32"/>
      <c r="AB53" s="2"/>
    </row>
    <row r="54" spans="2:28" ht="15" thickBot="1" x14ac:dyDescent="0.4">
      <c r="B54" s="168" t="s">
        <v>206</v>
      </c>
      <c r="C54" s="132">
        <f ca="1">MIN(C51:AB51)</f>
        <v>14</v>
      </c>
      <c r="D54" s="133" t="s">
        <v>26</v>
      </c>
      <c r="E54" s="131">
        <f ca="1">(ABS(INDEX(C50:AB50,,MATCH(C54,C51:AB51,0))))/(ABS(INDEX(C49:AB49,,(MATCH(C54,C51:AB51,0))+1)))*10</f>
        <v>0.56648734066694939</v>
      </c>
      <c r="F54" s="134" t="s">
        <v>57</v>
      </c>
      <c r="AB54" s="17"/>
    </row>
    <row r="55" spans="2:28" x14ac:dyDescent="0.35">
      <c r="B55" s="39" t="s">
        <v>133</v>
      </c>
      <c r="C55" s="7"/>
      <c r="D55" s="7"/>
      <c r="E55" s="7"/>
      <c r="F55" s="7"/>
      <c r="G55" s="7"/>
      <c r="H55" s="7"/>
      <c r="I55" s="7"/>
      <c r="J55" s="7"/>
      <c r="K55" s="7"/>
      <c r="L55" s="7"/>
      <c r="M55" s="7"/>
      <c r="N55" s="7"/>
      <c r="O55" s="7"/>
      <c r="P55" s="7"/>
      <c r="Q55" s="7"/>
      <c r="R55" s="7"/>
      <c r="S55" s="7"/>
      <c r="T55" s="7"/>
      <c r="U55" s="7"/>
      <c r="V55" s="7"/>
      <c r="W55" s="7"/>
      <c r="X55" s="7"/>
      <c r="Y55" s="7"/>
      <c r="Z55" s="7"/>
      <c r="AA55" s="7"/>
      <c r="AB55" s="16"/>
    </row>
    <row r="56" spans="2:28" x14ac:dyDescent="0.35">
      <c r="B56" s="19" t="s">
        <v>238</v>
      </c>
      <c r="C56" s="82"/>
      <c r="D56" s="82">
        <f ca="1">D$21</f>
        <v>15.001202394273225</v>
      </c>
      <c r="E56" s="82">
        <f t="shared" ref="E56:AB56" ca="1" si="128">E$21</f>
        <v>16.59839888447587</v>
      </c>
      <c r="F56" s="82">
        <f t="shared" ca="1" si="128"/>
        <v>18.188196657448877</v>
      </c>
      <c r="G56" s="82">
        <f t="shared" ca="1" si="128"/>
        <v>19.628181025290527</v>
      </c>
      <c r="H56" s="82">
        <f t="shared" ca="1" si="128"/>
        <v>20.918779632676461</v>
      </c>
      <c r="I56" s="82">
        <f t="shared" ca="1" si="128"/>
        <v>22.166025968166597</v>
      </c>
      <c r="J56" s="82">
        <f t="shared" ca="1" si="128"/>
        <v>23.385417406996797</v>
      </c>
      <c r="K56" s="82">
        <f t="shared" ca="1" si="128"/>
        <v>24.584292463807969</v>
      </c>
      <c r="L56" s="82">
        <f t="shared" ca="1" si="128"/>
        <v>25.765887158284244</v>
      </c>
      <c r="M56" s="82">
        <f t="shared" ca="1" si="128"/>
        <v>26.931361875893025</v>
      </c>
      <c r="N56" s="82">
        <f t="shared" ca="1" si="128"/>
        <v>28.029388027058555</v>
      </c>
      <c r="O56" s="82">
        <f t="shared" ca="1" si="128"/>
        <v>29.1623540799499</v>
      </c>
      <c r="P56" s="82">
        <f t="shared" ca="1" si="128"/>
        <v>30.278064026654036</v>
      </c>
      <c r="Q56" s="82">
        <f t="shared" ca="1" si="128"/>
        <v>30.794547261605526</v>
      </c>
      <c r="R56" s="82">
        <f t="shared" ca="1" si="128"/>
        <v>21.84987082815222</v>
      </c>
      <c r="S56" s="82">
        <f t="shared" ca="1" si="128"/>
        <v>29.549522395260212</v>
      </c>
      <c r="T56" s="82">
        <f t="shared" ca="1" si="128"/>
        <v>28.895048485165205</v>
      </c>
      <c r="U56" s="82">
        <f t="shared" ca="1" si="128"/>
        <v>24.405225059371062</v>
      </c>
      <c r="V56" s="82">
        <f t="shared" ca="1" si="128"/>
        <v>23.521656425340005</v>
      </c>
      <c r="W56" s="82">
        <f t="shared" ca="1" si="128"/>
        <v>22.793632147570278</v>
      </c>
      <c r="X56" s="82">
        <f t="shared" ca="1" si="128"/>
        <v>18.370221625546893</v>
      </c>
      <c r="Y56" s="82">
        <f t="shared" ca="1" si="128"/>
        <v>17.715617773751703</v>
      </c>
      <c r="Z56" s="82">
        <f t="shared" ca="1" si="128"/>
        <v>17.035299147273513</v>
      </c>
      <c r="AA56" s="82">
        <f t="shared" ca="1" si="128"/>
        <v>16.327637629538678</v>
      </c>
      <c r="AB56" s="151">
        <f t="shared" ca="1" si="128"/>
        <v>15.590941394871844</v>
      </c>
    </row>
    <row r="57" spans="2:28" x14ac:dyDescent="0.35">
      <c r="B57" s="19" t="s">
        <v>239</v>
      </c>
      <c r="C57" s="33">
        <f>C56-C45</f>
        <v>0</v>
      </c>
      <c r="D57" s="82">
        <f ca="1">D56-D45</f>
        <v>-6.5987976057267765</v>
      </c>
      <c r="E57" s="82">
        <f t="shared" ref="E57:AB57" ca="1" si="129">E56-E45</f>
        <v>-5.0016011155241316</v>
      </c>
      <c r="F57" s="82">
        <f t="shared" ca="1" si="129"/>
        <v>-3.4118033425511243</v>
      </c>
      <c r="G57" s="82">
        <f t="shared" ca="1" si="129"/>
        <v>-1.9718189747094748</v>
      </c>
      <c r="H57" s="82">
        <f t="shared" ca="1" si="129"/>
        <v>-0.68122036732354019</v>
      </c>
      <c r="I57" s="82">
        <f t="shared" ca="1" si="129"/>
        <v>0.56602596816659556</v>
      </c>
      <c r="J57" s="82">
        <f t="shared" ca="1" si="129"/>
        <v>1.7854174069967961</v>
      </c>
      <c r="K57" s="82">
        <f t="shared" ca="1" si="129"/>
        <v>2.984292463807968</v>
      </c>
      <c r="L57" s="82">
        <f t="shared" ca="1" si="129"/>
        <v>4.1658871582842423</v>
      </c>
      <c r="M57" s="82">
        <f t="shared" ca="1" si="129"/>
        <v>5.3313618758930232</v>
      </c>
      <c r="N57" s="82">
        <f t="shared" ca="1" si="129"/>
        <v>6.4293880270585539</v>
      </c>
      <c r="O57" s="82">
        <f t="shared" ca="1" si="129"/>
        <v>7.5623540799498983</v>
      </c>
      <c r="P57" s="82">
        <f t="shared" ca="1" si="129"/>
        <v>8.6780640266540345</v>
      </c>
      <c r="Q57" s="82">
        <f t="shared" ca="1" si="129"/>
        <v>30.794547261605526</v>
      </c>
      <c r="R57" s="82">
        <f t="shared" ca="1" si="129"/>
        <v>21.84987082815222</v>
      </c>
      <c r="S57" s="82">
        <f t="shared" ca="1" si="129"/>
        <v>29.549522395260212</v>
      </c>
      <c r="T57" s="82">
        <f t="shared" ca="1" si="129"/>
        <v>28.895048485165205</v>
      </c>
      <c r="U57" s="82">
        <f t="shared" ca="1" si="129"/>
        <v>24.405225059371062</v>
      </c>
      <c r="V57" s="82">
        <f t="shared" ca="1" si="129"/>
        <v>23.521656425340005</v>
      </c>
      <c r="W57" s="82">
        <f t="shared" ca="1" si="129"/>
        <v>22.793632147570278</v>
      </c>
      <c r="X57" s="82">
        <f t="shared" ca="1" si="129"/>
        <v>18.370221625546893</v>
      </c>
      <c r="Y57" s="82">
        <f t="shared" ca="1" si="129"/>
        <v>17.715617773751703</v>
      </c>
      <c r="Z57" s="82">
        <f t="shared" ca="1" si="129"/>
        <v>17.035299147273513</v>
      </c>
      <c r="AA57" s="82">
        <f t="shared" ca="1" si="129"/>
        <v>16.327637629538678</v>
      </c>
      <c r="AB57" s="151">
        <f t="shared" ca="1" si="129"/>
        <v>15.590941394871844</v>
      </c>
    </row>
    <row r="58" spans="2:28" x14ac:dyDescent="0.35">
      <c r="B58" s="19" t="s">
        <v>240</v>
      </c>
      <c r="C58" s="33">
        <f>C57+C44</f>
        <v>-70.2</v>
      </c>
      <c r="D58" s="82">
        <f t="shared" ref="D58:AB58" ca="1" si="130">D57+D44</f>
        <v>-6.5987976057267765</v>
      </c>
      <c r="E58" s="82">
        <f t="shared" ca="1" si="130"/>
        <v>-5.0016011155241316</v>
      </c>
      <c r="F58" s="82">
        <f t="shared" ca="1" si="130"/>
        <v>-3.4118033425511243</v>
      </c>
      <c r="G58" s="82">
        <f t="shared" ca="1" si="130"/>
        <v>-1.9718189747094748</v>
      </c>
      <c r="H58" s="82">
        <f t="shared" ca="1" si="130"/>
        <v>-0.68122036732354019</v>
      </c>
      <c r="I58" s="82">
        <f t="shared" ca="1" si="130"/>
        <v>0.56602596816659556</v>
      </c>
      <c r="J58" s="82">
        <f t="shared" ca="1" si="130"/>
        <v>1.7854174069967961</v>
      </c>
      <c r="K58" s="82">
        <f t="shared" ca="1" si="130"/>
        <v>2.984292463807968</v>
      </c>
      <c r="L58" s="82">
        <f t="shared" ca="1" si="130"/>
        <v>4.1658871582842423</v>
      </c>
      <c r="M58" s="82">
        <f t="shared" ca="1" si="130"/>
        <v>5.3313618758930232</v>
      </c>
      <c r="N58" s="82">
        <f t="shared" ca="1" si="130"/>
        <v>6.4293880270585539</v>
      </c>
      <c r="O58" s="82">
        <f t="shared" ca="1" si="130"/>
        <v>7.5623540799498983</v>
      </c>
      <c r="P58" s="82">
        <f t="shared" ca="1" si="130"/>
        <v>8.6780640266540345</v>
      </c>
      <c r="Q58" s="82">
        <f t="shared" ca="1" si="130"/>
        <v>30.794547261605526</v>
      </c>
      <c r="R58" s="82">
        <f t="shared" ca="1" si="130"/>
        <v>21.84987082815222</v>
      </c>
      <c r="S58" s="82">
        <f t="shared" ca="1" si="130"/>
        <v>29.549522395260212</v>
      </c>
      <c r="T58" s="82">
        <f t="shared" ca="1" si="130"/>
        <v>28.895048485165205</v>
      </c>
      <c r="U58" s="82">
        <f t="shared" ca="1" si="130"/>
        <v>24.405225059371062</v>
      </c>
      <c r="V58" s="82">
        <f t="shared" ca="1" si="130"/>
        <v>23.521656425340005</v>
      </c>
      <c r="W58" s="82">
        <f t="shared" ca="1" si="130"/>
        <v>22.793632147570278</v>
      </c>
      <c r="X58" s="82">
        <f t="shared" ca="1" si="130"/>
        <v>18.370221625546893</v>
      </c>
      <c r="Y58" s="82">
        <f t="shared" ca="1" si="130"/>
        <v>17.715617773751703</v>
      </c>
      <c r="Z58" s="82">
        <f t="shared" ca="1" si="130"/>
        <v>17.035299147273513</v>
      </c>
      <c r="AA58" s="82">
        <f t="shared" ca="1" si="130"/>
        <v>16.327637629538678</v>
      </c>
      <c r="AB58" s="151">
        <f t="shared" ca="1" si="130"/>
        <v>15.590941394871844</v>
      </c>
    </row>
    <row r="59" spans="2:28" x14ac:dyDescent="0.35">
      <c r="B59" s="19" t="s">
        <v>243</v>
      </c>
      <c r="C59" s="155">
        <f>C58+C24</f>
        <v>-70.2</v>
      </c>
      <c r="D59" s="152">
        <f ca="1">D58+D24</f>
        <v>48.067697394273239</v>
      </c>
      <c r="E59" s="152">
        <f t="shared" ref="E59:AB59" ca="1" si="131">E58+E24</f>
        <v>3.805778634475864</v>
      </c>
      <c r="F59" s="152">
        <f t="shared" ca="1" si="131"/>
        <v>-6.8588295550511251</v>
      </c>
      <c r="G59" s="152">
        <f t="shared" ca="1" si="131"/>
        <v>-7.3314132553344731</v>
      </c>
      <c r="H59" s="152">
        <f t="shared" ca="1" si="131"/>
        <v>-6.6946487058547897</v>
      </c>
      <c r="I59" s="152">
        <f t="shared" ca="1" si="131"/>
        <v>-5.4200520395849638</v>
      </c>
      <c r="J59" s="152">
        <f t="shared" ca="1" si="131"/>
        <v>-3.8275472515920335</v>
      </c>
      <c r="K59" s="152">
        <f t="shared" ca="1" si="131"/>
        <v>-2.1016065071925345</v>
      </c>
      <c r="L59" s="152">
        <f t="shared" ca="1" si="131"/>
        <v>-0.34605437378618298</v>
      </c>
      <c r="M59" s="152">
        <f t="shared" ca="1" si="131"/>
        <v>1.3828551296011593</v>
      </c>
      <c r="N59" s="152">
        <f t="shared" ca="1" si="131"/>
        <v>3.005143426291272</v>
      </c>
      <c r="O59" s="152">
        <f t="shared" ca="1" si="131"/>
        <v>4.6109378494461879</v>
      </c>
      <c r="P59" s="152">
        <f t="shared" ca="1" si="131"/>
        <v>6.1448752388149721</v>
      </c>
      <c r="Q59" s="152">
        <f t="shared" ca="1" si="131"/>
        <v>28.626645796795774</v>
      </c>
      <c r="R59" s="152">
        <f t="shared" ca="1" si="131"/>
        <v>19.998339985975999</v>
      </c>
      <c r="S59" s="152">
        <f t="shared" ca="1" si="131"/>
        <v>27.970432421157664</v>
      </c>
      <c r="T59" s="152">
        <f t="shared" ca="1" si="131"/>
        <v>27.549648752226386</v>
      </c>
      <c r="U59" s="152">
        <f t="shared" ca="1" si="131"/>
        <v>23.259731333402073</v>
      </c>
      <c r="V59" s="152">
        <f t="shared" ca="1" si="131"/>
        <v>22.546844386483773</v>
      </c>
      <c r="W59" s="152">
        <f t="shared" ca="1" si="131"/>
        <v>21.964356491472923</v>
      </c>
      <c r="X59" s="152">
        <f t="shared" ca="1" si="131"/>
        <v>17.664926064022406</v>
      </c>
      <c r="Y59" s="152">
        <f t="shared" ca="1" si="131"/>
        <v>17.115869794150846</v>
      </c>
      <c r="Z59" s="152">
        <f t="shared" ca="1" si="131"/>
        <v>16.525365313229763</v>
      </c>
      <c r="AA59" s="152">
        <f t="shared" ca="1" si="131"/>
        <v>15.894105039771672</v>
      </c>
      <c r="AB59" s="164">
        <f t="shared" ca="1" si="131"/>
        <v>15.222385395071997</v>
      </c>
    </row>
    <row r="60" spans="2:28" x14ac:dyDescent="0.35">
      <c r="B60" s="19" t="s">
        <v>207</v>
      </c>
      <c r="C60" s="155">
        <f>C59</f>
        <v>-70.2</v>
      </c>
      <c r="D60" s="153">
        <f ca="1">C60+D59</f>
        <v>-22.132302605726764</v>
      </c>
      <c r="E60" s="153">
        <f t="shared" ref="E60:AB60" ca="1" si="132">D60+E59</f>
        <v>-18.3265239712509</v>
      </c>
      <c r="F60" s="153">
        <f t="shared" ca="1" si="132"/>
        <v>-25.185353526302023</v>
      </c>
      <c r="G60" s="153">
        <f t="shared" ca="1" si="132"/>
        <v>-32.516766781636498</v>
      </c>
      <c r="H60" s="153">
        <f t="shared" ca="1" si="132"/>
        <v>-39.211415487491287</v>
      </c>
      <c r="I60" s="153">
        <f t="shared" ca="1" si="132"/>
        <v>-44.631467527076254</v>
      </c>
      <c r="J60" s="153">
        <f t="shared" ca="1" si="132"/>
        <v>-48.459014778668291</v>
      </c>
      <c r="K60" s="153">
        <f t="shared" ca="1" si="132"/>
        <v>-50.560621285860826</v>
      </c>
      <c r="L60" s="153">
        <f t="shared" ca="1" si="132"/>
        <v>-50.906675659647007</v>
      </c>
      <c r="M60" s="153">
        <f t="shared" ca="1" si="132"/>
        <v>-49.523820530045846</v>
      </c>
      <c r="N60" s="153">
        <f t="shared" ca="1" si="132"/>
        <v>-46.518677103754577</v>
      </c>
      <c r="O60" s="153">
        <f t="shared" ca="1" si="132"/>
        <v>-41.907739254308389</v>
      </c>
      <c r="P60" s="153">
        <f t="shared" ca="1" si="132"/>
        <v>-35.76286401549342</v>
      </c>
      <c r="Q60" s="153">
        <f t="shared" ca="1" si="132"/>
        <v>-7.1362182186976462</v>
      </c>
      <c r="R60" s="153">
        <f t="shared" ca="1" si="132"/>
        <v>12.862121767278353</v>
      </c>
      <c r="S60" s="153">
        <f t="shared" ca="1" si="132"/>
        <v>40.832554188436021</v>
      </c>
      <c r="T60" s="153">
        <f t="shared" ca="1" si="132"/>
        <v>68.38220294066241</v>
      </c>
      <c r="U60" s="153">
        <f t="shared" ca="1" si="132"/>
        <v>91.641934274064482</v>
      </c>
      <c r="V60" s="153">
        <f t="shared" ca="1" si="132"/>
        <v>114.18877866054825</v>
      </c>
      <c r="W60" s="153">
        <f t="shared" ca="1" si="132"/>
        <v>136.15313515202118</v>
      </c>
      <c r="X60" s="153">
        <f t="shared" ca="1" si="132"/>
        <v>153.81806121604359</v>
      </c>
      <c r="Y60" s="153">
        <f t="shared" ca="1" si="132"/>
        <v>170.93393101019444</v>
      </c>
      <c r="Z60" s="153">
        <f t="shared" ca="1" si="132"/>
        <v>187.45929632342421</v>
      </c>
      <c r="AA60" s="153">
        <f t="shared" ca="1" si="132"/>
        <v>203.35340136319587</v>
      </c>
      <c r="AB60" s="165">
        <f t="shared" ca="1" si="132"/>
        <v>218.57578675826787</v>
      </c>
    </row>
    <row r="61" spans="2:28" x14ac:dyDescent="0.35">
      <c r="B61" s="19"/>
      <c r="C61" s="135" t="str">
        <f ca="1">IF(AND(D60&gt;0,C60&lt;=0),C$8,"")</f>
        <v/>
      </c>
      <c r="D61" s="135" t="str">
        <f t="shared" ref="D61" ca="1" si="133">IF(AND(E60&gt;0,D60&lt;=0),D$8,"")</f>
        <v/>
      </c>
      <c r="E61" s="135" t="str">
        <f t="shared" ref="E61" ca="1" si="134">IF(AND(F60&gt;0,E60&lt;=0),E$8,"")</f>
        <v/>
      </c>
      <c r="F61" s="135" t="str">
        <f t="shared" ref="F61" ca="1" si="135">IF(AND(G60&gt;0,F60&lt;=0),F$8,"")</f>
        <v/>
      </c>
      <c r="G61" s="135" t="str">
        <f t="shared" ref="G61" ca="1" si="136">IF(AND(H60&gt;0,G60&lt;=0),G$8,"")</f>
        <v/>
      </c>
      <c r="H61" s="135" t="str">
        <f t="shared" ref="H61" ca="1" si="137">IF(AND(I60&gt;0,H60&lt;=0),H$8,"")</f>
        <v/>
      </c>
      <c r="I61" s="135" t="str">
        <f t="shared" ref="I61" ca="1" si="138">IF(AND(J60&gt;0,I60&lt;=0),I$8,"")</f>
        <v/>
      </c>
      <c r="J61" s="135" t="str">
        <f t="shared" ref="J61" ca="1" si="139">IF(AND(K60&gt;0,J60&lt;=0),J$8,"")</f>
        <v/>
      </c>
      <c r="K61" s="135" t="str">
        <f t="shared" ref="K61" ca="1" si="140">IF(AND(L60&gt;0,K60&lt;=0),K$8,"")</f>
        <v/>
      </c>
      <c r="L61" s="135" t="str">
        <f t="shared" ref="L61" ca="1" si="141">IF(AND(M60&gt;0,L60&lt;=0),L$8,"")</f>
        <v/>
      </c>
      <c r="M61" s="135" t="str">
        <f t="shared" ref="M61" ca="1" si="142">IF(AND(N60&gt;0,M60&lt;=0),M$8,"")</f>
        <v/>
      </c>
      <c r="N61" s="135" t="str">
        <f t="shared" ref="N61" ca="1" si="143">IF(AND(O60&gt;0,N60&lt;=0),N$8,"")</f>
        <v/>
      </c>
      <c r="O61" s="135" t="str">
        <f t="shared" ref="O61" ca="1" si="144">IF(AND(P60&gt;0,O60&lt;=0),O$8,"")</f>
        <v/>
      </c>
      <c r="P61" s="135" t="str">
        <f t="shared" ref="P61" ca="1" si="145">IF(AND(Q60&gt;0,P60&lt;=0),P$8,"")</f>
        <v/>
      </c>
      <c r="Q61" s="135">
        <f t="shared" ref="Q61" ca="1" si="146">IF(AND(R60&gt;0,Q60&lt;=0),Q$8,"")</f>
        <v>14</v>
      </c>
      <c r="R61" s="135" t="str">
        <f t="shared" ref="R61" ca="1" si="147">IF(AND(S60&gt;0,R60&lt;=0),R$8,"")</f>
        <v/>
      </c>
      <c r="S61" s="135" t="str">
        <f t="shared" ref="S61" ca="1" si="148">IF(AND(T60&gt;0,S60&lt;=0),S$8,"")</f>
        <v/>
      </c>
      <c r="T61" s="135" t="str">
        <f t="shared" ref="T61" ca="1" si="149">IF(AND(U60&gt;0,T60&lt;=0),T$8,"")</f>
        <v/>
      </c>
      <c r="U61" s="135" t="str">
        <f t="shared" ref="U61" ca="1" si="150">IF(AND(V60&gt;0,U60&lt;=0),U$8,"")</f>
        <v/>
      </c>
      <c r="V61" s="135" t="str">
        <f t="shared" ref="V61" ca="1" si="151">IF(AND(W60&gt;0,V60&lt;=0),V$8,"")</f>
        <v/>
      </c>
      <c r="W61" s="135" t="str">
        <f t="shared" ref="W61" ca="1" si="152">IF(AND(X60&gt;0,W60&lt;=0),W$8,"")</f>
        <v/>
      </c>
      <c r="X61" s="135" t="str">
        <f t="shared" ref="X61" ca="1" si="153">IF(AND(Y60&gt;0,X60&lt;=0),X$8,"")</f>
        <v/>
      </c>
      <c r="Y61" s="135" t="str">
        <f t="shared" ref="Y61" ca="1" si="154">IF(AND(Z60&gt;0,Y60&lt;=0),Y$8,"")</f>
        <v/>
      </c>
      <c r="Z61" s="135" t="str">
        <f t="shared" ref="Z61" ca="1" si="155">IF(AND(AA60&gt;0,Z60&lt;=0),Z$8,"")</f>
        <v/>
      </c>
      <c r="AA61" s="135" t="str">
        <f t="shared" ref="AA61" ca="1" si="156">IF(AND(AB60&gt;0,AA60&lt;=0),AA$8,"")</f>
        <v/>
      </c>
      <c r="AB61" s="136" t="str">
        <f ca="1">IF(AND(AC72&gt;0,AB60&lt;=0),AB$8,"")</f>
        <v/>
      </c>
    </row>
    <row r="62" spans="2:28" x14ac:dyDescent="0.35">
      <c r="B62" s="168" t="s">
        <v>241</v>
      </c>
      <c r="C62" s="124">
        <f ca="1">IRR(C59:AB59)</f>
        <v>0.10788942608426577</v>
      </c>
      <c r="AB62" s="17"/>
    </row>
    <row r="63" spans="2:28" ht="15" thickBot="1" x14ac:dyDescent="0.4">
      <c r="B63" s="169" t="s">
        <v>242</v>
      </c>
      <c r="C63" s="125">
        <f ca="1">NPV($C$2,D59:AB59)+C59</f>
        <v>21.219351444617942</v>
      </c>
      <c r="D63" s="32"/>
      <c r="E63" s="129"/>
      <c r="F63" s="32"/>
      <c r="G63" s="32"/>
      <c r="H63" s="32"/>
      <c r="I63" s="32"/>
      <c r="J63" s="32"/>
      <c r="K63" s="32"/>
      <c r="L63" s="32"/>
      <c r="M63" s="32"/>
      <c r="N63" s="32"/>
      <c r="O63" s="32"/>
      <c r="P63" s="32"/>
      <c r="Q63" s="32"/>
      <c r="R63" s="32"/>
      <c r="S63" s="32"/>
      <c r="T63" s="32"/>
      <c r="U63" s="32"/>
      <c r="V63" s="32"/>
      <c r="W63" s="32"/>
      <c r="X63" s="32"/>
      <c r="Y63" s="32"/>
      <c r="Z63" s="32"/>
      <c r="AA63" s="32"/>
      <c r="AB63" s="2"/>
    </row>
    <row r="64" spans="2:28" ht="15" thickBot="1" x14ac:dyDescent="0.4">
      <c r="B64" s="168" t="s">
        <v>206</v>
      </c>
      <c r="C64" s="160">
        <f ca="1">MIN(C61:AB61)</f>
        <v>14</v>
      </c>
      <c r="D64" s="161" t="s">
        <v>26</v>
      </c>
      <c r="E64" s="162">
        <f ca="1">(ABS(INDEX(C60:AB60,,MATCH(C64,C61:AB61,0))))/(ABS(INDEX(C59:AB59,,(MATCH(C64,C61:AB61,0))+1)))*10</f>
        <v>3.5684052894900162</v>
      </c>
      <c r="F64" s="163" t="s">
        <v>57</v>
      </c>
      <c r="AB64" s="17"/>
    </row>
    <row r="65" spans="2:28" x14ac:dyDescent="0.35">
      <c r="B65" s="39" t="s">
        <v>134</v>
      </c>
      <c r="C65" s="7"/>
      <c r="D65" s="7"/>
      <c r="E65" s="7"/>
      <c r="F65" s="7"/>
      <c r="G65" s="7"/>
      <c r="H65" s="7"/>
      <c r="I65" s="7"/>
      <c r="J65" s="7"/>
      <c r="K65" s="7"/>
      <c r="L65" s="7"/>
      <c r="M65" s="7"/>
      <c r="N65" s="7"/>
      <c r="O65" s="7"/>
      <c r="P65" s="7"/>
      <c r="Q65" s="7"/>
      <c r="R65" s="7"/>
      <c r="S65" s="7"/>
      <c r="T65" s="7"/>
      <c r="U65" s="7"/>
      <c r="V65" s="7"/>
      <c r="W65" s="7"/>
      <c r="X65" s="7"/>
      <c r="Y65" s="7"/>
      <c r="Z65" s="7"/>
      <c r="AA65" s="7"/>
      <c r="AB65" s="16"/>
    </row>
    <row r="66" spans="2:28" x14ac:dyDescent="0.35">
      <c r="B66" s="19" t="s">
        <v>238</v>
      </c>
      <c r="C66" s="82">
        <f>C33</f>
        <v>0</v>
      </c>
      <c r="D66" s="82">
        <f t="shared" ref="D66:AB66" ca="1" si="157">D33</f>
        <v>44.154768908720982</v>
      </c>
      <c r="E66" s="82">
        <f t="shared" ca="1" si="157"/>
        <v>45.209022004672065</v>
      </c>
      <c r="F66" s="82">
        <f t="shared" ca="1" si="157"/>
        <v>46.258862039810765</v>
      </c>
      <c r="G66" s="82">
        <f t="shared" ca="1" si="157"/>
        <v>47.476326227294578</v>
      </c>
      <c r="H66" s="82">
        <f t="shared" ca="1" si="157"/>
        <v>46.751528129276977</v>
      </c>
      <c r="I66" s="82">
        <f t="shared" ca="1" si="157"/>
        <v>46.222820164651282</v>
      </c>
      <c r="J66" s="82">
        <f t="shared" ca="1" si="157"/>
        <v>45.875697527071949</v>
      </c>
      <c r="K66" s="82">
        <f t="shared" ca="1" si="157"/>
        <v>45.689342978773254</v>
      </c>
      <c r="L66" s="82">
        <f t="shared" ca="1" si="157"/>
        <v>45.641746718810687</v>
      </c>
      <c r="M66" s="82">
        <f t="shared" ca="1" si="157"/>
        <v>45.711967787522873</v>
      </c>
      <c r="N66" s="82">
        <f t="shared" ca="1" si="157"/>
        <v>45.838146479514108</v>
      </c>
      <c r="O66" s="82">
        <f t="shared" ca="1" si="157"/>
        <v>46.089183825105636</v>
      </c>
      <c r="P66" s="82">
        <f t="shared" ca="1" si="157"/>
        <v>46.407482885599045</v>
      </c>
      <c r="Q66" s="82">
        <f t="shared" ca="1" si="157"/>
        <v>46.295922415763073</v>
      </c>
      <c r="R66" s="82">
        <f t="shared" ca="1" si="157"/>
        <v>45.302863090953373</v>
      </c>
      <c r="S66" s="82">
        <f t="shared" ca="1" si="157"/>
        <v>55.283943105074599</v>
      </c>
      <c r="T66" s="82">
        <f t="shared" ca="1" si="157"/>
        <v>54.44934021136487</v>
      </c>
      <c r="U66" s="82">
        <f t="shared" ca="1" si="157"/>
        <v>49.780642724164316</v>
      </c>
      <c r="V66" s="82">
        <f t="shared" ca="1" si="157"/>
        <v>48.7194491568182</v>
      </c>
      <c r="W66" s="82">
        <f t="shared" ca="1" si="157"/>
        <v>47.815041825097367</v>
      </c>
      <c r="X66" s="82">
        <f t="shared" ca="1" si="157"/>
        <v>39.785485037248051</v>
      </c>
      <c r="Y66" s="82">
        <f t="shared" ca="1" si="157"/>
        <v>38.880364140143058</v>
      </c>
      <c r="Z66" s="82">
        <f t="shared" ca="1" si="157"/>
        <v>37.966276535182757</v>
      </c>
      <c r="AA66" s="82">
        <f t="shared" ca="1" si="157"/>
        <v>37.039266546185402</v>
      </c>
      <c r="AB66" s="151">
        <f t="shared" ca="1" si="157"/>
        <v>36.095647086208871</v>
      </c>
    </row>
    <row r="67" spans="2:28" x14ac:dyDescent="0.35">
      <c r="B67" s="19" t="s">
        <v>239</v>
      </c>
      <c r="C67" s="82">
        <f>C66-C$45</f>
        <v>0</v>
      </c>
      <c r="D67" s="82">
        <f ca="1">D66-D$45</f>
        <v>22.55476890872098</v>
      </c>
      <c r="E67" s="82">
        <f t="shared" ref="E67:AB67" ca="1" si="158">E66-E$45</f>
        <v>23.609022004672063</v>
      </c>
      <c r="F67" s="82">
        <f t="shared" ca="1" si="158"/>
        <v>24.658862039810764</v>
      </c>
      <c r="G67" s="82">
        <f t="shared" ca="1" si="158"/>
        <v>25.876326227294577</v>
      </c>
      <c r="H67" s="82">
        <f t="shared" ca="1" si="158"/>
        <v>25.151528129276976</v>
      </c>
      <c r="I67" s="82">
        <f t="shared" ca="1" si="158"/>
        <v>24.62282016465128</v>
      </c>
      <c r="J67" s="82">
        <f t="shared" ca="1" si="158"/>
        <v>24.275697527071948</v>
      </c>
      <c r="K67" s="82">
        <f t="shared" ca="1" si="158"/>
        <v>24.089342978773253</v>
      </c>
      <c r="L67" s="82">
        <f t="shared" ca="1" si="158"/>
        <v>24.041746718810685</v>
      </c>
      <c r="M67" s="82">
        <f t="shared" ca="1" si="158"/>
        <v>24.111967787522872</v>
      </c>
      <c r="N67" s="82">
        <f t="shared" ca="1" si="158"/>
        <v>24.238146479514107</v>
      </c>
      <c r="O67" s="82">
        <f t="shared" ca="1" si="158"/>
        <v>24.489183825105634</v>
      </c>
      <c r="P67" s="82">
        <f t="shared" ca="1" si="158"/>
        <v>24.807482885599043</v>
      </c>
      <c r="Q67" s="82">
        <f t="shared" ca="1" si="158"/>
        <v>46.295922415763073</v>
      </c>
      <c r="R67" s="82">
        <f t="shared" ca="1" si="158"/>
        <v>45.302863090953373</v>
      </c>
      <c r="S67" s="82">
        <f t="shared" ca="1" si="158"/>
        <v>55.283943105074599</v>
      </c>
      <c r="T67" s="82">
        <f t="shared" ca="1" si="158"/>
        <v>54.44934021136487</v>
      </c>
      <c r="U67" s="82">
        <f t="shared" ca="1" si="158"/>
        <v>49.780642724164316</v>
      </c>
      <c r="V67" s="82">
        <f t="shared" ca="1" si="158"/>
        <v>48.7194491568182</v>
      </c>
      <c r="W67" s="82">
        <f t="shared" ca="1" si="158"/>
        <v>47.815041825097367</v>
      </c>
      <c r="X67" s="82">
        <f t="shared" ca="1" si="158"/>
        <v>39.785485037248051</v>
      </c>
      <c r="Y67" s="82">
        <f t="shared" ca="1" si="158"/>
        <v>38.880364140143058</v>
      </c>
      <c r="Z67" s="82">
        <f t="shared" ca="1" si="158"/>
        <v>37.966276535182757</v>
      </c>
      <c r="AA67" s="82">
        <f t="shared" ca="1" si="158"/>
        <v>37.039266546185402</v>
      </c>
      <c r="AB67" s="151">
        <f t="shared" ca="1" si="158"/>
        <v>36.095647086208871</v>
      </c>
    </row>
    <row r="68" spans="2:28" x14ac:dyDescent="0.35">
      <c r="B68" s="19" t="s">
        <v>240</v>
      </c>
      <c r="C68" s="33">
        <f>C67+C44</f>
        <v>-70.2</v>
      </c>
      <c r="D68" s="82">
        <f t="shared" ref="D68:AB68" ca="1" si="159">D67+D44</f>
        <v>22.55476890872098</v>
      </c>
      <c r="E68" s="82">
        <f t="shared" ca="1" si="159"/>
        <v>23.609022004672063</v>
      </c>
      <c r="F68" s="82">
        <f t="shared" ca="1" si="159"/>
        <v>24.658862039810764</v>
      </c>
      <c r="G68" s="82">
        <f t="shared" ca="1" si="159"/>
        <v>25.876326227294577</v>
      </c>
      <c r="H68" s="82">
        <f t="shared" ca="1" si="159"/>
        <v>25.151528129276976</v>
      </c>
      <c r="I68" s="82">
        <f t="shared" ca="1" si="159"/>
        <v>24.62282016465128</v>
      </c>
      <c r="J68" s="82">
        <f t="shared" ca="1" si="159"/>
        <v>24.275697527071948</v>
      </c>
      <c r="K68" s="82">
        <f t="shared" ca="1" si="159"/>
        <v>24.089342978773253</v>
      </c>
      <c r="L68" s="82">
        <f t="shared" ca="1" si="159"/>
        <v>24.041746718810685</v>
      </c>
      <c r="M68" s="82">
        <f t="shared" ca="1" si="159"/>
        <v>24.111967787522872</v>
      </c>
      <c r="N68" s="82">
        <f t="shared" ca="1" si="159"/>
        <v>24.238146479514107</v>
      </c>
      <c r="O68" s="82">
        <f t="shared" ca="1" si="159"/>
        <v>24.489183825105634</v>
      </c>
      <c r="P68" s="82">
        <f t="shared" ca="1" si="159"/>
        <v>24.807482885599043</v>
      </c>
      <c r="Q68" s="82">
        <f t="shared" ca="1" si="159"/>
        <v>46.295922415763073</v>
      </c>
      <c r="R68" s="82">
        <f t="shared" ca="1" si="159"/>
        <v>45.302863090953373</v>
      </c>
      <c r="S68" s="82">
        <f t="shared" ca="1" si="159"/>
        <v>55.283943105074599</v>
      </c>
      <c r="T68" s="82">
        <f t="shared" ca="1" si="159"/>
        <v>54.44934021136487</v>
      </c>
      <c r="U68" s="82">
        <f t="shared" ca="1" si="159"/>
        <v>49.780642724164316</v>
      </c>
      <c r="V68" s="82">
        <f t="shared" ca="1" si="159"/>
        <v>48.7194491568182</v>
      </c>
      <c r="W68" s="82">
        <f t="shared" ca="1" si="159"/>
        <v>47.815041825097367</v>
      </c>
      <c r="X68" s="82">
        <f t="shared" ca="1" si="159"/>
        <v>39.785485037248051</v>
      </c>
      <c r="Y68" s="82">
        <f t="shared" ca="1" si="159"/>
        <v>38.880364140143058</v>
      </c>
      <c r="Z68" s="82">
        <f t="shared" ca="1" si="159"/>
        <v>37.966276535182757</v>
      </c>
      <c r="AA68" s="82">
        <f t="shared" ca="1" si="159"/>
        <v>37.039266546185402</v>
      </c>
      <c r="AB68" s="151">
        <f t="shared" ca="1" si="159"/>
        <v>36.095647086208871</v>
      </c>
    </row>
    <row r="69" spans="2:28" x14ac:dyDescent="0.35">
      <c r="B69" s="19" t="s">
        <v>207</v>
      </c>
      <c r="C69" s="135">
        <f>C68</f>
        <v>-70.2</v>
      </c>
      <c r="D69" s="82">
        <f ca="1">C69+D68</f>
        <v>-47.645231091279022</v>
      </c>
      <c r="E69" s="82">
        <f ca="1">D69+E68</f>
        <v>-24.036209086606959</v>
      </c>
      <c r="F69" s="82">
        <f t="shared" ref="F69" ca="1" si="160">E69+F68</f>
        <v>0.62265295320380432</v>
      </c>
      <c r="G69" s="82">
        <f t="shared" ref="G69" ca="1" si="161">F69+G68</f>
        <v>26.498979180498381</v>
      </c>
      <c r="H69" s="82">
        <f t="shared" ref="H69" ca="1" si="162">G69+H68</f>
        <v>51.650507309775357</v>
      </c>
      <c r="I69" s="82">
        <f t="shared" ref="I69" ca="1" si="163">H69+I68</f>
        <v>76.273327474426637</v>
      </c>
      <c r="J69" s="82">
        <f t="shared" ref="J69" ca="1" si="164">I69+J68</f>
        <v>100.54902500149859</v>
      </c>
      <c r="K69" s="82">
        <f t="shared" ref="K69" ca="1" si="165">J69+K68</f>
        <v>124.63836798027185</v>
      </c>
      <c r="L69" s="82">
        <f t="shared" ref="L69" ca="1" si="166">K69+L68</f>
        <v>148.68011469908254</v>
      </c>
      <c r="M69" s="82">
        <f t="shared" ref="M69" ca="1" si="167">L69+M68</f>
        <v>172.79208248660541</v>
      </c>
      <c r="N69" s="82">
        <f t="shared" ref="N69" ca="1" si="168">M69+N68</f>
        <v>197.03022896611952</v>
      </c>
      <c r="O69" s="82">
        <f t="shared" ref="O69" ca="1" si="169">N69+O68</f>
        <v>221.51941279122516</v>
      </c>
      <c r="P69" s="82">
        <f t="shared" ref="P69" ca="1" si="170">O69+P68</f>
        <v>246.32689567682422</v>
      </c>
      <c r="Q69" s="82">
        <f t="shared" ref="Q69" ca="1" si="171">P69+Q68</f>
        <v>292.62281809258729</v>
      </c>
      <c r="R69" s="82">
        <f t="shared" ref="R69" ca="1" si="172">Q69+R68</f>
        <v>337.92568118354069</v>
      </c>
      <c r="S69" s="82">
        <f t="shared" ref="S69" ca="1" si="173">R69+S68</f>
        <v>393.20962428861526</v>
      </c>
      <c r="T69" s="82">
        <f t="shared" ref="T69" ca="1" si="174">S69+T68</f>
        <v>447.65896449998013</v>
      </c>
      <c r="U69" s="82">
        <f t="shared" ref="U69" ca="1" si="175">T69+U68</f>
        <v>497.43960722414442</v>
      </c>
      <c r="V69" s="82">
        <f t="shared" ref="V69" ca="1" si="176">U69+V68</f>
        <v>546.15905638096262</v>
      </c>
      <c r="W69" s="82">
        <f t="shared" ref="W69" ca="1" si="177">V69+W68</f>
        <v>593.97409820606003</v>
      </c>
      <c r="X69" s="82">
        <f t="shared" ref="X69" ca="1" si="178">W69+X68</f>
        <v>633.75958324330804</v>
      </c>
      <c r="Y69" s="82">
        <f t="shared" ref="Y69" ca="1" si="179">X69+Y68</f>
        <v>672.63994738345104</v>
      </c>
      <c r="Z69" s="82">
        <f t="shared" ref="Z69" ca="1" si="180">Y69+Z68</f>
        <v>710.60622391863376</v>
      </c>
      <c r="AA69" s="82">
        <f t="shared" ref="AA69" ca="1" si="181">Z69+AA68</f>
        <v>747.6454904648192</v>
      </c>
      <c r="AB69" s="151">
        <f t="shared" ref="AB69" ca="1" si="182">AA69+AB68</f>
        <v>783.74113755102803</v>
      </c>
    </row>
    <row r="70" spans="2:28" x14ac:dyDescent="0.35">
      <c r="B70" s="19"/>
      <c r="C70" s="135" t="str">
        <f ca="1">IF(AND(D69&gt;0,C69&lt;=0),C$8,"")</f>
        <v/>
      </c>
      <c r="D70" s="135" t="str">
        <f t="shared" ref="D70" ca="1" si="183">IF(AND(E69&gt;0,D69&lt;=0),D$8,"")</f>
        <v/>
      </c>
      <c r="E70" s="135">
        <f t="shared" ref="E70" ca="1" si="184">IF(AND(F69&gt;0,E69&lt;=0),E$8,"")</f>
        <v>2</v>
      </c>
      <c r="F70" s="135" t="str">
        <f t="shared" ref="F70" ca="1" si="185">IF(AND(G69&gt;0,F69&lt;=0),F$8,"")</f>
        <v/>
      </c>
      <c r="G70" s="135" t="str">
        <f t="shared" ref="G70" ca="1" si="186">IF(AND(H69&gt;0,G69&lt;=0),G$8,"")</f>
        <v/>
      </c>
      <c r="H70" s="135" t="str">
        <f t="shared" ref="H70" ca="1" si="187">IF(AND(I69&gt;0,H69&lt;=0),H$8,"")</f>
        <v/>
      </c>
      <c r="I70" s="135" t="str">
        <f t="shared" ref="I70" ca="1" si="188">IF(AND(J69&gt;0,I69&lt;=0),I$8,"")</f>
        <v/>
      </c>
      <c r="J70" s="135" t="str">
        <f t="shared" ref="J70" ca="1" si="189">IF(AND(K69&gt;0,J69&lt;=0),J$8,"")</f>
        <v/>
      </c>
      <c r="K70" s="135" t="str">
        <f t="shared" ref="K70" ca="1" si="190">IF(AND(L69&gt;0,K69&lt;=0),K$8,"")</f>
        <v/>
      </c>
      <c r="L70" s="135" t="str">
        <f t="shared" ref="L70" ca="1" si="191">IF(AND(M69&gt;0,L69&lt;=0),L$8,"")</f>
        <v/>
      </c>
      <c r="M70" s="135" t="str">
        <f t="shared" ref="M70" ca="1" si="192">IF(AND(N69&gt;0,M69&lt;=0),M$8,"")</f>
        <v/>
      </c>
      <c r="N70" s="135" t="str">
        <f t="shared" ref="N70" ca="1" si="193">IF(AND(O69&gt;0,N69&lt;=0),N$8,"")</f>
        <v/>
      </c>
      <c r="O70" s="135" t="str">
        <f t="shared" ref="O70" ca="1" si="194">IF(AND(P69&gt;0,O69&lt;=0),O$8,"")</f>
        <v/>
      </c>
      <c r="P70" s="135" t="str">
        <f t="shared" ref="P70" ca="1" si="195">IF(AND(Q69&gt;0,P69&lt;=0),P$8,"")</f>
        <v/>
      </c>
      <c r="Q70" s="135" t="str">
        <f t="shared" ref="Q70" ca="1" si="196">IF(AND(R69&gt;0,Q69&lt;=0),Q$8,"")</f>
        <v/>
      </c>
      <c r="R70" s="135" t="str">
        <f t="shared" ref="R70" ca="1" si="197">IF(AND(S69&gt;0,R69&lt;=0),R$8,"")</f>
        <v/>
      </c>
      <c r="S70" s="135" t="str">
        <f t="shared" ref="S70" ca="1" si="198">IF(AND(T69&gt;0,S69&lt;=0),S$8,"")</f>
        <v/>
      </c>
      <c r="T70" s="135" t="str">
        <f t="shared" ref="T70" ca="1" si="199">IF(AND(U69&gt;0,T69&lt;=0),T$8,"")</f>
        <v/>
      </c>
      <c r="U70" s="135" t="str">
        <f t="shared" ref="U70" ca="1" si="200">IF(AND(V69&gt;0,U69&lt;=0),U$8,"")</f>
        <v/>
      </c>
      <c r="V70" s="135" t="str">
        <f t="shared" ref="V70" ca="1" si="201">IF(AND(W69&gt;0,V69&lt;=0),V$8,"")</f>
        <v/>
      </c>
      <c r="W70" s="135" t="str">
        <f t="shared" ref="W70" ca="1" si="202">IF(AND(X69&gt;0,W69&lt;=0),W$8,"")</f>
        <v/>
      </c>
      <c r="X70" s="135" t="str">
        <f t="shared" ref="X70" ca="1" si="203">IF(AND(Y69&gt;0,X69&lt;=0),X$8,"")</f>
        <v/>
      </c>
      <c r="Y70" s="135" t="str">
        <f t="shared" ref="Y70" ca="1" si="204">IF(AND(Z69&gt;0,Y69&lt;=0),Y$8,"")</f>
        <v/>
      </c>
      <c r="Z70" s="135" t="str">
        <f t="shared" ref="Z70" ca="1" si="205">IF(AND(AA69&gt;0,Z69&lt;=0),Z$8,"")</f>
        <v/>
      </c>
      <c r="AA70" s="135" t="str">
        <f t="shared" ref="AA70" ca="1" si="206">IF(AND(AB69&gt;0,AA69&lt;=0),AA$8,"")</f>
        <v/>
      </c>
      <c r="AB70" s="136" t="str">
        <f ca="1">IF(AND(AC81&gt;0,AB69&lt;=0),AB$8,"")</f>
        <v/>
      </c>
    </row>
    <row r="71" spans="2:28" x14ac:dyDescent="0.35">
      <c r="B71" s="168" t="s">
        <v>241</v>
      </c>
      <c r="C71" s="124">
        <f ca="1">IRR(C68:AB68,$C$2)</f>
        <v>0.34851282136050932</v>
      </c>
      <c r="AB71" s="17"/>
    </row>
    <row r="72" spans="2:28" ht="15" thickBot="1" x14ac:dyDescent="0.4">
      <c r="B72" s="169" t="s">
        <v>242</v>
      </c>
      <c r="C72" s="125">
        <f ca="1">NPV($C$2,D68:AB68)+C68</f>
        <v>244.21490405559496</v>
      </c>
      <c r="D72" s="32"/>
      <c r="E72" s="129"/>
      <c r="F72" s="32"/>
      <c r="G72" s="32"/>
      <c r="H72" s="32"/>
      <c r="I72" s="32"/>
      <c r="J72" s="32"/>
      <c r="K72" s="32"/>
      <c r="L72" s="32"/>
      <c r="M72" s="32"/>
      <c r="N72" s="32"/>
      <c r="O72" s="32"/>
      <c r="P72" s="32"/>
      <c r="Q72" s="32"/>
      <c r="R72" s="32"/>
      <c r="S72" s="32"/>
      <c r="T72" s="32"/>
      <c r="U72" s="32"/>
      <c r="V72" s="32"/>
      <c r="W72" s="32"/>
      <c r="X72" s="32"/>
      <c r="Y72" s="32"/>
      <c r="Z72" s="32"/>
      <c r="AA72" s="32"/>
      <c r="AB72" s="2"/>
    </row>
    <row r="73" spans="2:28" ht="15" thickBot="1" x14ac:dyDescent="0.4">
      <c r="B73" s="168" t="s">
        <v>206</v>
      </c>
      <c r="C73" s="132">
        <f ca="1">MIN(C70:AB70)</f>
        <v>2</v>
      </c>
      <c r="D73" s="133" t="s">
        <v>26</v>
      </c>
      <c r="E73" s="131">
        <f ca="1">(ABS(INDEX(C69:AB69,,MATCH(C73,C70:AB70,0))))/(ABS(INDEX(C68:AB68,,(MATCH(C73,C70:AB70,0))+1)))*10</f>
        <v>9.7474932329810855</v>
      </c>
      <c r="F73" s="134" t="s">
        <v>57</v>
      </c>
    </row>
  </sheetData>
  <pageMargins left="0.7" right="0.7" top="0.75" bottom="0.75" header="0.3" footer="0.3"/>
  <legacy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3D87E7E6-C6E4-4784-9926-63C58C359DC3}">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8</vt:i4>
      </vt:variant>
    </vt:vector>
  </HeadingPairs>
  <TitlesOfParts>
    <vt:vector size="8" baseType="lpstr">
      <vt:lpstr>INPUT</vt:lpstr>
      <vt:lpstr>Capital Cost</vt:lpstr>
      <vt:lpstr>RESULT</vt:lpstr>
      <vt:lpstr>Assumption for solar PV Power P</vt:lpstr>
      <vt:lpstr>Determination_of_Tariff</vt:lpstr>
      <vt:lpstr>Interest(onLOAN)</vt:lpstr>
      <vt:lpstr>P&amp;L</vt:lpstr>
      <vt:lpstr>Payback&amp;IRR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2023-04-22T20:10:50Z</dcterms:modified>
</cp:coreProperties>
</file>