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E711C68F-DE97-4A23-A44C-014316F16AAE}" xr6:coauthVersionLast="43" xr6:coauthVersionMax="43" xr10:uidLastSave="{00000000-0000-0000-0000-000000000000}"/>
  <bookViews>
    <workbookView xWindow="-110" yWindow="-110" windowWidth="19420" windowHeight="10560" tabRatio="877" xr2:uid="{00000000-000D-0000-FFFF-FFFF00000000}"/>
  </bookViews>
  <sheets>
    <sheet name="INPUT" sheetId="14" r:id="rId1"/>
    <sheet name="Assumption for Botlling Plant" sheetId="4" r:id="rId2"/>
    <sheet name="Determination_of_Cost" sheetId="5" r:id="rId3"/>
    <sheet name="Interest(onLOAN)" sheetId="3" r:id="rId4"/>
    <sheet name="P&amp;L" sheetId="6" r:id="rId5"/>
    <sheet name="Payback&amp;IRR" sheetId="10" r:id="rId6"/>
    <sheet name="RESULT" sheetId="13" r:id="rId7"/>
    <sheet name="Cost Breakup for Salary" sheetId="16" r:id="rId8"/>
    <sheet name="Euipments Required" sheetId="20" r:id="rId9"/>
  </sheets>
  <externalReferences>
    <externalReference r:id="rId10"/>
  </externalReferences>
  <definedNames>
    <definedName name="StateIP">'[1]Inputs&amp;Summary'!$D$15</definedName>
    <definedName name="TechnologyIP">'[1]Inputs&amp;Summary'!$D$16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7" i="4" l="1"/>
  <c r="F56" i="4"/>
  <c r="F88" i="4" l="1"/>
  <c r="D12" i="16"/>
  <c r="F11" i="16"/>
  <c r="F10" i="16"/>
  <c r="F9" i="16"/>
  <c r="F8" i="16"/>
  <c r="F7" i="16"/>
  <c r="F5" i="4"/>
  <c r="F12" i="16" l="1"/>
  <c r="F53" i="4" s="1"/>
  <c r="F75" i="4" s="1"/>
  <c r="F82" i="4"/>
  <c r="F29" i="4" l="1"/>
  <c r="F28" i="4"/>
  <c r="F24" i="4"/>
  <c r="F25" i="4"/>
  <c r="C28" i="4"/>
  <c r="F17" i="4"/>
  <c r="C33" i="5" l="1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B33" i="5"/>
  <c r="F13" i="4" l="1"/>
  <c r="F12" i="4"/>
  <c r="F86" i="4"/>
  <c r="G37" i="5"/>
  <c r="I18" i="5" s="1"/>
  <c r="I39" i="6" s="1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D27" i="6"/>
  <c r="A18" i="5"/>
  <c r="B39" i="6" s="1"/>
  <c r="A14" i="5"/>
  <c r="B35" i="6" s="1"/>
  <c r="A15" i="5"/>
  <c r="B36" i="6" s="1"/>
  <c r="A16" i="5"/>
  <c r="B37" i="6" s="1"/>
  <c r="A17" i="5"/>
  <c r="B38" i="6" s="1"/>
  <c r="A13" i="5"/>
  <c r="B34" i="6" s="1"/>
  <c r="E14" i="5"/>
  <c r="E35" i="6" s="1"/>
  <c r="F14" i="5"/>
  <c r="F35" i="6" s="1"/>
  <c r="G14" i="5"/>
  <c r="G35" i="6" s="1"/>
  <c r="H14" i="5"/>
  <c r="H35" i="6" s="1"/>
  <c r="I14" i="5"/>
  <c r="I35" i="6" s="1"/>
  <c r="J14" i="5"/>
  <c r="J35" i="6" s="1"/>
  <c r="K14" i="5"/>
  <c r="K35" i="6" s="1"/>
  <c r="L14" i="5"/>
  <c r="L35" i="6" s="1"/>
  <c r="M14" i="5"/>
  <c r="M35" i="6" s="1"/>
  <c r="N14" i="5"/>
  <c r="N35" i="6" s="1"/>
  <c r="O14" i="5"/>
  <c r="O35" i="6" s="1"/>
  <c r="P14" i="5"/>
  <c r="P35" i="6" s="1"/>
  <c r="Q14" i="5"/>
  <c r="Q35" i="6" s="1"/>
  <c r="R14" i="5"/>
  <c r="R35" i="6" s="1"/>
  <c r="S14" i="5"/>
  <c r="S35" i="6" s="1"/>
  <c r="T14" i="5"/>
  <c r="T35" i="6" s="1"/>
  <c r="U14" i="5"/>
  <c r="U35" i="6" s="1"/>
  <c r="V14" i="5"/>
  <c r="V35" i="6" s="1"/>
  <c r="W14" i="5"/>
  <c r="W35" i="6" s="1"/>
  <c r="X14" i="5"/>
  <c r="X35" i="6" s="1"/>
  <c r="Y14" i="5"/>
  <c r="Y35" i="6" s="1"/>
  <c r="Z14" i="5"/>
  <c r="Z35" i="6" s="1"/>
  <c r="AA14" i="5"/>
  <c r="AA35" i="6" s="1"/>
  <c r="AB14" i="5"/>
  <c r="AB35" i="6" s="1"/>
  <c r="D14" i="5"/>
  <c r="D35" i="6" s="1"/>
  <c r="F65" i="4" l="1"/>
  <c r="F71" i="4" s="1"/>
  <c r="H37" i="5"/>
  <c r="J18" i="5" s="1"/>
  <c r="J39" i="6" s="1"/>
  <c r="P37" i="5"/>
  <c r="R18" i="5" s="1"/>
  <c r="R39" i="6" s="1"/>
  <c r="N37" i="5"/>
  <c r="P18" i="5" s="1"/>
  <c r="P39" i="6" s="1"/>
  <c r="Z37" i="5"/>
  <c r="AB18" i="5" s="1"/>
  <c r="AB39" i="6" s="1"/>
  <c r="X37" i="5"/>
  <c r="Z18" i="5" s="1"/>
  <c r="Z39" i="6" s="1"/>
  <c r="M37" i="5"/>
  <c r="O18" i="5" s="1"/>
  <c r="O39" i="6" s="1"/>
  <c r="J37" i="5"/>
  <c r="L18" i="5" s="1"/>
  <c r="L39" i="6" s="1"/>
  <c r="V37" i="5"/>
  <c r="X18" i="5" s="1"/>
  <c r="X39" i="6" s="1"/>
  <c r="F37" i="5"/>
  <c r="H18" i="5" s="1"/>
  <c r="H39" i="6" s="1"/>
  <c r="U37" i="5"/>
  <c r="W18" i="5" s="1"/>
  <c r="W39" i="6" s="1"/>
  <c r="E37" i="5"/>
  <c r="G18" i="5" s="1"/>
  <c r="G39" i="6" s="1"/>
  <c r="R37" i="5"/>
  <c r="T18" i="5" s="1"/>
  <c r="T39" i="6" s="1"/>
  <c r="T37" i="5"/>
  <c r="V18" i="5" s="1"/>
  <c r="V39" i="6" s="1"/>
  <c r="L37" i="5"/>
  <c r="N18" i="5" s="1"/>
  <c r="N39" i="6" s="1"/>
  <c r="D37" i="5"/>
  <c r="F18" i="5" s="1"/>
  <c r="F39" i="6" s="1"/>
  <c r="B37" i="5"/>
  <c r="D18" i="5" s="1"/>
  <c r="D39" i="6" s="1"/>
  <c r="S37" i="5"/>
  <c r="U18" i="5" s="1"/>
  <c r="U39" i="6" s="1"/>
  <c r="K37" i="5"/>
  <c r="M18" i="5" s="1"/>
  <c r="M39" i="6" s="1"/>
  <c r="C37" i="5"/>
  <c r="E18" i="5" s="1"/>
  <c r="E39" i="6" s="1"/>
  <c r="Y37" i="5"/>
  <c r="AA18" i="5" s="1"/>
  <c r="AA39" i="6" s="1"/>
  <c r="Q37" i="5"/>
  <c r="S18" i="5" s="1"/>
  <c r="S39" i="6" s="1"/>
  <c r="I37" i="5"/>
  <c r="K18" i="5" s="1"/>
  <c r="K39" i="6" s="1"/>
  <c r="W37" i="5"/>
  <c r="Y18" i="5" s="1"/>
  <c r="Y39" i="6" s="1"/>
  <c r="O37" i="5"/>
  <c r="Q18" i="5" s="1"/>
  <c r="Q39" i="6" s="1"/>
  <c r="F77" i="4" l="1"/>
  <c r="G35" i="5"/>
  <c r="I16" i="5" s="1"/>
  <c r="I37" i="6" s="1"/>
  <c r="I35" i="5"/>
  <c r="K16" i="5" s="1"/>
  <c r="K37" i="6" s="1"/>
  <c r="W35" i="5"/>
  <c r="Y16" i="5" s="1"/>
  <c r="Y37" i="6" s="1"/>
  <c r="Q35" i="5"/>
  <c r="S16" i="5" s="1"/>
  <c r="S37" i="6" s="1"/>
  <c r="E35" i="5"/>
  <c r="G16" i="5" s="1"/>
  <c r="G37" i="6" s="1"/>
  <c r="S35" i="5"/>
  <c r="U16" i="5" s="1"/>
  <c r="U37" i="6" s="1"/>
  <c r="H35" i="5"/>
  <c r="J16" i="5" s="1"/>
  <c r="J37" i="6" s="1"/>
  <c r="Y35" i="5"/>
  <c r="AA16" i="5" s="1"/>
  <c r="AA37" i="6" s="1"/>
  <c r="B35" i="5"/>
  <c r="D16" i="5" s="1"/>
  <c r="D37" i="6" s="1"/>
  <c r="D35" i="5"/>
  <c r="F16" i="5" s="1"/>
  <c r="F37" i="6" s="1"/>
  <c r="P35" i="5"/>
  <c r="R16" i="5" s="1"/>
  <c r="R37" i="6" s="1"/>
  <c r="J35" i="5"/>
  <c r="L16" i="5" s="1"/>
  <c r="L37" i="6" s="1"/>
  <c r="V35" i="5"/>
  <c r="X16" i="5" s="1"/>
  <c r="X37" i="6" s="1"/>
  <c r="L35" i="5"/>
  <c r="N16" i="5" s="1"/>
  <c r="N37" i="6" s="1"/>
  <c r="X35" i="5"/>
  <c r="Z16" i="5" s="1"/>
  <c r="Z37" i="6" s="1"/>
  <c r="R35" i="5"/>
  <c r="T16" i="5" s="1"/>
  <c r="T37" i="6" s="1"/>
  <c r="T35" i="5"/>
  <c r="V16" i="5" s="1"/>
  <c r="V37" i="6" s="1"/>
  <c r="F35" i="5"/>
  <c r="H16" i="5" s="1"/>
  <c r="H37" i="6" s="1"/>
  <c r="K35" i="5"/>
  <c r="M16" i="5" s="1"/>
  <c r="M37" i="6" s="1"/>
  <c r="O35" i="5"/>
  <c r="Q16" i="5" s="1"/>
  <c r="Q37" i="6" s="1"/>
  <c r="U35" i="5"/>
  <c r="W16" i="5" s="1"/>
  <c r="W37" i="6" s="1"/>
  <c r="C35" i="5"/>
  <c r="E16" i="5" s="1"/>
  <c r="E37" i="6" s="1"/>
  <c r="Z35" i="5"/>
  <c r="AB16" i="5" s="1"/>
  <c r="AB37" i="6" s="1"/>
  <c r="N35" i="5"/>
  <c r="P16" i="5" s="1"/>
  <c r="P37" i="6" s="1"/>
  <c r="M35" i="5"/>
  <c r="O16" i="5" s="1"/>
  <c r="O37" i="6" s="1"/>
  <c r="F14" i="4"/>
  <c r="B55" i="5" l="1"/>
  <c r="C5" i="10"/>
  <c r="F42" i="4"/>
  <c r="G43" i="4"/>
  <c r="F19" i="4"/>
  <c r="F22" i="4" s="1"/>
  <c r="C8" i="3" s="1"/>
  <c r="F7" i="4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F48" i="4" l="1"/>
  <c r="F51" i="4" s="1"/>
  <c r="F59" i="4"/>
  <c r="C32" i="5"/>
  <c r="E13" i="5" s="1"/>
  <c r="E34" i="6" s="1"/>
  <c r="H32" i="5"/>
  <c r="J13" i="5" s="1"/>
  <c r="J34" i="6" s="1"/>
  <c r="U32" i="5"/>
  <c r="W13" i="5" s="1"/>
  <c r="W34" i="6" s="1"/>
  <c r="L32" i="5"/>
  <c r="N13" i="5" s="1"/>
  <c r="N34" i="6" s="1"/>
  <c r="N32" i="5"/>
  <c r="P13" i="5" s="1"/>
  <c r="P34" i="6" s="1"/>
  <c r="J32" i="5"/>
  <c r="L13" i="5" s="1"/>
  <c r="L34" i="6" s="1"/>
  <c r="F74" i="4"/>
  <c r="Y32" i="5"/>
  <c r="AA13" i="5" s="1"/>
  <c r="AA34" i="6" s="1"/>
  <c r="M32" i="5"/>
  <c r="O13" i="5" s="1"/>
  <c r="O34" i="6" s="1"/>
  <c r="D32" i="5"/>
  <c r="F13" i="5" s="1"/>
  <c r="F34" i="6" s="1"/>
  <c r="G32" i="5"/>
  <c r="I13" i="5" s="1"/>
  <c r="I34" i="6" s="1"/>
  <c r="Q32" i="5"/>
  <c r="S13" i="5" s="1"/>
  <c r="S34" i="6" s="1"/>
  <c r="V32" i="5"/>
  <c r="X13" i="5" s="1"/>
  <c r="X34" i="6" s="1"/>
  <c r="E32" i="5"/>
  <c r="G13" i="5" s="1"/>
  <c r="G34" i="6" s="1"/>
  <c r="S32" i="5"/>
  <c r="U13" i="5" s="1"/>
  <c r="U34" i="6" s="1"/>
  <c r="X32" i="5"/>
  <c r="Z13" i="5" s="1"/>
  <c r="Z34" i="6" s="1"/>
  <c r="Z32" i="5"/>
  <c r="AB13" i="5" s="1"/>
  <c r="AB34" i="6" s="1"/>
  <c r="I32" i="5"/>
  <c r="K13" i="5" s="1"/>
  <c r="K34" i="6" s="1"/>
  <c r="K32" i="5"/>
  <c r="M13" i="5" s="1"/>
  <c r="M34" i="6" s="1"/>
  <c r="P32" i="5"/>
  <c r="R13" i="5" s="1"/>
  <c r="R34" i="6" s="1"/>
  <c r="T32" i="5"/>
  <c r="V13" i="5" s="1"/>
  <c r="V34" i="6" s="1"/>
  <c r="B32" i="5"/>
  <c r="D13" i="5" s="1"/>
  <c r="D34" i="6" s="1"/>
  <c r="R32" i="5"/>
  <c r="T13" i="5" s="1"/>
  <c r="T34" i="6" s="1"/>
  <c r="W32" i="5"/>
  <c r="Y13" i="5" s="1"/>
  <c r="Y34" i="6" s="1"/>
  <c r="F32" i="5"/>
  <c r="H13" i="5" s="1"/>
  <c r="H34" i="6" s="1"/>
  <c r="O32" i="5"/>
  <c r="Q13" i="5" s="1"/>
  <c r="Q34" i="6" s="1"/>
  <c r="D59" i="5"/>
  <c r="D62" i="5"/>
  <c r="E59" i="5"/>
  <c r="D4" i="5"/>
  <c r="D6" i="5" s="1"/>
  <c r="G5" i="5"/>
  <c r="O5" i="5"/>
  <c r="W5" i="5"/>
  <c r="H5" i="5"/>
  <c r="P5" i="5"/>
  <c r="X5" i="5"/>
  <c r="V5" i="5"/>
  <c r="I5" i="5"/>
  <c r="Q5" i="5"/>
  <c r="Y5" i="5"/>
  <c r="J5" i="5"/>
  <c r="R5" i="5"/>
  <c r="Z5" i="5"/>
  <c r="M5" i="5"/>
  <c r="U5" i="5"/>
  <c r="N5" i="5"/>
  <c r="K5" i="5"/>
  <c r="S5" i="5"/>
  <c r="AA5" i="5"/>
  <c r="L5" i="5"/>
  <c r="T5" i="5"/>
  <c r="AB5" i="5"/>
  <c r="E5" i="5"/>
  <c r="D5" i="5"/>
  <c r="F5" i="5"/>
  <c r="B43" i="4"/>
  <c r="K34" i="5" l="1"/>
  <c r="M15" i="5" s="1"/>
  <c r="M36" i="6" s="1"/>
  <c r="Q34" i="5"/>
  <c r="S15" i="5" s="1"/>
  <c r="S36" i="6" s="1"/>
  <c r="W34" i="5"/>
  <c r="Y15" i="5" s="1"/>
  <c r="Y36" i="6" s="1"/>
  <c r="L34" i="5"/>
  <c r="N15" i="5" s="1"/>
  <c r="N36" i="6" s="1"/>
  <c r="G34" i="5"/>
  <c r="I15" i="5" s="1"/>
  <c r="I36" i="6" s="1"/>
  <c r="D34" i="5"/>
  <c r="F15" i="5" s="1"/>
  <c r="F36" i="6" s="1"/>
  <c r="C34" i="5"/>
  <c r="E15" i="5" s="1"/>
  <c r="E36" i="6" s="1"/>
  <c r="U34" i="5"/>
  <c r="W15" i="5" s="1"/>
  <c r="W36" i="6" s="1"/>
  <c r="F34" i="5"/>
  <c r="H15" i="5" s="1"/>
  <c r="H36" i="6" s="1"/>
  <c r="H34" i="5"/>
  <c r="J15" i="5" s="1"/>
  <c r="J36" i="6" s="1"/>
  <c r="F76" i="4"/>
  <c r="I34" i="5"/>
  <c r="K15" i="5" s="1"/>
  <c r="K36" i="6" s="1"/>
  <c r="N34" i="5"/>
  <c r="P15" i="5" s="1"/>
  <c r="P36" i="6" s="1"/>
  <c r="R34" i="5"/>
  <c r="T15" i="5" s="1"/>
  <c r="T36" i="6" s="1"/>
  <c r="S34" i="5"/>
  <c r="U15" i="5" s="1"/>
  <c r="U36" i="6" s="1"/>
  <c r="O34" i="5"/>
  <c r="Q15" i="5" s="1"/>
  <c r="Q36" i="6" s="1"/>
  <c r="B34" i="5"/>
  <c r="D15" i="5" s="1"/>
  <c r="D36" i="6" s="1"/>
  <c r="V34" i="5"/>
  <c r="X15" i="5" s="1"/>
  <c r="X36" i="6" s="1"/>
  <c r="M34" i="5"/>
  <c r="O15" i="5" s="1"/>
  <c r="O36" i="6" s="1"/>
  <c r="E34" i="5"/>
  <c r="G15" i="5" s="1"/>
  <c r="G36" i="6" s="1"/>
  <c r="T34" i="5"/>
  <c r="V15" i="5" s="1"/>
  <c r="V36" i="6" s="1"/>
  <c r="Z34" i="5"/>
  <c r="AB15" i="5" s="1"/>
  <c r="AB36" i="6" s="1"/>
  <c r="J34" i="5"/>
  <c r="L15" i="5" s="1"/>
  <c r="L36" i="6" s="1"/>
  <c r="P34" i="5"/>
  <c r="R15" i="5" s="1"/>
  <c r="R36" i="6" s="1"/>
  <c r="X34" i="5"/>
  <c r="Z15" i="5" s="1"/>
  <c r="Z36" i="6" s="1"/>
  <c r="Y34" i="5"/>
  <c r="AA15" i="5" s="1"/>
  <c r="AA36" i="6" s="1"/>
  <c r="F78" i="4"/>
  <c r="D7" i="5"/>
  <c r="D56" i="5" s="1"/>
  <c r="D20" i="6" s="1"/>
  <c r="D28" i="6" s="1"/>
  <c r="E4" i="5"/>
  <c r="E6" i="5" s="1"/>
  <c r="B44" i="4"/>
  <c r="G44" i="4" s="1"/>
  <c r="A50" i="5"/>
  <c r="F4" i="5" l="1"/>
  <c r="E7" i="5"/>
  <c r="E56" i="5" s="1"/>
  <c r="B44" i="5"/>
  <c r="A44" i="5"/>
  <c r="A43" i="5"/>
  <c r="A42" i="5"/>
  <c r="F6" i="5" l="1"/>
  <c r="F7" i="5" s="1"/>
  <c r="F56" i="5" s="1"/>
  <c r="G4" i="5"/>
  <c r="G6" i="5" l="1"/>
  <c r="G7" i="5" s="1"/>
  <c r="G56" i="5" s="1"/>
  <c r="H4" i="5"/>
  <c r="D45" i="6"/>
  <c r="H6" i="5" l="1"/>
  <c r="H7" i="5" s="1"/>
  <c r="H56" i="5" s="1"/>
  <c r="I4" i="5"/>
  <c r="C29" i="4"/>
  <c r="C9" i="3"/>
  <c r="I6" i="5" l="1"/>
  <c r="I7" i="5" s="1"/>
  <c r="I56" i="5" s="1"/>
  <c r="J4" i="5"/>
  <c r="I33" i="4"/>
  <c r="D12" i="6"/>
  <c r="J6" i="5" l="1"/>
  <c r="J7" i="5" s="1"/>
  <c r="J56" i="5" s="1"/>
  <c r="K4" i="5"/>
  <c r="B43" i="5"/>
  <c r="K6" i="5" l="1"/>
  <c r="K7" i="5" s="1"/>
  <c r="K56" i="5" s="1"/>
  <c r="L4" i="5"/>
  <c r="L6" i="5" l="1"/>
  <c r="L7" i="5" s="1"/>
  <c r="L56" i="5" s="1"/>
  <c r="M4" i="5"/>
  <c r="E20" i="6"/>
  <c r="E28" i="6" s="1"/>
  <c r="Q33" i="10"/>
  <c r="R33" i="10"/>
  <c r="S33" i="10"/>
  <c r="T33" i="10"/>
  <c r="U33" i="10"/>
  <c r="V33" i="10"/>
  <c r="W33" i="10"/>
  <c r="X33" i="10"/>
  <c r="Y33" i="10"/>
  <c r="Z33" i="10"/>
  <c r="AA33" i="10"/>
  <c r="AB33" i="10"/>
  <c r="M6" i="5" l="1"/>
  <c r="M7" i="5" s="1"/>
  <c r="M56" i="5" s="1"/>
  <c r="N4" i="5"/>
  <c r="N6" i="5" s="1"/>
  <c r="N7" i="5" s="1"/>
  <c r="N56" i="5" s="1"/>
  <c r="F20" i="6"/>
  <c r="F28" i="6" s="1"/>
  <c r="O4" i="5" l="1"/>
  <c r="G20" i="6"/>
  <c r="G28" i="6" s="1"/>
  <c r="C35" i="10"/>
  <c r="C36" i="10" s="1"/>
  <c r="C44" i="10"/>
  <c r="C45" i="10" s="1"/>
  <c r="O6" i="5" l="1"/>
  <c r="O7" i="5" s="1"/>
  <c r="O56" i="5" s="1"/>
  <c r="P4" i="5"/>
  <c r="H20" i="6"/>
  <c r="H28" i="6" s="1"/>
  <c r="T10" i="5"/>
  <c r="U10" i="5"/>
  <c r="V10" i="5"/>
  <c r="W10" i="5"/>
  <c r="X10" i="5"/>
  <c r="Y10" i="5"/>
  <c r="Z10" i="5"/>
  <c r="AA10" i="5"/>
  <c r="AB10" i="5"/>
  <c r="Q10" i="5"/>
  <c r="R10" i="5"/>
  <c r="S10" i="5"/>
  <c r="P6" i="5" l="1"/>
  <c r="P7" i="5" s="1"/>
  <c r="P56" i="5" s="1"/>
  <c r="Q4" i="5"/>
  <c r="I20" i="6"/>
  <c r="I28" i="6" s="1"/>
  <c r="X50" i="6"/>
  <c r="Z50" i="6"/>
  <c r="W50" i="6"/>
  <c r="U50" i="6"/>
  <c r="Y50" i="6"/>
  <c r="S50" i="6"/>
  <c r="R50" i="6"/>
  <c r="V50" i="6"/>
  <c r="Q50" i="6"/>
  <c r="AB50" i="6"/>
  <c r="T50" i="6"/>
  <c r="AA50" i="6"/>
  <c r="F44" i="4"/>
  <c r="B47" i="5"/>
  <c r="Q6" i="5" l="1"/>
  <c r="Q7" i="5" s="1"/>
  <c r="Q56" i="5" s="1"/>
  <c r="R4" i="5"/>
  <c r="J20" i="6"/>
  <c r="J28" i="6" s="1"/>
  <c r="R6" i="5" l="1"/>
  <c r="R7" i="5" s="1"/>
  <c r="R56" i="5" s="1"/>
  <c r="S4" i="5"/>
  <c r="K20" i="6"/>
  <c r="K28" i="6" s="1"/>
  <c r="C23" i="10"/>
  <c r="S6" i="5" l="1"/>
  <c r="S7" i="5" s="1"/>
  <c r="S56" i="5" s="1"/>
  <c r="T4" i="5"/>
  <c r="T6" i="5" s="1"/>
  <c r="T7" i="5" s="1"/>
  <c r="T56" i="5" s="1"/>
  <c r="L20" i="6"/>
  <c r="L28" i="6" s="1"/>
  <c r="E9" i="5"/>
  <c r="M9" i="5"/>
  <c r="D9" i="5"/>
  <c r="D29" i="5" s="1"/>
  <c r="F9" i="5"/>
  <c r="N9" i="5"/>
  <c r="K9" i="5"/>
  <c r="G9" i="5"/>
  <c r="O9" i="5"/>
  <c r="H9" i="5"/>
  <c r="I9" i="5"/>
  <c r="J9" i="5"/>
  <c r="L9" i="5"/>
  <c r="P9" i="5"/>
  <c r="C13" i="10"/>
  <c r="C14" i="10" s="1"/>
  <c r="D13" i="6"/>
  <c r="D14" i="6"/>
  <c r="D15" i="6"/>
  <c r="D11" i="6"/>
  <c r="D8" i="6"/>
  <c r="U4" i="5" l="1"/>
  <c r="U6" i="5" s="1"/>
  <c r="U7" i="5" s="1"/>
  <c r="U56" i="5" s="1"/>
  <c r="M20" i="6"/>
  <c r="M28" i="6" s="1"/>
  <c r="AB69" i="6"/>
  <c r="N69" i="6"/>
  <c r="F69" i="6"/>
  <c r="R68" i="6"/>
  <c r="J68" i="6"/>
  <c r="Z69" i="6"/>
  <c r="D69" i="6"/>
  <c r="P68" i="6"/>
  <c r="H68" i="6"/>
  <c r="O69" i="6"/>
  <c r="AA69" i="6"/>
  <c r="M69" i="6"/>
  <c r="E69" i="6"/>
  <c r="Q68" i="6"/>
  <c r="I68" i="6"/>
  <c r="L69" i="6"/>
  <c r="X68" i="6"/>
  <c r="Y69" i="6"/>
  <c r="K69" i="6"/>
  <c r="AB68" i="6"/>
  <c r="O68" i="6"/>
  <c r="G68" i="6"/>
  <c r="X69" i="6"/>
  <c r="J69" i="6"/>
  <c r="AA68" i="6"/>
  <c r="N68" i="6"/>
  <c r="F68" i="6"/>
  <c r="G69" i="6"/>
  <c r="Q69" i="6"/>
  <c r="I69" i="6"/>
  <c r="Z68" i="6"/>
  <c r="M68" i="6"/>
  <c r="E68" i="6"/>
  <c r="P69" i="6"/>
  <c r="H69" i="6"/>
  <c r="Y68" i="6"/>
  <c r="L68" i="6"/>
  <c r="D68" i="6"/>
  <c r="K68" i="6"/>
  <c r="E82" i="6"/>
  <c r="M82" i="6"/>
  <c r="F82" i="6"/>
  <c r="N82" i="6"/>
  <c r="AB82" i="6"/>
  <c r="P82" i="6"/>
  <c r="I82" i="6"/>
  <c r="X82" i="6"/>
  <c r="Y82" i="6"/>
  <c r="L82" i="6"/>
  <c r="G82" i="6"/>
  <c r="O82" i="6"/>
  <c r="R82" i="6"/>
  <c r="H82" i="6"/>
  <c r="Q82" i="6"/>
  <c r="J82" i="6"/>
  <c r="K82" i="6"/>
  <c r="Z82" i="6"/>
  <c r="AA82" i="6"/>
  <c r="D83" i="6"/>
  <c r="M83" i="6"/>
  <c r="AA83" i="6"/>
  <c r="E83" i="6"/>
  <c r="P83" i="6"/>
  <c r="I83" i="6"/>
  <c r="J83" i="6"/>
  <c r="Y83" i="6"/>
  <c r="Z83" i="6"/>
  <c r="F83" i="6"/>
  <c r="N83" i="6"/>
  <c r="AB83" i="6"/>
  <c r="O83" i="6"/>
  <c r="H83" i="6"/>
  <c r="D82" i="6"/>
  <c r="Q83" i="6"/>
  <c r="X83" i="6"/>
  <c r="K83" i="6"/>
  <c r="L83" i="6"/>
  <c r="G83" i="6"/>
  <c r="E58" i="6"/>
  <c r="U58" i="6"/>
  <c r="K58" i="6"/>
  <c r="D58" i="6"/>
  <c r="F58" i="6"/>
  <c r="V58" i="6"/>
  <c r="L58" i="6"/>
  <c r="Z58" i="6"/>
  <c r="AA58" i="6"/>
  <c r="G58" i="6"/>
  <c r="W58" i="6"/>
  <c r="M58" i="6"/>
  <c r="Y58" i="6"/>
  <c r="P58" i="6"/>
  <c r="H58" i="6"/>
  <c r="X58" i="6"/>
  <c r="N58" i="6"/>
  <c r="I58" i="6"/>
  <c r="O58" i="6"/>
  <c r="J58" i="6"/>
  <c r="S58" i="6"/>
  <c r="Q58" i="6"/>
  <c r="T58" i="6"/>
  <c r="AB58" i="6"/>
  <c r="R58" i="6"/>
  <c r="U9" i="5"/>
  <c r="V9" i="5"/>
  <c r="Y9" i="5"/>
  <c r="Z9" i="5"/>
  <c r="AB9" i="5"/>
  <c r="W9" i="5"/>
  <c r="Q9" i="5"/>
  <c r="R9" i="5"/>
  <c r="AA9" i="5"/>
  <c r="T9" i="5"/>
  <c r="X9" i="5"/>
  <c r="S9" i="5"/>
  <c r="V4" i="5" l="1"/>
  <c r="V6" i="5" s="1"/>
  <c r="V7" i="5" s="1"/>
  <c r="V56" i="5" s="1"/>
  <c r="N20" i="6"/>
  <c r="N28" i="6" s="1"/>
  <c r="D10" i="6"/>
  <c r="D9" i="6"/>
  <c r="W4" i="5" l="1"/>
  <c r="W6" i="5" s="1"/>
  <c r="W7" i="5" s="1"/>
  <c r="W56" i="5" s="1"/>
  <c r="O20" i="6"/>
  <c r="O28" i="6" s="1"/>
  <c r="X4" i="5" l="1"/>
  <c r="X6" i="5" s="1"/>
  <c r="X7" i="5" s="1"/>
  <c r="X56" i="5" s="1"/>
  <c r="P20" i="6"/>
  <c r="P28" i="6" s="1"/>
  <c r="C5" i="13"/>
  <c r="B54" i="5"/>
  <c r="B10" i="3"/>
  <c r="F18" i="4"/>
  <c r="F20" i="4" s="1"/>
  <c r="B46" i="5"/>
  <c r="B45" i="5"/>
  <c r="Y4" i="5" l="1"/>
  <c r="Y6" i="5" s="1"/>
  <c r="Y7" i="5" s="1"/>
  <c r="Y56" i="5" s="1"/>
  <c r="Q20" i="6"/>
  <c r="Q28" i="6" s="1"/>
  <c r="B49" i="5"/>
  <c r="B12" i="3"/>
  <c r="F27" i="4"/>
  <c r="D12" i="5" s="1"/>
  <c r="Y59" i="5"/>
  <c r="Y45" i="6" s="1"/>
  <c r="S59" i="5"/>
  <c r="S45" i="6" s="1"/>
  <c r="L59" i="5"/>
  <c r="L45" i="6" s="1"/>
  <c r="K59" i="5"/>
  <c r="K45" i="6" s="1"/>
  <c r="Z59" i="5"/>
  <c r="Z45" i="6" s="1"/>
  <c r="V59" i="5"/>
  <c r="V45" i="6" s="1"/>
  <c r="T59" i="5"/>
  <c r="T45" i="6" s="1"/>
  <c r="F59" i="5"/>
  <c r="F45" i="6" s="1"/>
  <c r="N59" i="5"/>
  <c r="N45" i="6" s="1"/>
  <c r="AB59" i="5"/>
  <c r="AB45" i="6" s="1"/>
  <c r="E45" i="6"/>
  <c r="O59" i="5"/>
  <c r="O45" i="6" s="1"/>
  <c r="G59" i="5"/>
  <c r="G45" i="6" s="1"/>
  <c r="U59" i="5"/>
  <c r="U45" i="6" s="1"/>
  <c r="M59" i="5"/>
  <c r="M45" i="6" s="1"/>
  <c r="AA59" i="5"/>
  <c r="AA45" i="6" s="1"/>
  <c r="R59" i="5"/>
  <c r="R45" i="6" s="1"/>
  <c r="J59" i="5"/>
  <c r="J45" i="6" s="1"/>
  <c r="X59" i="5"/>
  <c r="X45" i="6" s="1"/>
  <c r="Q59" i="5"/>
  <c r="Q45" i="6" s="1"/>
  <c r="I59" i="5"/>
  <c r="I45" i="6" s="1"/>
  <c r="W59" i="5"/>
  <c r="W45" i="6" s="1"/>
  <c r="P59" i="5"/>
  <c r="P45" i="6" s="1"/>
  <c r="H59" i="5"/>
  <c r="H45" i="6" s="1"/>
  <c r="Z4" i="5" l="1"/>
  <c r="Z6" i="5" s="1"/>
  <c r="Z7" i="5" s="1"/>
  <c r="Z56" i="5" s="1"/>
  <c r="B36" i="5"/>
  <c r="R20" i="6"/>
  <c r="R28" i="6" s="1"/>
  <c r="C32" i="10"/>
  <c r="F33" i="4"/>
  <c r="E29" i="5"/>
  <c r="C36" i="5" s="1"/>
  <c r="C15" i="3"/>
  <c r="C14" i="3"/>
  <c r="C12" i="3"/>
  <c r="D33" i="10" s="1"/>
  <c r="D7" i="6"/>
  <c r="Q12" i="5"/>
  <c r="Y12" i="5"/>
  <c r="R12" i="5"/>
  <c r="Z12" i="5"/>
  <c r="S12" i="5"/>
  <c r="AA12" i="5"/>
  <c r="T12" i="5"/>
  <c r="AB12" i="5"/>
  <c r="U12" i="5"/>
  <c r="W12" i="5"/>
  <c r="X12" i="5"/>
  <c r="V12" i="5"/>
  <c r="N12" i="5"/>
  <c r="O12" i="5"/>
  <c r="P12" i="5"/>
  <c r="C22" i="3"/>
  <c r="C29" i="3"/>
  <c r="C25" i="3"/>
  <c r="C27" i="3"/>
  <c r="C30" i="3"/>
  <c r="C33" i="3"/>
  <c r="C31" i="3"/>
  <c r="C32" i="3"/>
  <c r="C35" i="3"/>
  <c r="C28" i="3"/>
  <c r="C26" i="3"/>
  <c r="C34" i="3"/>
  <c r="C36" i="3"/>
  <c r="H11" i="3"/>
  <c r="D63" i="5"/>
  <c r="E62" i="5" s="1"/>
  <c r="D59" i="6"/>
  <c r="C19" i="3"/>
  <c r="C18" i="3"/>
  <c r="C13" i="3"/>
  <c r="C20" i="3"/>
  <c r="C24" i="3"/>
  <c r="C17" i="3"/>
  <c r="C21" i="3"/>
  <c r="C23" i="3"/>
  <c r="C16" i="3"/>
  <c r="AA4" i="5" l="1"/>
  <c r="AA6" i="5" s="1"/>
  <c r="AA7" i="5" s="1"/>
  <c r="AA56" i="5" s="1"/>
  <c r="D17" i="5"/>
  <c r="D38" i="6" s="1"/>
  <c r="S20" i="6"/>
  <c r="S28" i="6" s="1"/>
  <c r="F29" i="5"/>
  <c r="D36" i="5" s="1"/>
  <c r="O29" i="6"/>
  <c r="G29" i="6"/>
  <c r="P29" i="6"/>
  <c r="D29" i="6"/>
  <c r="J29" i="6"/>
  <c r="Q29" i="6"/>
  <c r="M29" i="6"/>
  <c r="F29" i="6"/>
  <c r="E29" i="6"/>
  <c r="R29" i="6"/>
  <c r="K29" i="6"/>
  <c r="I29" i="6"/>
  <c r="H29" i="6"/>
  <c r="N29" i="6"/>
  <c r="L29" i="6"/>
  <c r="P33" i="10"/>
  <c r="F33" i="10"/>
  <c r="K33" i="10"/>
  <c r="J33" i="10"/>
  <c r="I33" i="10"/>
  <c r="E33" i="10"/>
  <c r="G33" i="10"/>
  <c r="L33" i="10"/>
  <c r="N33" i="10"/>
  <c r="H33" i="10"/>
  <c r="M33" i="10"/>
  <c r="O33" i="10"/>
  <c r="C37" i="10"/>
  <c r="C38" i="10" s="1"/>
  <c r="C46" i="10"/>
  <c r="C47" i="10" s="1"/>
  <c r="E59" i="6"/>
  <c r="B13" i="3"/>
  <c r="D12" i="3"/>
  <c r="E12" i="3" s="1"/>
  <c r="AB4" i="5" l="1"/>
  <c r="AB6" i="5" s="1"/>
  <c r="AB7" i="5" s="1"/>
  <c r="AB56" i="5" s="1"/>
  <c r="S29" i="6"/>
  <c r="E17" i="5"/>
  <c r="E38" i="6" s="1"/>
  <c r="F17" i="5"/>
  <c r="F38" i="6" s="1"/>
  <c r="T20" i="6"/>
  <c r="T28" i="6" s="1"/>
  <c r="G29" i="5"/>
  <c r="E36" i="5" s="1"/>
  <c r="B14" i="3"/>
  <c r="B15" i="3" s="1"/>
  <c r="B4" i="3"/>
  <c r="D10" i="5" s="1"/>
  <c r="D13" i="3"/>
  <c r="E13" i="3" s="1"/>
  <c r="E63" i="5"/>
  <c r="F62" i="5" s="1"/>
  <c r="T29" i="6" l="1"/>
  <c r="V20" i="6"/>
  <c r="V28" i="6" s="1"/>
  <c r="H29" i="5"/>
  <c r="F36" i="5" s="1"/>
  <c r="D50" i="6"/>
  <c r="B16" i="3"/>
  <c r="B17" i="3" s="1"/>
  <c r="D14" i="3"/>
  <c r="E14" i="3" s="1"/>
  <c r="D4" i="3" s="1"/>
  <c r="F10" i="5" s="1"/>
  <c r="C4" i="3"/>
  <c r="E10" i="5" s="1"/>
  <c r="D15" i="3"/>
  <c r="E15" i="3" s="1"/>
  <c r="F63" i="5"/>
  <c r="F59" i="6"/>
  <c r="G17" i="5" l="1"/>
  <c r="G38" i="6" s="1"/>
  <c r="W20" i="6"/>
  <c r="W28" i="6" s="1"/>
  <c r="U20" i="6"/>
  <c r="U28" i="6" s="1"/>
  <c r="I29" i="5"/>
  <c r="G36" i="5" s="1"/>
  <c r="E50" i="6"/>
  <c r="F50" i="6"/>
  <c r="V29" i="6"/>
  <c r="D16" i="3"/>
  <c r="E16" i="3" s="1"/>
  <c r="F4" i="3" s="1"/>
  <c r="H10" i="5" s="1"/>
  <c r="E4" i="3"/>
  <c r="G10" i="5" s="1"/>
  <c r="G62" i="5"/>
  <c r="D17" i="3"/>
  <c r="E17" i="3" s="1"/>
  <c r="B18" i="3"/>
  <c r="U29" i="6" l="1"/>
  <c r="H17" i="5"/>
  <c r="H38" i="6" s="1"/>
  <c r="X20" i="6"/>
  <c r="X28" i="6" s="1"/>
  <c r="J29" i="5"/>
  <c r="H36" i="5" s="1"/>
  <c r="G50" i="6"/>
  <c r="H50" i="6"/>
  <c r="W29" i="6"/>
  <c r="G4" i="3"/>
  <c r="I10" i="5" s="1"/>
  <c r="G59" i="6"/>
  <c r="G63" i="5"/>
  <c r="H62" i="5" s="1"/>
  <c r="D18" i="3"/>
  <c r="E18" i="3" s="1"/>
  <c r="B19" i="3"/>
  <c r="I17" i="5" l="1"/>
  <c r="I38" i="6" s="1"/>
  <c r="Y20" i="6"/>
  <c r="Y28" i="6" s="1"/>
  <c r="K29" i="5"/>
  <c r="I36" i="5" s="1"/>
  <c r="I50" i="6"/>
  <c r="X29" i="6"/>
  <c r="H4" i="3"/>
  <c r="J10" i="5" s="1"/>
  <c r="H63" i="5"/>
  <c r="I62" i="5" s="1"/>
  <c r="H59" i="6"/>
  <c r="B20" i="3"/>
  <c r="D19" i="3"/>
  <c r="E19" i="3" s="1"/>
  <c r="J17" i="5" l="1"/>
  <c r="J38" i="6" s="1"/>
  <c r="Z20" i="6"/>
  <c r="Z28" i="6" s="1"/>
  <c r="L29" i="5"/>
  <c r="J36" i="5" s="1"/>
  <c r="J50" i="6"/>
  <c r="Y29" i="6"/>
  <c r="I4" i="3"/>
  <c r="K10" i="5" s="1"/>
  <c r="I63" i="5"/>
  <c r="J62" i="5" s="1"/>
  <c r="I59" i="6"/>
  <c r="B21" i="3"/>
  <c r="D20" i="3"/>
  <c r="E20" i="3" s="1"/>
  <c r="K17" i="5" l="1"/>
  <c r="K38" i="6" s="1"/>
  <c r="AA20" i="6"/>
  <c r="AA28" i="6" s="1"/>
  <c r="M29" i="5"/>
  <c r="K36" i="5" s="1"/>
  <c r="K50" i="6"/>
  <c r="Z29" i="6"/>
  <c r="J4" i="3"/>
  <c r="L10" i="5" s="1"/>
  <c r="J63" i="5"/>
  <c r="K62" i="5" s="1"/>
  <c r="J59" i="6"/>
  <c r="D21" i="3"/>
  <c r="E21" i="3" s="1"/>
  <c r="B22" i="3"/>
  <c r="L17" i="5" l="1"/>
  <c r="L38" i="6" s="1"/>
  <c r="AB20" i="6"/>
  <c r="AB28" i="6" s="1"/>
  <c r="N29" i="5"/>
  <c r="L36" i="5" s="1"/>
  <c r="L50" i="6"/>
  <c r="AA29" i="6"/>
  <c r="K4" i="3"/>
  <c r="M10" i="5" s="1"/>
  <c r="K63" i="5"/>
  <c r="L62" i="5" s="1"/>
  <c r="K59" i="6"/>
  <c r="D22" i="3"/>
  <c r="E22" i="3" s="1"/>
  <c r="B23" i="3"/>
  <c r="M17" i="5" l="1"/>
  <c r="M38" i="6" s="1"/>
  <c r="O29" i="5"/>
  <c r="M36" i="5" s="1"/>
  <c r="M50" i="6"/>
  <c r="AB29" i="6"/>
  <c r="L4" i="3"/>
  <c r="N10" i="5" s="1"/>
  <c r="L63" i="5"/>
  <c r="M62" i="5" s="1"/>
  <c r="L59" i="6"/>
  <c r="B24" i="3"/>
  <c r="D23" i="3"/>
  <c r="E23" i="3" s="1"/>
  <c r="N17" i="5" l="1"/>
  <c r="N38" i="6" s="1"/>
  <c r="P29" i="5"/>
  <c r="N36" i="5" s="1"/>
  <c r="N50" i="6"/>
  <c r="M4" i="3"/>
  <c r="O10" i="5" s="1"/>
  <c r="B25" i="3"/>
  <c r="M63" i="5"/>
  <c r="N62" i="5" s="1"/>
  <c r="M59" i="6"/>
  <c r="D24" i="3"/>
  <c r="O17" i="5" l="1"/>
  <c r="O38" i="6" s="1"/>
  <c r="Q29" i="5"/>
  <c r="O36" i="5" s="1"/>
  <c r="O50" i="6"/>
  <c r="E24" i="3"/>
  <c r="D25" i="3"/>
  <c r="E25" i="3" s="1"/>
  <c r="O4" i="3" s="1"/>
  <c r="B26" i="3"/>
  <c r="N63" i="5"/>
  <c r="O62" i="5" s="1"/>
  <c r="N59" i="6"/>
  <c r="P17" i="5" l="1"/>
  <c r="P38" i="6" s="1"/>
  <c r="R29" i="5"/>
  <c r="P36" i="5" s="1"/>
  <c r="N4" i="3"/>
  <c r="P10" i="5" s="1"/>
  <c r="H14" i="3"/>
  <c r="H15" i="3" s="1"/>
  <c r="H16" i="3" s="1"/>
  <c r="B27" i="3"/>
  <c r="D26" i="3"/>
  <c r="E26" i="3" s="1"/>
  <c r="P4" i="3" s="1"/>
  <c r="O63" i="5"/>
  <c r="O59" i="6"/>
  <c r="Q17" i="5" l="1"/>
  <c r="Q38" i="6" s="1"/>
  <c r="S29" i="5"/>
  <c r="Q36" i="5" s="1"/>
  <c r="P50" i="6"/>
  <c r="B28" i="3"/>
  <c r="D27" i="3"/>
  <c r="E27" i="3" s="1"/>
  <c r="Q4" i="3" s="1"/>
  <c r="P62" i="5"/>
  <c r="P59" i="6" s="1"/>
  <c r="R17" i="5" l="1"/>
  <c r="R38" i="6" s="1"/>
  <c r="T29" i="5"/>
  <c r="R36" i="5" s="1"/>
  <c r="B29" i="3"/>
  <c r="D28" i="3"/>
  <c r="E28" i="3" s="1"/>
  <c r="R4" i="3" s="1"/>
  <c r="P63" i="5"/>
  <c r="Q62" i="5" s="1"/>
  <c r="S17" i="5" l="1"/>
  <c r="S38" i="6" s="1"/>
  <c r="U29" i="5"/>
  <c r="S36" i="5" s="1"/>
  <c r="B30" i="3"/>
  <c r="D29" i="3"/>
  <c r="E29" i="3" s="1"/>
  <c r="S4" i="3" s="1"/>
  <c r="Q63" i="5"/>
  <c r="R62" i="5" s="1"/>
  <c r="Q59" i="6"/>
  <c r="T17" i="5" l="1"/>
  <c r="T38" i="6" s="1"/>
  <c r="V29" i="5"/>
  <c r="T36" i="5" s="1"/>
  <c r="B31" i="3"/>
  <c r="D30" i="3"/>
  <c r="E30" i="3" s="1"/>
  <c r="T4" i="3" s="1"/>
  <c r="R63" i="5"/>
  <c r="S62" i="5" s="1"/>
  <c r="R59" i="6"/>
  <c r="U17" i="5" l="1"/>
  <c r="U38" i="6" s="1"/>
  <c r="W29" i="5"/>
  <c r="U36" i="5" s="1"/>
  <c r="B32" i="3"/>
  <c r="D31" i="3"/>
  <c r="E31" i="3" s="1"/>
  <c r="U4" i="3" s="1"/>
  <c r="S63" i="5"/>
  <c r="T62" i="5" s="1"/>
  <c r="S59" i="6"/>
  <c r="V17" i="5" l="1"/>
  <c r="V38" i="6" s="1"/>
  <c r="X29" i="5"/>
  <c r="V36" i="5" s="1"/>
  <c r="B33" i="3"/>
  <c r="D32" i="3"/>
  <c r="E32" i="3" s="1"/>
  <c r="V4" i="3" s="1"/>
  <c r="T63" i="5"/>
  <c r="U62" i="5" s="1"/>
  <c r="T59" i="6"/>
  <c r="W17" i="5" l="1"/>
  <c r="W38" i="6" s="1"/>
  <c r="Y29" i="5"/>
  <c r="W36" i="5" s="1"/>
  <c r="B34" i="3"/>
  <c r="D33" i="3"/>
  <c r="E33" i="3" s="1"/>
  <c r="W4" i="3" s="1"/>
  <c r="U63" i="5"/>
  <c r="V62" i="5" s="1"/>
  <c r="U59" i="6"/>
  <c r="X17" i="5" l="1"/>
  <c r="X38" i="6" s="1"/>
  <c r="Z29" i="5"/>
  <c r="X36" i="5" s="1"/>
  <c r="B35" i="3"/>
  <c r="D34" i="3"/>
  <c r="E34" i="3" s="1"/>
  <c r="X4" i="3" s="1"/>
  <c r="V63" i="5"/>
  <c r="W62" i="5" s="1"/>
  <c r="V59" i="6"/>
  <c r="Y17" i="5" l="1"/>
  <c r="Y38" i="6" s="1"/>
  <c r="AA29" i="5"/>
  <c r="Y36" i="5" s="1"/>
  <c r="B36" i="3"/>
  <c r="D35" i="3"/>
  <c r="E35" i="3" s="1"/>
  <c r="Y4" i="3" s="1"/>
  <c r="W63" i="5"/>
  <c r="W59" i="6"/>
  <c r="Z17" i="5" l="1"/>
  <c r="Z38" i="6" s="1"/>
  <c r="AB29" i="5"/>
  <c r="Z36" i="5" s="1"/>
  <c r="D36" i="3"/>
  <c r="E36" i="3" s="1"/>
  <c r="Z4" i="3" s="1"/>
  <c r="X62" i="5"/>
  <c r="X59" i="6" s="1"/>
  <c r="AB17" i="5" l="1"/>
  <c r="AB38" i="6" s="1"/>
  <c r="AA17" i="5"/>
  <c r="AA38" i="6" s="1"/>
  <c r="X63" i="5"/>
  <c r="Y62" i="5" l="1"/>
  <c r="Y59" i="6" s="1"/>
  <c r="Y63" i="5" l="1"/>
  <c r="Z62" i="5" s="1"/>
  <c r="Z59" i="6" s="1"/>
  <c r="Z63" i="5" l="1"/>
  <c r="AA62" i="5" s="1"/>
  <c r="AA63" i="5" s="1"/>
  <c r="AB62" i="5" s="1"/>
  <c r="AA59" i="6" l="1"/>
  <c r="AB63" i="5"/>
  <c r="AB59" i="6"/>
  <c r="C24" i="10" l="1"/>
  <c r="D40" i="6" l="1"/>
  <c r="E40" i="6"/>
  <c r="F40" i="6"/>
  <c r="F43" i="6" s="1"/>
  <c r="F48" i="6" s="1"/>
  <c r="G40" i="6"/>
  <c r="G43" i="6" s="1"/>
  <c r="G48" i="6" s="1"/>
  <c r="H40" i="6"/>
  <c r="H43" i="6" s="1"/>
  <c r="H48" i="6" s="1"/>
  <c r="I40" i="6"/>
  <c r="I43" i="6" s="1"/>
  <c r="I48" i="6" s="1"/>
  <c r="J40" i="6"/>
  <c r="J43" i="6" s="1"/>
  <c r="J48" i="6" s="1"/>
  <c r="K40" i="6"/>
  <c r="K43" i="6" s="1"/>
  <c r="K48" i="6" s="1"/>
  <c r="L40" i="6"/>
  <c r="L43" i="6" s="1"/>
  <c r="L48" i="6" s="1"/>
  <c r="M40" i="6"/>
  <c r="M43" i="6" s="1"/>
  <c r="M48" i="6" s="1"/>
  <c r="N40" i="6"/>
  <c r="N43" i="6" s="1"/>
  <c r="N48" i="6" s="1"/>
  <c r="O40" i="6"/>
  <c r="O43" i="6" s="1"/>
  <c r="O48" i="6" s="1"/>
  <c r="P40" i="6"/>
  <c r="P43" i="6" s="1"/>
  <c r="P48" i="6" s="1"/>
  <c r="Q40" i="6"/>
  <c r="Q43" i="6" s="1"/>
  <c r="Q48" i="6" s="1"/>
  <c r="R40" i="6"/>
  <c r="R43" i="6" s="1"/>
  <c r="R48" i="6" s="1"/>
  <c r="S40" i="6"/>
  <c r="S43" i="6" s="1"/>
  <c r="S48" i="6" s="1"/>
  <c r="T40" i="6"/>
  <c r="T43" i="6" s="1"/>
  <c r="T48" i="6" s="1"/>
  <c r="U40" i="6"/>
  <c r="U43" i="6" s="1"/>
  <c r="U48" i="6" s="1"/>
  <c r="V40" i="6"/>
  <c r="V43" i="6" s="1"/>
  <c r="V48" i="6" s="1"/>
  <c r="W40" i="6"/>
  <c r="W43" i="6" s="1"/>
  <c r="W48" i="6" s="1"/>
  <c r="X40" i="6"/>
  <c r="X43" i="6" s="1"/>
  <c r="X48" i="6" s="1"/>
  <c r="Y40" i="6"/>
  <c r="Y43" i="6" s="1"/>
  <c r="Y48" i="6" s="1"/>
  <c r="Z40" i="6"/>
  <c r="Z43" i="6" s="1"/>
  <c r="Z48" i="6" s="1"/>
  <c r="AA40" i="6"/>
  <c r="AA43" i="6" s="1"/>
  <c r="AA48" i="6" s="1"/>
  <c r="AB40" i="6"/>
  <c r="AB43" i="6" s="1"/>
  <c r="AB48" i="6" s="1"/>
  <c r="D38" i="5"/>
  <c r="F11" i="5" s="1"/>
  <c r="F38" i="5"/>
  <c r="H11" i="5" s="1"/>
  <c r="L38" i="5"/>
  <c r="N11" i="5" s="1"/>
  <c r="N38" i="5"/>
  <c r="P11" i="5" s="1"/>
  <c r="T38" i="5"/>
  <c r="V11" i="5" s="1"/>
  <c r="V38" i="5"/>
  <c r="X11" i="5" s="1"/>
  <c r="B38" i="5"/>
  <c r="D11" i="5" s="1"/>
  <c r="D19" i="5" s="1"/>
  <c r="D22" i="5" s="1"/>
  <c r="C38" i="5"/>
  <c r="E38" i="5"/>
  <c r="G38" i="5"/>
  <c r="I11" i="5" s="1"/>
  <c r="H38" i="5"/>
  <c r="J11" i="5" s="1"/>
  <c r="I38" i="5"/>
  <c r="J38" i="5"/>
  <c r="L11" i="5" s="1"/>
  <c r="K38" i="5"/>
  <c r="M38" i="5"/>
  <c r="O38" i="5"/>
  <c r="P38" i="5"/>
  <c r="R11" i="5" s="1"/>
  <c r="Q38" i="5"/>
  <c r="S11" i="5" s="1"/>
  <c r="R38" i="5"/>
  <c r="T11" i="5" s="1"/>
  <c r="S38" i="5"/>
  <c r="U38" i="5"/>
  <c r="W38" i="5"/>
  <c r="X38" i="5"/>
  <c r="Z11" i="5" s="1"/>
  <c r="Y38" i="5"/>
  <c r="Z38" i="5"/>
  <c r="AB11" i="5" s="1"/>
  <c r="D51" i="6" l="1"/>
  <c r="D43" i="6"/>
  <c r="D48" i="6" s="1"/>
  <c r="E43" i="6"/>
  <c r="E48" i="6" s="1"/>
  <c r="Q11" i="5"/>
  <c r="Q19" i="5" s="1"/>
  <c r="AA11" i="5"/>
  <c r="AA19" i="5" s="1"/>
  <c r="W11" i="5"/>
  <c r="W51" i="6" s="1"/>
  <c r="W54" i="6" s="1"/>
  <c r="W77" i="6" s="1"/>
  <c r="K11" i="5"/>
  <c r="K51" i="6" s="1"/>
  <c r="K54" i="6" s="1"/>
  <c r="K77" i="6" s="1"/>
  <c r="Y11" i="5"/>
  <c r="Y19" i="5" s="1"/>
  <c r="U11" i="5"/>
  <c r="U19" i="5" s="1"/>
  <c r="G11" i="5"/>
  <c r="G51" i="6" s="1"/>
  <c r="G54" i="6" s="1"/>
  <c r="G77" i="6" s="1"/>
  <c r="G78" i="6" s="1"/>
  <c r="G79" i="6" s="1"/>
  <c r="G80" i="6" s="1"/>
  <c r="E11" i="5"/>
  <c r="E51" i="6" s="1"/>
  <c r="O11" i="5"/>
  <c r="O51" i="6" s="1"/>
  <c r="O54" i="6" s="1"/>
  <c r="O77" i="6" s="1"/>
  <c r="M11" i="5"/>
  <c r="F51" i="6"/>
  <c r="F54" i="6" s="1"/>
  <c r="F77" i="6" s="1"/>
  <c r="T51" i="6"/>
  <c r="T54" i="6" s="1"/>
  <c r="T77" i="6" s="1"/>
  <c r="T19" i="5"/>
  <c r="J51" i="6"/>
  <c r="J54" i="6" s="1"/>
  <c r="J77" i="6" s="1"/>
  <c r="H51" i="6"/>
  <c r="H54" i="6" s="1"/>
  <c r="H77" i="6" s="1"/>
  <c r="S19" i="5"/>
  <c r="S51" i="6"/>
  <c r="S54" i="6" s="1"/>
  <c r="S77" i="6" s="1"/>
  <c r="I51" i="6"/>
  <c r="I54" i="6" s="1"/>
  <c r="I77" i="6" s="1"/>
  <c r="X19" i="5"/>
  <c r="X51" i="6"/>
  <c r="X54" i="6" s="1"/>
  <c r="X77" i="6" s="1"/>
  <c r="P19" i="5"/>
  <c r="P51" i="6"/>
  <c r="P54" i="6" s="1"/>
  <c r="P77" i="6" s="1"/>
  <c r="AB51" i="6"/>
  <c r="AB54" i="6" s="1"/>
  <c r="AB77" i="6" s="1"/>
  <c r="AB19" i="5"/>
  <c r="R19" i="5"/>
  <c r="R51" i="6"/>
  <c r="R54" i="6" s="1"/>
  <c r="R77" i="6" s="1"/>
  <c r="V51" i="6"/>
  <c r="V54" i="6" s="1"/>
  <c r="V77" i="6" s="1"/>
  <c r="V19" i="5"/>
  <c r="N51" i="6"/>
  <c r="N54" i="6" s="1"/>
  <c r="N77" i="6" s="1"/>
  <c r="N19" i="5"/>
  <c r="Z19" i="5"/>
  <c r="Z51" i="6"/>
  <c r="Z54" i="6" s="1"/>
  <c r="Z77" i="6" s="1"/>
  <c r="L51" i="6"/>
  <c r="L54" i="6" s="1"/>
  <c r="L77" i="6" s="1"/>
  <c r="V22" i="5" l="1"/>
  <c r="V23" i="6" s="1"/>
  <c r="V24" i="6" s="1"/>
  <c r="T22" i="5"/>
  <c r="T23" i="6" s="1"/>
  <c r="T24" i="6" s="1"/>
  <c r="AA22" i="5"/>
  <c r="AA23" i="6" s="1"/>
  <c r="AA24" i="6" s="1"/>
  <c r="Y22" i="5"/>
  <c r="Y23" i="6" s="1"/>
  <c r="Y24" i="6" s="1"/>
  <c r="Q22" i="5"/>
  <c r="Q23" i="6" s="1"/>
  <c r="Q24" i="6" s="1"/>
  <c r="X22" i="5"/>
  <c r="X23" i="6" s="1"/>
  <c r="X24" i="6" s="1"/>
  <c r="R22" i="5"/>
  <c r="R23" i="6" s="1"/>
  <c r="R24" i="6" s="1"/>
  <c r="AB22" i="5"/>
  <c r="AB23" i="6" s="1"/>
  <c r="AB24" i="6" s="1"/>
  <c r="S22" i="5"/>
  <c r="S23" i="6" s="1"/>
  <c r="S24" i="6" s="1"/>
  <c r="P22" i="5"/>
  <c r="P23" i="6" s="1"/>
  <c r="P24" i="6" s="1"/>
  <c r="Z22" i="5"/>
  <c r="Z23" i="6" s="1"/>
  <c r="Z24" i="6" s="1"/>
  <c r="N22" i="5"/>
  <c r="N23" i="6" s="1"/>
  <c r="N24" i="6" s="1"/>
  <c r="U22" i="5"/>
  <c r="U23" i="6" s="1"/>
  <c r="U24" i="6" s="1"/>
  <c r="Q51" i="6"/>
  <c r="Q54" i="6" s="1"/>
  <c r="Q77" i="6" s="1"/>
  <c r="Q81" i="6" s="1"/>
  <c r="E54" i="6"/>
  <c r="E77" i="6" s="1"/>
  <c r="E78" i="6" s="1"/>
  <c r="E79" i="6" s="1"/>
  <c r="E80" i="6" s="1"/>
  <c r="W19" i="5"/>
  <c r="O19" i="5"/>
  <c r="D54" i="6"/>
  <c r="D77" i="6" s="1"/>
  <c r="M51" i="6"/>
  <c r="M54" i="6" s="1"/>
  <c r="M77" i="6" s="1"/>
  <c r="M78" i="6" s="1"/>
  <c r="M79" i="6" s="1"/>
  <c r="M80" i="6" s="1"/>
  <c r="Y51" i="6"/>
  <c r="Y54" i="6" s="1"/>
  <c r="Y77" i="6" s="1"/>
  <c r="Y81" i="6" s="1"/>
  <c r="AA51" i="6"/>
  <c r="AA54" i="6" s="1"/>
  <c r="AA77" i="6" s="1"/>
  <c r="AA78" i="6" s="1"/>
  <c r="AA79" i="6" s="1"/>
  <c r="AA80" i="6" s="1"/>
  <c r="U51" i="6"/>
  <c r="U54" i="6" s="1"/>
  <c r="U77" i="6" s="1"/>
  <c r="G81" i="6"/>
  <c r="G84" i="6" s="1"/>
  <c r="G85" i="6" s="1"/>
  <c r="G20" i="10" s="1"/>
  <c r="G21" i="10" s="1"/>
  <c r="W78" i="6"/>
  <c r="W79" i="6" s="1"/>
  <c r="W80" i="6" s="1"/>
  <c r="W81" i="6"/>
  <c r="S81" i="6"/>
  <c r="S78" i="6"/>
  <c r="S79" i="6" s="1"/>
  <c r="S80" i="6" s="1"/>
  <c r="R81" i="6"/>
  <c r="R78" i="6"/>
  <c r="R79" i="6" s="1"/>
  <c r="R80" i="6" s="1"/>
  <c r="I81" i="6"/>
  <c r="I78" i="6"/>
  <c r="I79" i="6" s="1"/>
  <c r="I80" i="6" s="1"/>
  <c r="F81" i="6"/>
  <c r="F78" i="6"/>
  <c r="F79" i="6" s="1"/>
  <c r="F80" i="6" s="1"/>
  <c r="J81" i="6"/>
  <c r="J78" i="6"/>
  <c r="J79" i="6" s="1"/>
  <c r="J80" i="6" s="1"/>
  <c r="AB78" i="6"/>
  <c r="AB79" i="6" s="1"/>
  <c r="AB80" i="6" s="1"/>
  <c r="AB81" i="6"/>
  <c r="P81" i="6"/>
  <c r="P78" i="6"/>
  <c r="P79" i="6" s="1"/>
  <c r="P80" i="6" s="1"/>
  <c r="H78" i="6"/>
  <c r="H79" i="6" s="1"/>
  <c r="H80" i="6" s="1"/>
  <c r="H81" i="6"/>
  <c r="K81" i="6"/>
  <c r="K78" i="6"/>
  <c r="K79" i="6" s="1"/>
  <c r="K80" i="6" s="1"/>
  <c r="O78" i="6"/>
  <c r="O79" i="6" s="1"/>
  <c r="O80" i="6" s="1"/>
  <c r="O81" i="6"/>
  <c r="L78" i="6"/>
  <c r="L79" i="6" s="1"/>
  <c r="L80" i="6" s="1"/>
  <c r="L81" i="6"/>
  <c r="Z81" i="6"/>
  <c r="Z78" i="6"/>
  <c r="Z79" i="6" s="1"/>
  <c r="Z80" i="6" s="1"/>
  <c r="N78" i="6"/>
  <c r="N79" i="6" s="1"/>
  <c r="N80" i="6" s="1"/>
  <c r="N81" i="6"/>
  <c r="T78" i="6"/>
  <c r="T79" i="6" s="1"/>
  <c r="T80" i="6" s="1"/>
  <c r="T81" i="6"/>
  <c r="V78" i="6"/>
  <c r="V79" i="6" s="1"/>
  <c r="V80" i="6" s="1"/>
  <c r="V81" i="6"/>
  <c r="X81" i="6"/>
  <c r="X78" i="6"/>
  <c r="X79" i="6" s="1"/>
  <c r="X80" i="6" s="1"/>
  <c r="O22" i="5" l="1"/>
  <c r="O23" i="6" s="1"/>
  <c r="O24" i="6" s="1"/>
  <c r="W22" i="5"/>
  <c r="W23" i="6" s="1"/>
  <c r="W24" i="6" s="1"/>
  <c r="Q78" i="6"/>
  <c r="Q79" i="6" s="1"/>
  <c r="Q80" i="6" s="1"/>
  <c r="Q84" i="6" s="1"/>
  <c r="Q85" i="6" s="1"/>
  <c r="Q86" i="6" s="1"/>
  <c r="P84" i="6"/>
  <c r="P85" i="6" s="1"/>
  <c r="P20" i="10" s="1"/>
  <c r="P21" i="10" s="1"/>
  <c r="I84" i="6"/>
  <c r="I85" i="6" s="1"/>
  <c r="I86" i="6" s="1"/>
  <c r="E81" i="6"/>
  <c r="E84" i="6" s="1"/>
  <c r="E85" i="6" s="1"/>
  <c r="E20" i="10" s="1"/>
  <c r="E21" i="10" s="1"/>
  <c r="E22" i="10" s="1"/>
  <c r="E23" i="10" s="1"/>
  <c r="Z84" i="6"/>
  <c r="Z85" i="6" s="1"/>
  <c r="Z86" i="6" s="1"/>
  <c r="F84" i="6"/>
  <c r="F85" i="6" s="1"/>
  <c r="F86" i="6" s="1"/>
  <c r="D78" i="6"/>
  <c r="D79" i="6" s="1"/>
  <c r="D80" i="6" s="1"/>
  <c r="D81" i="6"/>
  <c r="N84" i="6"/>
  <c r="N85" i="6" s="1"/>
  <c r="N86" i="6" s="1"/>
  <c r="O84" i="6"/>
  <c r="O85" i="6" s="1"/>
  <c r="O20" i="10" s="1"/>
  <c r="O21" i="10" s="1"/>
  <c r="AB84" i="6"/>
  <c r="AB85" i="6" s="1"/>
  <c r="AB20" i="10" s="1"/>
  <c r="AB21" i="10" s="1"/>
  <c r="K84" i="6"/>
  <c r="K85" i="6" s="1"/>
  <c r="K20" i="10" s="1"/>
  <c r="K21" i="10" s="1"/>
  <c r="J84" i="6"/>
  <c r="J85" i="6" s="1"/>
  <c r="J86" i="6" s="1"/>
  <c r="H84" i="6"/>
  <c r="H85" i="6" s="1"/>
  <c r="H86" i="6" s="1"/>
  <c r="G86" i="6"/>
  <c r="L84" i="6"/>
  <c r="L85" i="6" s="1"/>
  <c r="L86" i="6" s="1"/>
  <c r="X84" i="6"/>
  <c r="X85" i="6" s="1"/>
  <c r="X86" i="6" s="1"/>
  <c r="R84" i="6"/>
  <c r="R85" i="6" s="1"/>
  <c r="R86" i="6" s="1"/>
  <c r="M81" i="6"/>
  <c r="M84" i="6" s="1"/>
  <c r="M85" i="6" s="1"/>
  <c r="Y78" i="6"/>
  <c r="Y79" i="6" s="1"/>
  <c r="Y80" i="6" s="1"/>
  <c r="Y84" i="6" s="1"/>
  <c r="Y85" i="6" s="1"/>
  <c r="U78" i="6"/>
  <c r="U79" i="6" s="1"/>
  <c r="U80" i="6" s="1"/>
  <c r="U81" i="6"/>
  <c r="AA81" i="6"/>
  <c r="AA84" i="6" s="1"/>
  <c r="AA85" i="6" s="1"/>
  <c r="AA86" i="6" s="1"/>
  <c r="W82" i="6"/>
  <c r="W84" i="6" s="1"/>
  <c r="W85" i="6" s="1"/>
  <c r="W20" i="10" s="1"/>
  <c r="W21" i="10" s="1"/>
  <c r="W44" i="10" s="1"/>
  <c r="W45" i="10" s="1"/>
  <c r="W46" i="10" s="1"/>
  <c r="T82" i="6"/>
  <c r="T84" i="6" s="1"/>
  <c r="T85" i="6" s="1"/>
  <c r="G44" i="10"/>
  <c r="G45" i="10" s="1"/>
  <c r="G46" i="10" s="1"/>
  <c r="G22" i="10"/>
  <c r="G23" i="10" s="1"/>
  <c r="V82" i="6"/>
  <c r="V84" i="6" s="1"/>
  <c r="V85" i="6" s="1"/>
  <c r="S82" i="6"/>
  <c r="F20" i="10" l="1"/>
  <c r="F21" i="10" s="1"/>
  <c r="F22" i="10" s="1"/>
  <c r="F23" i="10" s="1"/>
  <c r="Z20" i="10"/>
  <c r="Z21" i="10" s="1"/>
  <c r="Z44" i="10" s="1"/>
  <c r="Z45" i="10" s="1"/>
  <c r="Z46" i="10" s="1"/>
  <c r="I20" i="10"/>
  <c r="I21" i="10" s="1"/>
  <c r="I22" i="10" s="1"/>
  <c r="I23" i="10" s="1"/>
  <c r="P86" i="6"/>
  <c r="Q20" i="10"/>
  <c r="Q21" i="10" s="1"/>
  <c r="Q44" i="10" s="1"/>
  <c r="Q45" i="10" s="1"/>
  <c r="Q46" i="10" s="1"/>
  <c r="J20" i="10"/>
  <c r="J21" i="10" s="1"/>
  <c r="J22" i="10" s="1"/>
  <c r="J23" i="10" s="1"/>
  <c r="K86" i="6"/>
  <c r="D84" i="6"/>
  <c r="D85" i="6" s="1"/>
  <c r="D86" i="6" s="1"/>
  <c r="L20" i="10"/>
  <c r="L21" i="10" s="1"/>
  <c r="L44" i="10" s="1"/>
  <c r="L45" i="10" s="1"/>
  <c r="L46" i="10" s="1"/>
  <c r="N20" i="10"/>
  <c r="N21" i="10" s="1"/>
  <c r="N22" i="10" s="1"/>
  <c r="N23" i="10" s="1"/>
  <c r="R20" i="10"/>
  <c r="R21" i="10" s="1"/>
  <c r="R44" i="10" s="1"/>
  <c r="R45" i="10" s="1"/>
  <c r="R46" i="10" s="1"/>
  <c r="O86" i="6"/>
  <c r="E86" i="6"/>
  <c r="E44" i="10"/>
  <c r="E45" i="10" s="1"/>
  <c r="E46" i="10" s="1"/>
  <c r="AB86" i="6"/>
  <c r="H20" i="10"/>
  <c r="H21" i="10" s="1"/>
  <c r="H44" i="10" s="1"/>
  <c r="H45" i="10" s="1"/>
  <c r="H46" i="10" s="1"/>
  <c r="R83" i="6"/>
  <c r="S83" i="6" s="1"/>
  <c r="T83" i="6" s="1"/>
  <c r="M86" i="6"/>
  <c r="M20" i="10"/>
  <c r="M21" i="10" s="1"/>
  <c r="M22" i="10" s="1"/>
  <c r="M23" i="10" s="1"/>
  <c r="AA20" i="10"/>
  <c r="AA21" i="10" s="1"/>
  <c r="AA22" i="10" s="1"/>
  <c r="AA23" i="10" s="1"/>
  <c r="X20" i="10"/>
  <c r="X21" i="10" s="1"/>
  <c r="X22" i="10" s="1"/>
  <c r="X23" i="10" s="1"/>
  <c r="W22" i="10"/>
  <c r="W23" i="10" s="1"/>
  <c r="AB25" i="6"/>
  <c r="AB42" i="6" s="1"/>
  <c r="AB47" i="6" s="1"/>
  <c r="AB53" i="6" s="1"/>
  <c r="AB63" i="6" s="1"/>
  <c r="AB67" i="6" s="1"/>
  <c r="Q25" i="6"/>
  <c r="Q42" i="6" s="1"/>
  <c r="Q47" i="6" s="1"/>
  <c r="Q53" i="6" s="1"/>
  <c r="Q63" i="6" s="1"/>
  <c r="Y25" i="6"/>
  <c r="Y42" i="6" s="1"/>
  <c r="Y47" i="6" s="1"/>
  <c r="Y53" i="6" s="1"/>
  <c r="Y63" i="6" s="1"/>
  <c r="Z25" i="6"/>
  <c r="Z42" i="6" s="1"/>
  <c r="Z47" i="6" s="1"/>
  <c r="Z53" i="6" s="1"/>
  <c r="Z63" i="6" s="1"/>
  <c r="Z67" i="6" s="1"/>
  <c r="P25" i="6"/>
  <c r="P42" i="6" s="1"/>
  <c r="P47" i="6" s="1"/>
  <c r="P53" i="6" s="1"/>
  <c r="P63" i="6" s="1"/>
  <c r="P67" i="6" s="1"/>
  <c r="N25" i="6"/>
  <c r="N42" i="6" s="1"/>
  <c r="N47" i="6" s="1"/>
  <c r="N53" i="6" s="1"/>
  <c r="N63" i="6" s="1"/>
  <c r="W25" i="6"/>
  <c r="W42" i="6" s="1"/>
  <c r="W47" i="6" s="1"/>
  <c r="W53" i="6" s="1"/>
  <c r="W63" i="6" s="1"/>
  <c r="W67" i="6" s="1"/>
  <c r="T25" i="6"/>
  <c r="T42" i="6" s="1"/>
  <c r="T47" i="6" s="1"/>
  <c r="T53" i="6" s="1"/>
  <c r="T63" i="6" s="1"/>
  <c r="X25" i="6"/>
  <c r="X42" i="6" s="1"/>
  <c r="X47" i="6" s="1"/>
  <c r="X53" i="6" s="1"/>
  <c r="X63" i="6" s="1"/>
  <c r="R25" i="6"/>
  <c r="R42" i="6" s="1"/>
  <c r="R47" i="6" s="1"/>
  <c r="R53" i="6" s="1"/>
  <c r="R63" i="6" s="1"/>
  <c r="R64" i="6" s="1"/>
  <c r="R65" i="6" s="1"/>
  <c r="R66" i="6" s="1"/>
  <c r="S25" i="6"/>
  <c r="S42" i="6" s="1"/>
  <c r="S47" i="6" s="1"/>
  <c r="S53" i="6" s="1"/>
  <c r="S63" i="6" s="1"/>
  <c r="S67" i="6" s="1"/>
  <c r="O25" i="6"/>
  <c r="O42" i="6" s="1"/>
  <c r="O47" i="6" s="1"/>
  <c r="O53" i="6" s="1"/>
  <c r="O63" i="6" s="1"/>
  <c r="V25" i="6"/>
  <c r="V42" i="6" s="1"/>
  <c r="V47" i="6" s="1"/>
  <c r="V53" i="6" s="1"/>
  <c r="V63" i="6" s="1"/>
  <c r="AA25" i="6"/>
  <c r="AA42" i="6" s="1"/>
  <c r="AA47" i="6" s="1"/>
  <c r="AA53" i="6" s="1"/>
  <c r="AA63" i="6" s="1"/>
  <c r="U25" i="6"/>
  <c r="U42" i="6" s="1"/>
  <c r="U47" i="6" s="1"/>
  <c r="U53" i="6" s="1"/>
  <c r="U63" i="6" s="1"/>
  <c r="W86" i="6"/>
  <c r="U82" i="6"/>
  <c r="U84" i="6" s="1"/>
  <c r="U85" i="6" s="1"/>
  <c r="Y20" i="10"/>
  <c r="Y21" i="10" s="1"/>
  <c r="Y86" i="6"/>
  <c r="S84" i="6"/>
  <c r="S85" i="6" s="1"/>
  <c r="S86" i="6" s="1"/>
  <c r="V20" i="10"/>
  <c r="V21" i="10" s="1"/>
  <c r="V86" i="6"/>
  <c r="P44" i="10"/>
  <c r="P45" i="10" s="1"/>
  <c r="P46" i="10" s="1"/>
  <c r="P22" i="10"/>
  <c r="P23" i="10" s="1"/>
  <c r="K22" i="10"/>
  <c r="K23" i="10" s="1"/>
  <c r="K44" i="10"/>
  <c r="K45" i="10" s="1"/>
  <c r="K46" i="10" s="1"/>
  <c r="AB22" i="10"/>
  <c r="AB23" i="10" s="1"/>
  <c r="AB44" i="10"/>
  <c r="AB45" i="10" s="1"/>
  <c r="AB46" i="10" s="1"/>
  <c r="T20" i="10"/>
  <c r="T21" i="10" s="1"/>
  <c r="T86" i="6"/>
  <c r="O44" i="10"/>
  <c r="O45" i="10" s="1"/>
  <c r="O46" i="10" s="1"/>
  <c r="O22" i="10"/>
  <c r="O23" i="10" s="1"/>
  <c r="F44" i="10" l="1"/>
  <c r="F45" i="10" s="1"/>
  <c r="F46" i="10" s="1"/>
  <c r="Q22" i="10"/>
  <c r="Q23" i="10" s="1"/>
  <c r="Z22" i="10"/>
  <c r="Z23" i="10" s="1"/>
  <c r="I44" i="10"/>
  <c r="I45" i="10" s="1"/>
  <c r="I46" i="10" s="1"/>
  <c r="L22" i="10"/>
  <c r="L23" i="10" s="1"/>
  <c r="N44" i="10"/>
  <c r="N45" i="10" s="1"/>
  <c r="N46" i="10" s="1"/>
  <c r="J44" i="10"/>
  <c r="J45" i="10" s="1"/>
  <c r="J46" i="10" s="1"/>
  <c r="R22" i="10"/>
  <c r="R23" i="10" s="1"/>
  <c r="H22" i="10"/>
  <c r="H23" i="10" s="1"/>
  <c r="D20" i="10"/>
  <c r="D21" i="10" s="1"/>
  <c r="AA44" i="10"/>
  <c r="AA45" i="10" s="1"/>
  <c r="AA46" i="10" s="1"/>
  <c r="M44" i="10"/>
  <c r="M45" i="10" s="1"/>
  <c r="M46" i="10" s="1"/>
  <c r="X44" i="10"/>
  <c r="X45" i="10" s="1"/>
  <c r="X46" i="10" s="1"/>
  <c r="X64" i="6"/>
  <c r="X65" i="6" s="1"/>
  <c r="X66" i="6" s="1"/>
  <c r="X67" i="6"/>
  <c r="S20" i="10"/>
  <c r="S21" i="10" s="1"/>
  <c r="S22" i="10" s="1"/>
  <c r="S23" i="10" s="1"/>
  <c r="Q64" i="6"/>
  <c r="Q65" i="6" s="1"/>
  <c r="Q66" i="6" s="1"/>
  <c r="Q67" i="6"/>
  <c r="O64" i="6"/>
  <c r="O65" i="6" s="1"/>
  <c r="O66" i="6" s="1"/>
  <c r="O67" i="6"/>
  <c r="AA67" i="6"/>
  <c r="AA64" i="6"/>
  <c r="AA65" i="6" s="1"/>
  <c r="AA66" i="6" s="1"/>
  <c r="N67" i="6"/>
  <c r="N64" i="6"/>
  <c r="N65" i="6" s="1"/>
  <c r="N66" i="6" s="1"/>
  <c r="Y64" i="6"/>
  <c r="Y65" i="6" s="1"/>
  <c r="Y66" i="6" s="1"/>
  <c r="Y67" i="6"/>
  <c r="U64" i="6"/>
  <c r="U65" i="6" s="1"/>
  <c r="U66" i="6" s="1"/>
  <c r="U67" i="6"/>
  <c r="T67" i="6"/>
  <c r="T64" i="6"/>
  <c r="T65" i="6" s="1"/>
  <c r="T66" i="6" s="1"/>
  <c r="P64" i="6"/>
  <c r="P65" i="6" s="1"/>
  <c r="P66" i="6" s="1"/>
  <c r="P70" i="6" s="1"/>
  <c r="P71" i="6" s="1"/>
  <c r="P72" i="6" s="1"/>
  <c r="S64" i="6"/>
  <c r="S65" i="6" s="1"/>
  <c r="S66" i="6" s="1"/>
  <c r="S68" i="6" s="1"/>
  <c r="AB64" i="6"/>
  <c r="AB65" i="6" s="1"/>
  <c r="AB66" i="6" s="1"/>
  <c r="AB70" i="6" s="1"/>
  <c r="AB71" i="6" s="1"/>
  <c r="AB72" i="6" s="1"/>
  <c r="R67" i="6"/>
  <c r="R70" i="6" s="1"/>
  <c r="W64" i="6"/>
  <c r="W65" i="6" s="1"/>
  <c r="W66" i="6" s="1"/>
  <c r="W68" i="6" s="1"/>
  <c r="W70" i="6" s="1"/>
  <c r="W71" i="6" s="1"/>
  <c r="Z64" i="6"/>
  <c r="Z65" i="6" s="1"/>
  <c r="Z66" i="6" s="1"/>
  <c r="Z70" i="6" s="1"/>
  <c r="Z71" i="6" s="1"/>
  <c r="Z72" i="6" s="1"/>
  <c r="V64" i="6"/>
  <c r="V65" i="6" s="1"/>
  <c r="V66" i="6" s="1"/>
  <c r="V67" i="6"/>
  <c r="U83" i="6"/>
  <c r="V83" i="6" s="1"/>
  <c r="W83" i="6" s="1"/>
  <c r="Y44" i="10"/>
  <c r="Y45" i="10" s="1"/>
  <c r="Y46" i="10" s="1"/>
  <c r="Y22" i="10"/>
  <c r="Y23" i="10" s="1"/>
  <c r="U20" i="10"/>
  <c r="U21" i="10" s="1"/>
  <c r="U86" i="6"/>
  <c r="V22" i="10"/>
  <c r="V23" i="10" s="1"/>
  <c r="V44" i="10"/>
  <c r="V45" i="10" s="1"/>
  <c r="V46" i="10" s="1"/>
  <c r="T22" i="10"/>
  <c r="T23" i="10" s="1"/>
  <c r="T44" i="10"/>
  <c r="T45" i="10" s="1"/>
  <c r="T46" i="10" s="1"/>
  <c r="U68" i="6" l="1"/>
  <c r="U70" i="6" s="1"/>
  <c r="U71" i="6" s="1"/>
  <c r="U73" i="6" s="1"/>
  <c r="N70" i="6"/>
  <c r="N71" i="6" s="1"/>
  <c r="N73" i="6" s="1"/>
  <c r="D22" i="10"/>
  <c r="D23" i="10" s="1"/>
  <c r="D24" i="10" s="1"/>
  <c r="C25" i="10" s="1"/>
  <c r="D44" i="10"/>
  <c r="D45" i="10" s="1"/>
  <c r="D46" i="10" s="1"/>
  <c r="D47" i="10" s="1"/>
  <c r="C48" i="10" s="1"/>
  <c r="Q70" i="6"/>
  <c r="Q71" i="6" s="1"/>
  <c r="Q73" i="6" s="1"/>
  <c r="X70" i="6"/>
  <c r="X71" i="6" s="1"/>
  <c r="X10" i="10" s="1"/>
  <c r="X11" i="10" s="1"/>
  <c r="X12" i="10" s="1"/>
  <c r="X13" i="10" s="1"/>
  <c r="Y70" i="6"/>
  <c r="Y71" i="6" s="1"/>
  <c r="Y73" i="6" s="1"/>
  <c r="R71" i="6"/>
  <c r="R73" i="6" s="1"/>
  <c r="AA70" i="6"/>
  <c r="AA71" i="6" s="1"/>
  <c r="AA10" i="10" s="1"/>
  <c r="AA11" i="10" s="1"/>
  <c r="AA12" i="10" s="1"/>
  <c r="AA13" i="10" s="1"/>
  <c r="O70" i="6"/>
  <c r="O71" i="6" s="1"/>
  <c r="O73" i="6" s="1"/>
  <c r="AB73" i="6"/>
  <c r="Z10" i="10"/>
  <c r="Z11" i="10" s="1"/>
  <c r="Z12" i="10" s="1"/>
  <c r="Z13" i="10" s="1"/>
  <c r="S44" i="10"/>
  <c r="S45" i="10" s="1"/>
  <c r="S46" i="10" s="1"/>
  <c r="P73" i="6"/>
  <c r="Z73" i="6"/>
  <c r="S70" i="6"/>
  <c r="S71" i="6" s="1"/>
  <c r="S72" i="6" s="1"/>
  <c r="P10" i="10"/>
  <c r="P11" i="10" s="1"/>
  <c r="P35" i="10" s="1"/>
  <c r="P36" i="10" s="1"/>
  <c r="P37" i="10" s="1"/>
  <c r="V68" i="6"/>
  <c r="V70" i="6" s="1"/>
  <c r="V71" i="6" s="1"/>
  <c r="V72" i="6" s="1"/>
  <c r="AB10" i="10"/>
  <c r="AB11" i="10" s="1"/>
  <c r="AB12" i="10" s="1"/>
  <c r="AB13" i="10" s="1"/>
  <c r="T68" i="6"/>
  <c r="U22" i="10"/>
  <c r="U23" i="10" s="1"/>
  <c r="U44" i="10"/>
  <c r="U45" i="10" s="1"/>
  <c r="U46" i="10" s="1"/>
  <c r="W72" i="6"/>
  <c r="W10" i="10"/>
  <c r="W11" i="10" s="1"/>
  <c r="W73" i="6"/>
  <c r="E24" i="10" l="1"/>
  <c r="F24" i="10" s="1"/>
  <c r="N72" i="6"/>
  <c r="U72" i="6"/>
  <c r="U10" i="10"/>
  <c r="U11" i="10" s="1"/>
  <c r="U12" i="10" s="1"/>
  <c r="U13" i="10" s="1"/>
  <c r="E47" i="10"/>
  <c r="F47" i="10" s="1"/>
  <c r="N10" i="10"/>
  <c r="N11" i="10" s="1"/>
  <c r="Z35" i="10"/>
  <c r="Z36" i="10" s="1"/>
  <c r="Z37" i="10" s="1"/>
  <c r="X72" i="6"/>
  <c r="AA35" i="10"/>
  <c r="AA36" i="10" s="1"/>
  <c r="AA37" i="10" s="1"/>
  <c r="X73" i="6"/>
  <c r="AA73" i="6"/>
  <c r="AA72" i="6"/>
  <c r="R10" i="10"/>
  <c r="R11" i="10" s="1"/>
  <c r="R72" i="6"/>
  <c r="X35" i="10"/>
  <c r="X36" i="10" s="1"/>
  <c r="X37" i="10" s="1"/>
  <c r="S10" i="10"/>
  <c r="S11" i="10" s="1"/>
  <c r="S12" i="10" s="1"/>
  <c r="S13" i="10" s="1"/>
  <c r="V10" i="10"/>
  <c r="V11" i="10" s="1"/>
  <c r="V35" i="10" s="1"/>
  <c r="V36" i="10" s="1"/>
  <c r="V37" i="10" s="1"/>
  <c r="P12" i="10"/>
  <c r="P13" i="10" s="1"/>
  <c r="S73" i="6"/>
  <c r="Y10" i="10"/>
  <c r="Y11" i="10" s="1"/>
  <c r="Y72" i="6"/>
  <c r="AB35" i="10"/>
  <c r="AB36" i="10" s="1"/>
  <c r="AB37" i="10" s="1"/>
  <c r="T70" i="6"/>
  <c r="V73" i="6"/>
  <c r="Q72" i="6"/>
  <c r="Q10" i="10"/>
  <c r="Q11" i="10" s="1"/>
  <c r="O10" i="10"/>
  <c r="O11" i="10" s="1"/>
  <c r="O72" i="6"/>
  <c r="W12" i="10"/>
  <c r="W13" i="10" s="1"/>
  <c r="W35" i="10"/>
  <c r="W36" i="10" s="1"/>
  <c r="W37" i="10" s="1"/>
  <c r="D25" i="10" l="1"/>
  <c r="D48" i="10"/>
  <c r="U35" i="10"/>
  <c r="U36" i="10" s="1"/>
  <c r="U37" i="10" s="1"/>
  <c r="N12" i="10"/>
  <c r="N13" i="10" s="1"/>
  <c r="N35" i="10"/>
  <c r="N36" i="10" s="1"/>
  <c r="N37" i="10" s="1"/>
  <c r="V12" i="10"/>
  <c r="V13" i="10" s="1"/>
  <c r="R12" i="10"/>
  <c r="R13" i="10" s="1"/>
  <c r="R35" i="10"/>
  <c r="R36" i="10" s="1"/>
  <c r="R37" i="10" s="1"/>
  <c r="S35" i="10"/>
  <c r="S36" i="10" s="1"/>
  <c r="S37" i="10" s="1"/>
  <c r="T71" i="6"/>
  <c r="T73" i="6" s="1"/>
  <c r="O35" i="10"/>
  <c r="O36" i="10" s="1"/>
  <c r="O37" i="10" s="1"/>
  <c r="O12" i="10"/>
  <c r="O13" i="10" s="1"/>
  <c r="Q12" i="10"/>
  <c r="Q13" i="10" s="1"/>
  <c r="Q35" i="10"/>
  <c r="Q36" i="10" s="1"/>
  <c r="Q37" i="10" s="1"/>
  <c r="Y12" i="10"/>
  <c r="Y13" i="10" s="1"/>
  <c r="Y35" i="10"/>
  <c r="Y36" i="10" s="1"/>
  <c r="Y37" i="10" s="1"/>
  <c r="G47" i="10"/>
  <c r="E48" i="10"/>
  <c r="G24" i="10"/>
  <c r="E25" i="10"/>
  <c r="T72" i="6" l="1"/>
  <c r="T10" i="10"/>
  <c r="T11" i="10" s="1"/>
  <c r="H47" i="10"/>
  <c r="F48" i="10"/>
  <c r="H24" i="10"/>
  <c r="F25" i="10"/>
  <c r="T12" i="10" l="1"/>
  <c r="T13" i="10" s="1"/>
  <c r="T35" i="10"/>
  <c r="T36" i="10" s="1"/>
  <c r="T37" i="10" s="1"/>
  <c r="G25" i="10"/>
  <c r="I24" i="10"/>
  <c r="G48" i="10"/>
  <c r="I47" i="10"/>
  <c r="H48" i="10" l="1"/>
  <c r="J47" i="10"/>
  <c r="H25" i="10"/>
  <c r="J24" i="10"/>
  <c r="I25" i="10" l="1"/>
  <c r="K24" i="10"/>
  <c r="K47" i="10"/>
  <c r="I48" i="10"/>
  <c r="L47" i="10" l="1"/>
  <c r="J48" i="10"/>
  <c r="L24" i="10"/>
  <c r="J25" i="10"/>
  <c r="M47" i="10" l="1"/>
  <c r="K48" i="10"/>
  <c r="K25" i="10"/>
  <c r="M24" i="10"/>
  <c r="N24" i="10" l="1"/>
  <c r="L25" i="10"/>
  <c r="L48" i="10"/>
  <c r="N47" i="10"/>
  <c r="O47" i="10" l="1"/>
  <c r="M48" i="10"/>
  <c r="O24" i="10"/>
  <c r="M25" i="10"/>
  <c r="P47" i="10" l="1"/>
  <c r="N48" i="10"/>
  <c r="P24" i="10"/>
  <c r="N25" i="10"/>
  <c r="O25" i="10" l="1"/>
  <c r="Q24" i="10"/>
  <c r="O48" i="10"/>
  <c r="Q47" i="10"/>
  <c r="P25" i="10" l="1"/>
  <c r="R24" i="10"/>
  <c r="R47" i="10"/>
  <c r="P48" i="10"/>
  <c r="S47" i="10" l="1"/>
  <c r="Q48" i="10"/>
  <c r="Q25" i="10"/>
  <c r="S24" i="10"/>
  <c r="T47" i="10" l="1"/>
  <c r="R48" i="10"/>
  <c r="R25" i="10"/>
  <c r="T24" i="10"/>
  <c r="U47" i="10" l="1"/>
  <c r="S48" i="10"/>
  <c r="S25" i="10"/>
  <c r="U24" i="10"/>
  <c r="V47" i="10" l="1"/>
  <c r="T48" i="10"/>
  <c r="T25" i="10"/>
  <c r="V24" i="10"/>
  <c r="W47" i="10" l="1"/>
  <c r="U48" i="10"/>
  <c r="W24" i="10"/>
  <c r="U25" i="10"/>
  <c r="X24" i="10" l="1"/>
  <c r="V25" i="10"/>
  <c r="X47" i="10"/>
  <c r="V48" i="10"/>
  <c r="W48" i="10" l="1"/>
  <c r="Y47" i="10"/>
  <c r="W25" i="10"/>
  <c r="Y24" i="10"/>
  <c r="X25" i="10" l="1"/>
  <c r="Z24" i="10"/>
  <c r="Z47" i="10"/>
  <c r="X48" i="10"/>
  <c r="Y25" i="10" l="1"/>
  <c r="AA24" i="10"/>
  <c r="AA47" i="10"/>
  <c r="Y48" i="10"/>
  <c r="AB24" i="10" l="1"/>
  <c r="Z25" i="10"/>
  <c r="AB47" i="10"/>
  <c r="Z48" i="10"/>
  <c r="AA48" i="10" l="1"/>
  <c r="AB48" i="10"/>
  <c r="AA25" i="10"/>
  <c r="AB25" i="10"/>
  <c r="C28" i="10" l="1"/>
  <c r="E28" i="10" s="1"/>
  <c r="C51" i="10"/>
  <c r="I5" i="13" s="1"/>
  <c r="F5" i="13" l="1"/>
  <c r="E51" i="10"/>
  <c r="J12" i="5"/>
  <c r="J19" i="5" s="1"/>
  <c r="E12" i="5"/>
  <c r="E19" i="5" s="1"/>
  <c r="G12" i="5"/>
  <c r="G19" i="5" s="1"/>
  <c r="K12" i="5"/>
  <c r="K19" i="5" s="1"/>
  <c r="L12" i="5"/>
  <c r="L19" i="5" s="1"/>
  <c r="M12" i="5"/>
  <c r="M19" i="5" s="1"/>
  <c r="G22" i="5" l="1"/>
  <c r="G23" i="6" s="1"/>
  <c r="M22" i="5"/>
  <c r="M23" i="6" s="1"/>
  <c r="K22" i="5"/>
  <c r="K23" i="6" s="1"/>
  <c r="J22" i="5"/>
  <c r="J23" i="6" s="1"/>
  <c r="L22" i="5"/>
  <c r="L23" i="6" s="1"/>
  <c r="E22" i="5"/>
  <c r="E23" i="6" s="1"/>
  <c r="D23" i="6"/>
  <c r="I12" i="5"/>
  <c r="I19" i="5" s="1"/>
  <c r="H12" i="5"/>
  <c r="H19" i="5" s="1"/>
  <c r="I32" i="4"/>
  <c r="F12" i="5"/>
  <c r="F19" i="5" s="1"/>
  <c r="F30" i="4"/>
  <c r="E24" i="6" l="1"/>
  <c r="E25" i="6" s="1"/>
  <c r="E42" i="6" s="1"/>
  <c r="E47" i="6" s="1"/>
  <c r="E53" i="6" s="1"/>
  <c r="E63" i="6" s="1"/>
  <c r="L24" i="6"/>
  <c r="L25" i="6" s="1"/>
  <c r="L42" i="6" s="1"/>
  <c r="L47" i="6" s="1"/>
  <c r="L53" i="6" s="1"/>
  <c r="L63" i="6" s="1"/>
  <c r="J24" i="6"/>
  <c r="J25" i="6" s="1"/>
  <c r="J42" i="6" s="1"/>
  <c r="J47" i="6" s="1"/>
  <c r="J53" i="6" s="1"/>
  <c r="J63" i="6" s="1"/>
  <c r="K24" i="6"/>
  <c r="K25" i="6" s="1"/>
  <c r="K42" i="6" s="1"/>
  <c r="K47" i="6" s="1"/>
  <c r="K53" i="6" s="1"/>
  <c r="K63" i="6" s="1"/>
  <c r="M24" i="6"/>
  <c r="M25" i="6" s="1"/>
  <c r="M42" i="6" s="1"/>
  <c r="M47" i="6" s="1"/>
  <c r="M53" i="6" s="1"/>
  <c r="M63" i="6" s="1"/>
  <c r="G24" i="6"/>
  <c r="G25" i="6" s="1"/>
  <c r="G42" i="6" s="1"/>
  <c r="G47" i="6" s="1"/>
  <c r="G53" i="6" s="1"/>
  <c r="G63" i="6" s="1"/>
  <c r="F22" i="5"/>
  <c r="F23" i="6" s="1"/>
  <c r="I22" i="5"/>
  <c r="I23" i="6" s="1"/>
  <c r="H22" i="5"/>
  <c r="H23" i="6" s="1"/>
  <c r="D24" i="6"/>
  <c r="D25" i="6" s="1"/>
  <c r="D42" i="6" s="1"/>
  <c r="D47" i="6" s="1"/>
  <c r="D53" i="6" s="1"/>
  <c r="D63" i="6" s="1"/>
  <c r="B42" i="5"/>
  <c r="B48" i="5" s="1"/>
  <c r="F32" i="4" s="1"/>
  <c r="F31" i="4"/>
  <c r="F22" i="14" s="1"/>
  <c r="G67" i="6" l="1"/>
  <c r="G64" i="6"/>
  <c r="G65" i="6" s="1"/>
  <c r="G66" i="6" s="1"/>
  <c r="K64" i="6"/>
  <c r="K65" i="6" s="1"/>
  <c r="K66" i="6" s="1"/>
  <c r="K67" i="6"/>
  <c r="F24" i="6"/>
  <c r="F25" i="6" s="1"/>
  <c r="F42" i="6" s="1"/>
  <c r="F47" i="6" s="1"/>
  <c r="F53" i="6" s="1"/>
  <c r="F63" i="6" s="1"/>
  <c r="J64" i="6"/>
  <c r="J65" i="6" s="1"/>
  <c r="J66" i="6" s="1"/>
  <c r="J67" i="6"/>
  <c r="M67" i="6"/>
  <c r="M64" i="6"/>
  <c r="M65" i="6" s="1"/>
  <c r="M66" i="6" s="1"/>
  <c r="L64" i="6"/>
  <c r="L65" i="6" s="1"/>
  <c r="L66" i="6" s="1"/>
  <c r="L67" i="6"/>
  <c r="I24" i="6"/>
  <c r="I25" i="6" s="1"/>
  <c r="I42" i="6" s="1"/>
  <c r="I47" i="6" s="1"/>
  <c r="I53" i="6" s="1"/>
  <c r="I63" i="6" s="1"/>
  <c r="D64" i="6"/>
  <c r="D65" i="6" s="1"/>
  <c r="D66" i="6" s="1"/>
  <c r="D70" i="6" s="1"/>
  <c r="D71" i="6" s="1"/>
  <c r="D10" i="10" s="1"/>
  <c r="D11" i="10" s="1"/>
  <c r="D67" i="6"/>
  <c r="H24" i="6"/>
  <c r="H25" i="6" s="1"/>
  <c r="H42" i="6" s="1"/>
  <c r="H47" i="6" s="1"/>
  <c r="H53" i="6" s="1"/>
  <c r="H63" i="6" s="1"/>
  <c r="E67" i="6"/>
  <c r="E64" i="6"/>
  <c r="E65" i="6" s="1"/>
  <c r="E66" i="6" s="1"/>
  <c r="F35" i="4"/>
  <c r="F34" i="4"/>
  <c r="E70" i="6" l="1"/>
  <c r="G70" i="6"/>
  <c r="L70" i="6"/>
  <c r="L71" i="6" s="1"/>
  <c r="L72" i="6" s="1"/>
  <c r="M70" i="6"/>
  <c r="H67" i="6"/>
  <c r="H64" i="6"/>
  <c r="H65" i="6" s="1"/>
  <c r="H66" i="6" s="1"/>
  <c r="F64" i="6"/>
  <c r="F65" i="6" s="1"/>
  <c r="F66" i="6" s="1"/>
  <c r="F70" i="6" s="1"/>
  <c r="F71" i="6" s="1"/>
  <c r="F72" i="6" s="1"/>
  <c r="F67" i="6"/>
  <c r="I67" i="6"/>
  <c r="R69" i="6" s="1"/>
  <c r="S69" i="6" s="1"/>
  <c r="T69" i="6" s="1"/>
  <c r="U69" i="6" s="1"/>
  <c r="V69" i="6" s="1"/>
  <c r="W69" i="6" s="1"/>
  <c r="I64" i="6"/>
  <c r="I65" i="6" s="1"/>
  <c r="I66" i="6" s="1"/>
  <c r="J70" i="6"/>
  <c r="K70" i="6"/>
  <c r="D73" i="6"/>
  <c r="D72" i="6"/>
  <c r="D35" i="10"/>
  <c r="D36" i="10" s="1"/>
  <c r="D37" i="10" s="1"/>
  <c r="D12" i="10"/>
  <c r="D13" i="10" s="1"/>
  <c r="D14" i="10" s="1"/>
  <c r="B50" i="5"/>
  <c r="C2" i="10"/>
  <c r="H70" i="6" l="1"/>
  <c r="H71" i="6" s="1"/>
  <c r="H10" i="10" s="1"/>
  <c r="H11" i="10" s="1"/>
  <c r="H12" i="10" s="1"/>
  <c r="H13" i="10" s="1"/>
  <c r="L10" i="10"/>
  <c r="L11" i="10" s="1"/>
  <c r="L35" i="10" s="1"/>
  <c r="L36" i="10" s="1"/>
  <c r="L37" i="10" s="1"/>
  <c r="L73" i="6"/>
  <c r="E71" i="6"/>
  <c r="E73" i="6" s="1"/>
  <c r="I70" i="6"/>
  <c r="I71" i="6" s="1"/>
  <c r="I73" i="6" s="1"/>
  <c r="G71" i="6"/>
  <c r="G73" i="6" s="1"/>
  <c r="F10" i="10"/>
  <c r="F11" i="10" s="1"/>
  <c r="F35" i="10" s="1"/>
  <c r="F36" i="10" s="1"/>
  <c r="F37" i="10" s="1"/>
  <c r="M71" i="6"/>
  <c r="M73" i="6" s="1"/>
  <c r="J71" i="6"/>
  <c r="J73" i="6" s="1"/>
  <c r="F73" i="6"/>
  <c r="K71" i="6"/>
  <c r="K73" i="6" s="1"/>
  <c r="C27" i="10"/>
  <c r="E5" i="13" s="1"/>
  <c r="C49" i="10"/>
  <c r="G5" i="13" s="1"/>
  <c r="C26" i="10"/>
  <c r="C50" i="10"/>
  <c r="H5" i="13" s="1"/>
  <c r="L23" i="5"/>
  <c r="T23" i="5"/>
  <c r="AB23" i="5"/>
  <c r="M23" i="5"/>
  <c r="F23" i="5"/>
  <c r="N23" i="5"/>
  <c r="V23" i="5"/>
  <c r="G23" i="5"/>
  <c r="O23" i="5"/>
  <c r="W23" i="5"/>
  <c r="H23" i="5"/>
  <c r="P23" i="5"/>
  <c r="X23" i="5"/>
  <c r="I23" i="5"/>
  <c r="Q23" i="5"/>
  <c r="Y23" i="5"/>
  <c r="J23" i="5"/>
  <c r="R23" i="5"/>
  <c r="Z23" i="5"/>
  <c r="E23" i="5"/>
  <c r="K23" i="5"/>
  <c r="S23" i="5"/>
  <c r="AA23" i="5"/>
  <c r="U23" i="5"/>
  <c r="C15" i="10"/>
  <c r="D38" i="10"/>
  <c r="H73" i="6" l="1"/>
  <c r="H35" i="10"/>
  <c r="H36" i="10" s="1"/>
  <c r="H37" i="10" s="1"/>
  <c r="H72" i="6"/>
  <c r="E72" i="6"/>
  <c r="E10" i="10"/>
  <c r="E11" i="10" s="1"/>
  <c r="E35" i="10" s="1"/>
  <c r="E36" i="10" s="1"/>
  <c r="E37" i="10" s="1"/>
  <c r="E38" i="10" s="1"/>
  <c r="L12" i="10"/>
  <c r="L13" i="10" s="1"/>
  <c r="I72" i="6"/>
  <c r="I10" i="10"/>
  <c r="I11" i="10" s="1"/>
  <c r="I12" i="10" s="1"/>
  <c r="I13" i="10" s="1"/>
  <c r="G72" i="6"/>
  <c r="G10" i="10"/>
  <c r="G11" i="10" s="1"/>
  <c r="M10" i="10"/>
  <c r="M11" i="10" s="1"/>
  <c r="M72" i="6"/>
  <c r="F12" i="10"/>
  <c r="F13" i="10" s="1"/>
  <c r="J72" i="6"/>
  <c r="J10" i="10"/>
  <c r="J11" i="10" s="1"/>
  <c r="K72" i="6"/>
  <c r="K10" i="10"/>
  <c r="K11" i="10" s="1"/>
  <c r="E27" i="10"/>
  <c r="D5" i="13"/>
  <c r="C39" i="10"/>
  <c r="C22" i="5"/>
  <c r="B25" i="5" s="1"/>
  <c r="E12" i="10" l="1"/>
  <c r="E13" i="10" s="1"/>
  <c r="E14" i="10" s="1"/>
  <c r="D15" i="10" s="1"/>
  <c r="I35" i="10"/>
  <c r="I36" i="10" s="1"/>
  <c r="I37" i="10" s="1"/>
  <c r="G35" i="10"/>
  <c r="G36" i="10" s="1"/>
  <c r="G37" i="10" s="1"/>
  <c r="G12" i="10"/>
  <c r="G13" i="10" s="1"/>
  <c r="M12" i="10"/>
  <c r="M13" i="10" s="1"/>
  <c r="M35" i="10"/>
  <c r="M36" i="10" s="1"/>
  <c r="M37" i="10" s="1"/>
  <c r="K35" i="10"/>
  <c r="K36" i="10" s="1"/>
  <c r="K37" i="10" s="1"/>
  <c r="K12" i="10"/>
  <c r="K13" i="10" s="1"/>
  <c r="J35" i="10"/>
  <c r="J36" i="10" s="1"/>
  <c r="J37" i="10" s="1"/>
  <c r="J12" i="10"/>
  <c r="J13" i="10" s="1"/>
  <c r="D98" i="4"/>
  <c r="D26" i="14" s="1"/>
  <c r="B27" i="5"/>
  <c r="D27" i="14" s="1"/>
  <c r="C4" i="13"/>
  <c r="F38" i="10"/>
  <c r="D39" i="10"/>
  <c r="F14" i="10" l="1"/>
  <c r="G14" i="10" s="1"/>
  <c r="H14" i="10" s="1"/>
  <c r="C40" i="10"/>
  <c r="G4" i="13" s="1"/>
  <c r="E31" i="14" s="1"/>
  <c r="C17" i="10"/>
  <c r="E4" i="13" s="1"/>
  <c r="C41" i="10"/>
  <c r="H4" i="13" s="1"/>
  <c r="C16" i="10"/>
  <c r="G38" i="10"/>
  <c r="E39" i="10"/>
  <c r="F15" i="10" l="1"/>
  <c r="E15" i="10"/>
  <c r="D4" i="13"/>
  <c r="D31" i="14" s="1"/>
  <c r="E17" i="10"/>
  <c r="H38" i="10"/>
  <c r="F39" i="10"/>
  <c r="I14" i="10"/>
  <c r="G15" i="10"/>
  <c r="J14" i="10" l="1"/>
  <c r="H15" i="10"/>
  <c r="I38" i="10"/>
  <c r="G39" i="10"/>
  <c r="J38" i="10" l="1"/>
  <c r="H39" i="10"/>
  <c r="K14" i="10"/>
  <c r="I15" i="10"/>
  <c r="L14" i="10" l="1"/>
  <c r="J15" i="10"/>
  <c r="K38" i="10"/>
  <c r="I39" i="10"/>
  <c r="L38" i="10" l="1"/>
  <c r="J39" i="10"/>
  <c r="M14" i="10"/>
  <c r="K15" i="10"/>
  <c r="M38" i="10" l="1"/>
  <c r="K39" i="10"/>
  <c r="N14" i="10"/>
  <c r="L15" i="10"/>
  <c r="O14" i="10" l="1"/>
  <c r="M15" i="10"/>
  <c r="N38" i="10"/>
  <c r="L39" i="10"/>
  <c r="O38" i="10" l="1"/>
  <c r="M39" i="10"/>
  <c r="P14" i="10"/>
  <c r="N15" i="10"/>
  <c r="Q14" i="10" l="1"/>
  <c r="O15" i="10"/>
  <c r="P38" i="10"/>
  <c r="N39" i="10"/>
  <c r="Q38" i="10" l="1"/>
  <c r="O39" i="10"/>
  <c r="R14" i="10"/>
  <c r="P15" i="10"/>
  <c r="S14" i="10" l="1"/>
  <c r="Q15" i="10"/>
  <c r="R38" i="10"/>
  <c r="P39" i="10"/>
  <c r="S38" i="10" l="1"/>
  <c r="Q39" i="10"/>
  <c r="T14" i="10"/>
  <c r="R15" i="10"/>
  <c r="S15" i="10" l="1"/>
  <c r="U14" i="10"/>
  <c r="T38" i="10"/>
  <c r="R39" i="10"/>
  <c r="U38" i="10" l="1"/>
  <c r="S39" i="10"/>
  <c r="V14" i="10"/>
  <c r="T15" i="10"/>
  <c r="W14" i="10" l="1"/>
  <c r="U15" i="10"/>
  <c r="V38" i="10"/>
  <c r="T39" i="10"/>
  <c r="W38" i="10" l="1"/>
  <c r="U39" i="10"/>
  <c r="X14" i="10"/>
  <c r="V15" i="10"/>
  <c r="W15" i="10" l="1"/>
  <c r="Y14" i="10"/>
  <c r="X38" i="10"/>
  <c r="V39" i="10"/>
  <c r="Y38" i="10" l="1"/>
  <c r="W39" i="10"/>
  <c r="Z14" i="10"/>
  <c r="X15" i="10"/>
  <c r="AA14" i="10" l="1"/>
  <c r="Y15" i="10"/>
  <c r="Z38" i="10"/>
  <c r="X39" i="10"/>
  <c r="AB14" i="10" l="1"/>
  <c r="AA15" i="10" s="1"/>
  <c r="Z15" i="10"/>
  <c r="AA38" i="10"/>
  <c r="Y39" i="10"/>
  <c r="C18" i="10" l="1"/>
  <c r="F4" i="13" s="1"/>
  <c r="AB38" i="10"/>
  <c r="AA39" i="10" s="1"/>
  <c r="Z39" i="10"/>
  <c r="E18" i="10" l="1"/>
  <c r="C42" i="10"/>
  <c r="E42" i="10" s="1"/>
  <c r="I4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B451BEE8-F768-4175-AF74-DA367CA911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Years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2" authorId="0" shapeId="0" xr:uid="{7BAF8E03-FC2A-4AC0-8BF2-329B061F54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NEXT PAGE TABLE</t>
        </r>
      </text>
    </comment>
    <comment ref="F35" authorId="0" shapeId="0" xr:uid="{E28070BD-4764-4ABA-B541-D2782E95EF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(1+i)^n - 1 /  i*(1+i)^n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5" authorId="0" shapeId="0" xr:uid="{D1527C41-B6EE-4AB3-9B75-BEC82E9B99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Gross Income- Depreciation (IT-WDV)
</t>
        </r>
      </text>
    </comment>
    <comment ref="B68" authorId="0" shapeId="0" xr:uid="{40DB5B41-2EE1-435C-A2F4-6D58C00D35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Mat setoff tab krte hai jab se start year hota hai(yha 16th year hai)
</t>
        </r>
        <r>
          <rPr>
            <b/>
            <sz val="9"/>
            <color indexed="81"/>
            <rFont val="Tahoma"/>
            <family val="2"/>
          </rPr>
          <t xml:space="preserve">Isme (Incometax-Mat) hi allowed hota adjust krna 
</t>
        </r>
      </text>
    </comment>
    <comment ref="B69" authorId="0" shapeId="0" xr:uid="{69628ED5-060B-43F9-B710-F3BAE8464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Balance hi carry forward hoga…</t>
        </r>
        <r>
          <rPr>
            <b/>
            <sz val="9"/>
            <color indexed="81"/>
            <rFont val="Tahoma"/>
            <family val="2"/>
          </rPr>
          <t xml:space="preserve">allowed adjustment ko subtract kr dete hai total mat jitna laga ah tab tak usme'
</t>
        </r>
      </text>
    </comment>
    <comment ref="B79" authorId="0" shapeId="0" xr:uid="{A9C4A759-A1D9-41F1-BB52-447786FE2E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Author:
Gross Income- Depreciation (IT-WDV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1" authorId="0" shapeId="0" xr:uid="{8B514150-5B01-4D15-9451-D8BCCDCCF08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Cashflow from operations-Post tax (avlbl for repayment)</t>
        </r>
      </text>
    </comment>
    <comment ref="B12" authorId="0" shapeId="0" xr:uid="{12D8733D-3DB5-4656-A8C0-3308330D7E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Inflow: Cashflow before debt service</t>
        </r>
      </text>
    </comment>
    <comment ref="B35" authorId="0" shapeId="0" xr:uid="{B1826166-210D-42CB-B39A-DE813865C31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PAT+BOOK DEPRECIATION
</t>
        </r>
      </text>
    </comment>
  </commentList>
</comments>
</file>

<file path=xl/sharedStrings.xml><?xml version="1.0" encoding="utf-8"?>
<sst xmlns="http://schemas.openxmlformats.org/spreadsheetml/2006/main" count="501" uniqueCount="296">
  <si>
    <t>Interest on debt</t>
  </si>
  <si>
    <t>Depreciation</t>
  </si>
  <si>
    <t>Return on Equity</t>
  </si>
  <si>
    <t>O&amp;M Expenses</t>
  </si>
  <si>
    <t>S.No</t>
  </si>
  <si>
    <t>Assumption Head</t>
  </si>
  <si>
    <t>Sub-Head</t>
  </si>
  <si>
    <t>Sub-Head(2)</t>
  </si>
  <si>
    <t>Unit</t>
  </si>
  <si>
    <t>Assumptions</t>
  </si>
  <si>
    <t>Capacity</t>
  </si>
  <si>
    <t>%</t>
  </si>
  <si>
    <t>years</t>
  </si>
  <si>
    <t>Project Cost</t>
  </si>
  <si>
    <t>Financial Assumptions</t>
  </si>
  <si>
    <t>Debt:Equity</t>
  </si>
  <si>
    <t>Years</t>
  </si>
  <si>
    <t>Debt</t>
  </si>
  <si>
    <t>Equity</t>
  </si>
  <si>
    <t>Total Debt Amount</t>
  </si>
  <si>
    <t>Rs Lacs</t>
  </si>
  <si>
    <t>Total Equity Amount</t>
  </si>
  <si>
    <t>Debt Compnent</t>
  </si>
  <si>
    <t>Loan Amount</t>
  </si>
  <si>
    <t>Moratorium Period</t>
  </si>
  <si>
    <t>Repayment Period(Including Moratorium)</t>
  </si>
  <si>
    <t>Interest Rate</t>
  </si>
  <si>
    <t>Equity Component</t>
  </si>
  <si>
    <t>Equity Amount</t>
  </si>
  <si>
    <t>Return on Equity for first 10 years</t>
  </si>
  <si>
    <t>Return on Equity 11th year onwards</t>
  </si>
  <si>
    <t>Weighted Average of ROE</t>
  </si>
  <si>
    <t>Discount Rate</t>
  </si>
  <si>
    <t>Fiscal Assumptions</t>
  </si>
  <si>
    <t>Income Tax</t>
  </si>
  <si>
    <t>80 IA benefits</t>
  </si>
  <si>
    <t>Working Capital</t>
  </si>
  <si>
    <t>%p.a</t>
  </si>
  <si>
    <t>% p.a</t>
  </si>
  <si>
    <t>Yes/No</t>
  </si>
  <si>
    <t>Interest on working capital</t>
  </si>
  <si>
    <t>Months</t>
  </si>
  <si>
    <t>Operation &amp; Maintenance</t>
  </si>
  <si>
    <t>O&amp;M Expenses Escalation</t>
  </si>
  <si>
    <t>Units Generation</t>
  </si>
  <si>
    <t>Interest on term loan</t>
  </si>
  <si>
    <t xml:space="preserve">Per Unit Cost of Generation </t>
  </si>
  <si>
    <t>Discount Factor</t>
  </si>
  <si>
    <t>Year</t>
  </si>
  <si>
    <t>Rs Lakh</t>
  </si>
  <si>
    <t>Rs/Unit</t>
  </si>
  <si>
    <t>Interest</t>
  </si>
  <si>
    <t>Repayment</t>
  </si>
  <si>
    <t>Initial Payment</t>
  </si>
  <si>
    <t>Remaining Payment</t>
  </si>
  <si>
    <t>lakhs</t>
  </si>
  <si>
    <t>Term</t>
  </si>
  <si>
    <t>Working capital requirement</t>
  </si>
  <si>
    <t>Discount rate</t>
  </si>
  <si>
    <t>Income tax rate</t>
  </si>
  <si>
    <t>DIVISION OF YEARS</t>
  </si>
  <si>
    <t>NOTE:- DATA IN THE PEACH COLOURED CELLS ARE EDITABLE</t>
  </si>
  <si>
    <t xml:space="preserve">Depreciation amount </t>
  </si>
  <si>
    <t>Book Depreciation rate</t>
  </si>
  <si>
    <t xml:space="preserve">Income Tax (Normal Rates) </t>
  </si>
  <si>
    <t xml:space="preserve">Capital Cost </t>
  </si>
  <si>
    <t xml:space="preserve">Depreciation </t>
  </si>
  <si>
    <t>(Salvage Value 10 percent)</t>
  </si>
  <si>
    <t xml:space="preserve">Years -----------------&gt; </t>
  </si>
  <si>
    <t xml:space="preserve">Annuity factor for plants life </t>
  </si>
  <si>
    <t>UP</t>
  </si>
  <si>
    <t>Inputs</t>
  </si>
  <si>
    <t>Value</t>
  </si>
  <si>
    <t>Units</t>
  </si>
  <si>
    <t>State</t>
  </si>
  <si>
    <t>Income</t>
  </si>
  <si>
    <t>Total Income based on Generation Cost</t>
  </si>
  <si>
    <t>Total Income based on FIT</t>
  </si>
  <si>
    <t>Expenditure</t>
  </si>
  <si>
    <t>Tax</t>
  </si>
  <si>
    <t>Years for Tax Holiday</t>
  </si>
  <si>
    <t>Depreciation (IT-Written Down Value)</t>
  </si>
  <si>
    <t>Taxable Income after loss carried over</t>
  </si>
  <si>
    <t>MAT</t>
  </si>
  <si>
    <t>Set off under MAT</t>
  </si>
  <si>
    <t>MAT set off remaining at the end of each year</t>
  </si>
  <si>
    <t>Life of Plant and Machinery / Project Life</t>
  </si>
  <si>
    <t>Corporate Tax Rate</t>
  </si>
  <si>
    <t>Tax Holiday Start Year</t>
  </si>
  <si>
    <t>Tax Holiday Duration</t>
  </si>
  <si>
    <t>MAT Setoff Start Year</t>
  </si>
  <si>
    <t>MAT set off allowed u/s 115JAA (3A)</t>
  </si>
  <si>
    <t>MAT Setoff Duration</t>
  </si>
  <si>
    <t>Rs Lakhs</t>
  </si>
  <si>
    <t>Plant&amp;Machinery Income Tax Depreciation</t>
  </si>
  <si>
    <t>Cumulative Plant &amp; Machinery Depreciation</t>
  </si>
  <si>
    <t>Plant &amp; Machinery</t>
  </si>
  <si>
    <r>
      <t xml:space="preserve">Gross Income </t>
    </r>
    <r>
      <rPr>
        <sz val="11"/>
        <color theme="4"/>
        <rFont val="Calibri"/>
        <family val="2"/>
        <scheme val="minor"/>
      </rPr>
      <t>(i.e PBT+Book Depr.</t>
    </r>
    <r>
      <rPr>
        <sz val="11"/>
        <color theme="1"/>
        <rFont val="Calibri"/>
        <family val="2"/>
        <scheme val="minor"/>
      </rPr>
      <t>)</t>
    </r>
  </si>
  <si>
    <t>4(i)</t>
  </si>
  <si>
    <t>(ii)</t>
  </si>
  <si>
    <r>
      <t xml:space="preserve">Gross Income </t>
    </r>
    <r>
      <rPr>
        <sz val="11"/>
        <color theme="4"/>
        <rFont val="Calibri"/>
        <family val="2"/>
        <scheme val="minor"/>
      </rPr>
      <t>(i.e PBT+Book Depr.)</t>
    </r>
  </si>
  <si>
    <r>
      <t>Reference :-</t>
    </r>
    <r>
      <rPr>
        <b/>
        <i/>
        <sz val="11"/>
        <color theme="4"/>
        <rFont val="Calibri"/>
        <family val="2"/>
        <scheme val="minor"/>
      </rPr>
      <t xml:space="preserve"> http://www.indiansolarmarket.com/union-budget-solar-energy-industry/</t>
    </r>
  </si>
  <si>
    <t>https://cleartax.in/s/tax-planning-under-mat</t>
  </si>
  <si>
    <r>
      <t xml:space="preserve">PAT </t>
    </r>
    <r>
      <rPr>
        <sz val="11"/>
        <color theme="4"/>
        <rFont val="Calibri"/>
        <family val="2"/>
        <scheme val="minor"/>
      </rPr>
      <t>(PBT-TAX PAID)</t>
    </r>
  </si>
  <si>
    <r>
      <t xml:space="preserve">Post-Tax ROE </t>
    </r>
    <r>
      <rPr>
        <sz val="11"/>
        <color theme="4"/>
        <rFont val="Calibri"/>
        <family val="2"/>
        <scheme val="minor"/>
      </rPr>
      <t>(PAT/ROE)</t>
    </r>
  </si>
  <si>
    <r>
      <t xml:space="preserve">TAX Paid (MAT or IT) </t>
    </r>
    <r>
      <rPr>
        <sz val="11"/>
        <color theme="4"/>
        <rFont val="Calibri"/>
        <family val="2"/>
        <scheme val="minor"/>
      </rPr>
      <t>(MAX(IT-SetoffMAT,MAT))</t>
    </r>
  </si>
  <si>
    <r>
      <t xml:space="preserve">MAT </t>
    </r>
    <r>
      <rPr>
        <sz val="11"/>
        <color theme="4"/>
        <rFont val="Calibri"/>
        <family val="2"/>
        <scheme val="minor"/>
      </rPr>
      <t>(PBT *MAT RATE)</t>
    </r>
  </si>
  <si>
    <r>
      <t xml:space="preserve">Income Tax </t>
    </r>
    <r>
      <rPr>
        <sz val="11"/>
        <color theme="4"/>
        <rFont val="Calibri"/>
        <family val="2"/>
        <scheme val="minor"/>
      </rPr>
      <t>(Taxable Income*Corp tax )</t>
    </r>
  </si>
  <si>
    <t>Project Start Year</t>
  </si>
  <si>
    <t>INCOME</t>
  </si>
  <si>
    <t>EXPENDITURE</t>
  </si>
  <si>
    <t>TAX</t>
  </si>
  <si>
    <t>PRE TAX ROE</t>
  </si>
  <si>
    <t>Project IRR- Post Tax</t>
  </si>
  <si>
    <t>Profit After Tax (PAT)</t>
  </si>
  <si>
    <t>Cashflow from operations-Post tax (avlbl for repayment)</t>
  </si>
  <si>
    <t>Total Inflow: Cashflow before debt service</t>
  </si>
  <si>
    <t>Net Flow (Post Tax)</t>
  </si>
  <si>
    <t>NPV of Net Flow without Tax Shelter</t>
  </si>
  <si>
    <t>Total Outflow-Capex</t>
  </si>
  <si>
    <r>
      <t>Book Depreciation (</t>
    </r>
    <r>
      <rPr>
        <b/>
        <sz val="11"/>
        <color theme="1"/>
        <rFont val="Calibri"/>
        <family val="2"/>
        <scheme val="minor"/>
      </rPr>
      <t>SLM</t>
    </r>
    <r>
      <rPr>
        <sz val="11"/>
        <color theme="1"/>
        <rFont val="Calibri"/>
        <family val="2"/>
        <scheme val="minor"/>
      </rPr>
      <t>)</t>
    </r>
  </si>
  <si>
    <t>Payback Period</t>
  </si>
  <si>
    <t>Cummulative Net Cash Flow</t>
  </si>
  <si>
    <t>Debt Fraction</t>
  </si>
  <si>
    <t>Interest Payment</t>
  </si>
  <si>
    <t>MAT Rate</t>
  </si>
  <si>
    <t>RESULTS</t>
  </si>
  <si>
    <t>Equity IRR</t>
  </si>
  <si>
    <t>Equity Outflow</t>
  </si>
  <si>
    <t>Cashflow available for repayment</t>
  </si>
  <si>
    <t>Inflow</t>
  </si>
  <si>
    <t>Net Flow</t>
  </si>
  <si>
    <t>Equity IRR (Post Tax)</t>
  </si>
  <si>
    <t>NPV @ Interest Rate</t>
  </si>
  <si>
    <t>Lakh/year</t>
  </si>
  <si>
    <t xml:space="preserve">DEPRECIABLE AMOUNT </t>
  </si>
  <si>
    <t>Rs Lakh/Year</t>
  </si>
  <si>
    <t>Tariff (Rs/Unit)</t>
  </si>
  <si>
    <t>Project IRR</t>
  </si>
  <si>
    <t>Equity IRR - post tax</t>
  </si>
  <si>
    <t>INPUT PARAMETER</t>
  </si>
  <si>
    <t>Pre Tax ROE for first 10 years</t>
  </si>
  <si>
    <t>Pre Tax ROE from 11th year onwards</t>
  </si>
  <si>
    <t>Insurance Premium Cost</t>
  </si>
  <si>
    <t>% Of CAPEX</t>
  </si>
  <si>
    <t>Plant &amp; Machinery Depreciation (15%)</t>
  </si>
  <si>
    <t>Revenue/year</t>
  </si>
  <si>
    <t>Lakh Rs/Year</t>
  </si>
  <si>
    <r>
      <t xml:space="preserve">Cashflow available for repayment </t>
    </r>
    <r>
      <rPr>
        <b/>
        <sz val="11"/>
        <color theme="4" tint="-0.249977111117893"/>
        <rFont val="Calibri"/>
        <family val="2"/>
        <scheme val="minor"/>
      </rPr>
      <t>(PAT+Book dep.)</t>
    </r>
  </si>
  <si>
    <r>
      <t xml:space="preserve">Capital repayments </t>
    </r>
    <r>
      <rPr>
        <b/>
        <sz val="11"/>
        <color theme="4" tint="-0.249977111117893"/>
        <rFont val="Calibri"/>
        <family val="2"/>
        <scheme val="minor"/>
      </rPr>
      <t>(Loan Principal Amount Repayment)</t>
    </r>
  </si>
  <si>
    <t>https://www.caclubindia.com/experts/mat-adjustment-1920859.asp</t>
  </si>
  <si>
    <t>EMI</t>
  </si>
  <si>
    <t>Total Payment</t>
  </si>
  <si>
    <t>total payment Per Year</t>
  </si>
  <si>
    <t>total payment Per Month</t>
  </si>
  <si>
    <t>Lac</t>
  </si>
  <si>
    <t>EBITDA</t>
  </si>
  <si>
    <t>EBIT</t>
  </si>
  <si>
    <t>PBT</t>
  </si>
  <si>
    <t>Total Expenditure</t>
  </si>
  <si>
    <t>EBIT=EBITDA-DEPRECIATION</t>
  </si>
  <si>
    <t>INTEREST ON WC</t>
  </si>
  <si>
    <t>INTEREST ON LOAN</t>
  </si>
  <si>
    <t>EBITDA= REVENUE-EXPENDITURE</t>
  </si>
  <si>
    <t xml:space="preserve">PBT </t>
  </si>
  <si>
    <t>DEPRECIATION (BOOK ) SLM</t>
  </si>
  <si>
    <t>PBT=EBIT-INTEREST ON LOAN &amp; WC</t>
  </si>
  <si>
    <t>PAT+ Book Depreciation</t>
  </si>
  <si>
    <t>CF from operations-post tax + Interest payment(loan)</t>
  </si>
  <si>
    <r>
      <t xml:space="preserve">MARGINAL TAX RATE </t>
    </r>
    <r>
      <rPr>
        <b/>
        <sz val="11"/>
        <color theme="4" tint="-0.249977111117893"/>
        <rFont val="Calibri"/>
        <family val="2"/>
        <scheme val="minor"/>
      </rPr>
      <t>(TAX PAID/PAT)</t>
    </r>
  </si>
  <si>
    <t>Post TAX ROE (for 10 yrs)</t>
  </si>
  <si>
    <t>Post TAX ROE (for rest yrs)</t>
  </si>
  <si>
    <t>Discount rate for 10 yrs</t>
  </si>
  <si>
    <t>Discount rate for rest years</t>
  </si>
  <si>
    <t>Discount Rate for 10 years</t>
  </si>
  <si>
    <t>Discount Rate for rest of the years</t>
  </si>
  <si>
    <t>Weighted Average POST TAX ROE</t>
  </si>
  <si>
    <t>Weighted Average Discount Rate</t>
  </si>
  <si>
    <t>Weighted Average of Post Tax ROE</t>
  </si>
  <si>
    <t>Total Land Lease Payment/year</t>
  </si>
  <si>
    <r>
      <t xml:space="preserve">Depreciation Rate </t>
    </r>
    <r>
      <rPr>
        <sz val="11"/>
        <color theme="5" tint="-0.249977111117893"/>
        <rFont val="Calibri"/>
        <family val="2"/>
        <scheme val="minor"/>
      </rPr>
      <t xml:space="preserve"> year onwards</t>
    </r>
  </si>
  <si>
    <t>Total</t>
  </si>
  <si>
    <t>i) Raw Material</t>
  </si>
  <si>
    <t xml:space="preserve">2)   Chemicals and Reagents etc. (L.S.) </t>
  </si>
  <si>
    <t>3)   Corrugated boxes, strip, tap etc.</t>
  </si>
  <si>
    <t>Salary and Wages</t>
  </si>
  <si>
    <t>Sl. No.</t>
  </si>
  <si>
    <t>Designation</t>
  </si>
  <si>
    <t>No.</t>
  </si>
  <si>
    <t>Salary</t>
  </si>
  <si>
    <t>Production Manager-cum-Chief Chemist</t>
  </si>
  <si>
    <t>Lab. Assistant</t>
  </si>
  <si>
    <t>Production Supervisor</t>
  </si>
  <si>
    <t>Skilled Workers, including Electricians and Mechanic Driver</t>
  </si>
  <si>
    <t xml:space="preserve"> Un-skilled Workers </t>
  </si>
  <si>
    <t>ii)   Fuels and other</t>
  </si>
  <si>
    <t>Postage and Stationery</t>
  </si>
  <si>
    <t>Telephone/Fax Charges</t>
  </si>
  <si>
    <t>Consumable Stores</t>
  </si>
  <si>
    <t>Repairing and Maintenance</t>
  </si>
  <si>
    <t>Transport Charges</t>
  </si>
  <si>
    <t>Advertisement and Publicity</t>
  </si>
  <si>
    <t>Sales Expenses</t>
  </si>
  <si>
    <t>Licence and other Fees</t>
  </si>
  <si>
    <t>Miscellaneous Expenses</t>
  </si>
  <si>
    <t>Total (Rs in Lakhs)</t>
  </si>
  <si>
    <t xml:space="preserve">Raw Materials/Packaging Materials </t>
  </si>
  <si>
    <t>Utilities</t>
  </si>
  <si>
    <t>Recurring Expenses</t>
  </si>
  <si>
    <t>Water Processing</t>
  </si>
  <si>
    <t>KL/Day</t>
  </si>
  <si>
    <t>Water Required For Plant</t>
  </si>
  <si>
    <t>Remaining Water for Mineral Water Plant</t>
  </si>
  <si>
    <t>Water Discharged After Conversion</t>
  </si>
  <si>
    <t>Reduction in Efficiency/Year</t>
  </si>
  <si>
    <t>Useful Life of Plant</t>
  </si>
  <si>
    <t>Water Treatment Plant Cost</t>
  </si>
  <si>
    <t>Bottling Plant Cost</t>
  </si>
  <si>
    <t>Total Cost</t>
  </si>
  <si>
    <t>Raw Material</t>
  </si>
  <si>
    <t>SELLING PRICE OF BOTTLE</t>
  </si>
  <si>
    <t>Rs/Lit</t>
  </si>
  <si>
    <t>Water Discharged after Conversion</t>
  </si>
  <si>
    <t>Water for Bottling Plant</t>
  </si>
  <si>
    <t>Net Production of Water in Bottling Plant</t>
  </si>
  <si>
    <t>L/Day</t>
  </si>
  <si>
    <t>L/Year</t>
  </si>
  <si>
    <t>Working capital requirement (for 3 months)</t>
  </si>
  <si>
    <t>Rs Lacs/Month</t>
  </si>
  <si>
    <t>Insurance Premium</t>
  </si>
  <si>
    <t>% of Book Value</t>
  </si>
  <si>
    <t>Insurance (/Year)</t>
  </si>
  <si>
    <t>Land Lease/Year</t>
  </si>
  <si>
    <t>Fixed Cost+Variable Cost</t>
  </si>
  <si>
    <t>Land Lease/year</t>
  </si>
  <si>
    <t>Rs Lac/Year</t>
  </si>
  <si>
    <t>Total Cost of Production of 1lit of Water Bottle</t>
  </si>
  <si>
    <t>Income From Sale of Bottles</t>
  </si>
  <si>
    <t xml:space="preserve">Production Cost </t>
  </si>
  <si>
    <t>Actual Cost of Production of Bottle</t>
  </si>
  <si>
    <t>SP of Bottle (1 Lit)</t>
  </si>
  <si>
    <t>At Selling Price of Bottle</t>
  </si>
  <si>
    <t>Avg Cost of Production</t>
  </si>
  <si>
    <t>ii)Salary and Wages</t>
  </si>
  <si>
    <t>Rs/Month</t>
  </si>
  <si>
    <t>iv) Other Contingent Expenses (Recurring Expenses)</t>
  </si>
  <si>
    <t>Rs Lakhs/Month</t>
  </si>
  <si>
    <t>For 3 months</t>
  </si>
  <si>
    <t>Other Contingent Expenses (Recurring Expenses)</t>
  </si>
  <si>
    <t>iii) Utilities</t>
  </si>
  <si>
    <t>i)    Electricity  Consumption By desalination Unit</t>
  </si>
  <si>
    <t>NA</t>
  </si>
  <si>
    <t>Lakhs</t>
  </si>
  <si>
    <t>Net Production of Bottle (1lit)</t>
  </si>
  <si>
    <t>Lakhs/Year</t>
  </si>
  <si>
    <t>Net Bottle  Produced and Sold (1 Lit)</t>
  </si>
  <si>
    <t>Working Capital (per month)</t>
  </si>
  <si>
    <t>Number of Working Days</t>
  </si>
  <si>
    <t>Days</t>
  </si>
  <si>
    <t>1)   PET/PVC bottle including cap labels etc. 1 lit. size @ 3.60 Rs</t>
  </si>
  <si>
    <t>Lakhs/Month</t>
  </si>
  <si>
    <t>Salary And Wages</t>
  </si>
  <si>
    <t>Electricity Cost/Unit</t>
  </si>
  <si>
    <t>Electricity Consumption by Desalination Plant</t>
  </si>
  <si>
    <t>Electricity Consumption by Bottling Plant</t>
  </si>
  <si>
    <t>kWh/m3</t>
  </si>
  <si>
    <t>Working Capital (per  month)</t>
  </si>
  <si>
    <t>o   Equipment’s Required</t>
  </si>
  <si>
    <t xml:space="preserve">Equipment’s /Components      </t>
  </si>
  <si>
    <t xml:space="preserve">Storage Tank for Storing Desalinated Water                 </t>
  </si>
  <si>
    <t xml:space="preserve">Feed / Transfer Pump                                                 </t>
  </si>
  <si>
    <t xml:space="preserve">UV Sterilizer Units                                                        </t>
  </si>
  <si>
    <t>Ozonisation Unit with Re pressurization Pump</t>
  </si>
  <si>
    <t xml:space="preserve">Ozone Ventury with Static Mixture                           </t>
  </si>
  <si>
    <t xml:space="preserve">Ozonator With O2 Gen.                                             </t>
  </si>
  <si>
    <t xml:space="preserve">Storage Tank (Final / RO Water) </t>
  </si>
  <si>
    <t>Pet Stretch Blow Molding</t>
  </si>
  <si>
    <t>Air Compressor</t>
  </si>
  <si>
    <t>Compressor Air Dryers &amp; Filters</t>
  </si>
  <si>
    <t>Chiller for Mold cooling</t>
  </si>
  <si>
    <t>Bottle Mold</t>
  </si>
  <si>
    <t>Desalination Plant Cost</t>
  </si>
  <si>
    <t xml:space="preserve">i)    Electricity </t>
  </si>
  <si>
    <t>User Provided Cost of bottle</t>
  </si>
  <si>
    <t>Actual cost of production</t>
  </si>
  <si>
    <t>Selling Price of Bottle</t>
  </si>
  <si>
    <t>Assumption for  Projects Parameters</t>
  </si>
  <si>
    <t>Capital Cost</t>
  </si>
  <si>
    <t>Rs/L</t>
  </si>
  <si>
    <t>Determination of  Cost</t>
  </si>
  <si>
    <t>Avg. Annual Revenue Collected based on avg. cost</t>
  </si>
  <si>
    <t>BOOK VALUE AFTER DEPRECIATION (Using SLM) for Avg Cost Cal.</t>
  </si>
  <si>
    <r>
      <t xml:space="preserve">Depreciation Rate for first </t>
    </r>
    <r>
      <rPr>
        <sz val="11"/>
        <color theme="5" tint="-0.249977111117893"/>
        <rFont val="Calibri"/>
        <family val="2"/>
        <scheme val="minor"/>
      </rPr>
      <t>13 years</t>
    </r>
  </si>
  <si>
    <t>AVG</t>
  </si>
  <si>
    <t>Amount (In Rs./Month)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</si>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</sst>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%"/>
    <numFmt numFmtId="165" formatCode="0.0"/>
    <numFmt numFmtId="166" formatCode="0.000%"/>
    <numFmt numFmtId="167" formatCode="_ * #,##0_ ;_ * \-#,##0_ ;_ * &quot;-&quot;??_ ;_ @_ "/>
    <numFmt numFmtId="168" formatCode="#,##0.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u/>
      <sz val="11"/>
      <color theme="4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FFC000"/>
      </right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 style="medium">
        <color indexed="64"/>
      </top>
      <bottom/>
      <diagonal/>
    </border>
    <border>
      <left/>
      <right style="medium">
        <color rgb="FFFFC000"/>
      </right>
      <top style="medium">
        <color indexed="64"/>
      </top>
      <bottom/>
      <diagonal/>
    </border>
    <border>
      <left style="medium">
        <color rgb="FFFFC000"/>
      </left>
      <right/>
      <top/>
      <bottom style="medium">
        <color indexed="64"/>
      </bottom>
      <diagonal/>
    </border>
    <border>
      <left/>
      <right style="medium">
        <color rgb="FFFFC000"/>
      </right>
      <top/>
      <bottom style="medium">
        <color indexed="64"/>
      </bottom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  <xf numFmtId="43" fontId="5" fillId="0" borderId="0" applyFont="0" applyFill="0" applyBorder="0" applyAlignment="0" applyProtection="0"/>
  </cellStyleXfs>
  <cellXfs count="39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2" fontId="0" fillId="0" borderId="0" xfId="0" applyNumberFormat="1"/>
    <xf numFmtId="2" fontId="0" fillId="3" borderId="0" xfId="0" applyNumberFormat="1" applyFill="1"/>
    <xf numFmtId="0" fontId="0" fillId="0" borderId="0" xfId="0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0" fontId="0" fillId="0" borderId="0" xfId="0" applyNumberFormat="1" applyBorder="1"/>
    <xf numFmtId="0" fontId="0" fillId="0" borderId="9" xfId="0" applyFont="1" applyBorder="1"/>
    <xf numFmtId="0" fontId="0" fillId="0" borderId="1" xfId="0" applyFont="1" applyBorder="1"/>
    <xf numFmtId="0" fontId="1" fillId="0" borderId="17" xfId="0" applyFont="1" applyBorder="1"/>
    <xf numFmtId="0" fontId="4" fillId="5" borderId="0" xfId="0" applyFont="1" applyFill="1"/>
    <xf numFmtId="0" fontId="1" fillId="5" borderId="0" xfId="0" applyFont="1" applyFill="1"/>
    <xf numFmtId="0" fontId="1" fillId="6" borderId="17" xfId="0" applyFont="1" applyFill="1" applyBorder="1"/>
    <xf numFmtId="0" fontId="1" fillId="8" borderId="0" xfId="0" applyFont="1" applyFill="1"/>
    <xf numFmtId="0" fontId="0" fillId="0" borderId="19" xfId="0" applyBorder="1"/>
    <xf numFmtId="10" fontId="0" fillId="0" borderId="3" xfId="0" applyNumberFormat="1" applyBorder="1"/>
    <xf numFmtId="0" fontId="0" fillId="0" borderId="16" xfId="0" applyBorder="1"/>
    <xf numFmtId="1" fontId="0" fillId="0" borderId="0" xfId="0" applyNumberFormat="1"/>
    <xf numFmtId="0" fontId="4" fillId="0" borderId="0" xfId="0" applyFont="1"/>
    <xf numFmtId="0" fontId="13" fillId="0" borderId="0" xfId="0" applyFont="1"/>
    <xf numFmtId="2" fontId="0" fillId="0" borderId="0" xfId="0" applyNumberFormat="1" applyBorder="1"/>
    <xf numFmtId="2" fontId="0" fillId="6" borderId="18" xfId="0" applyNumberFormat="1" applyFill="1" applyBorder="1"/>
    <xf numFmtId="0" fontId="1" fillId="0" borderId="1" xfId="0" applyFont="1" applyBorder="1"/>
    <xf numFmtId="0" fontId="0" fillId="3" borderId="0" xfId="0" applyFill="1" applyBorder="1"/>
    <xf numFmtId="0" fontId="1" fillId="0" borderId="14" xfId="0" applyFont="1" applyBorder="1"/>
    <xf numFmtId="2" fontId="0" fillId="0" borderId="5" xfId="0" applyNumberFormat="1" applyBorder="1"/>
    <xf numFmtId="2" fontId="0" fillId="0" borderId="16" xfId="0" applyNumberFormat="1" applyBorder="1"/>
    <xf numFmtId="2" fontId="0" fillId="0" borderId="6" xfId="0" applyNumberFormat="1" applyBorder="1"/>
    <xf numFmtId="0" fontId="1" fillId="3" borderId="15" xfId="0" applyFont="1" applyFill="1" applyBorder="1"/>
    <xf numFmtId="2" fontId="0" fillId="0" borderId="8" xfId="0" applyNumberFormat="1" applyBorder="1"/>
    <xf numFmtId="2" fontId="0" fillId="0" borderId="7" xfId="0" applyNumberFormat="1" applyBorder="1"/>
    <xf numFmtId="1" fontId="1" fillId="3" borderId="0" xfId="0" applyNumberFormat="1" applyFont="1" applyFill="1" applyBorder="1"/>
    <xf numFmtId="1" fontId="1" fillId="3" borderId="5" xfId="0" applyNumberFormat="1" applyFont="1" applyFill="1" applyBorder="1"/>
    <xf numFmtId="0" fontId="1" fillId="3" borderId="0" xfId="0" applyFont="1" applyFill="1" applyBorder="1"/>
    <xf numFmtId="0" fontId="0" fillId="0" borderId="27" xfId="0" applyBorder="1"/>
    <xf numFmtId="0" fontId="1" fillId="0" borderId="28" xfId="0" applyFont="1" applyBorder="1"/>
    <xf numFmtId="0" fontId="0" fillId="0" borderId="29" xfId="0" applyBorder="1"/>
    <xf numFmtId="0" fontId="0" fillId="0" borderId="30" xfId="0" applyBorder="1"/>
    <xf numFmtId="0" fontId="1" fillId="3" borderId="31" xfId="0" applyFont="1" applyFill="1" applyBorder="1"/>
    <xf numFmtId="0" fontId="1" fillId="3" borderId="32" xfId="0" applyFont="1" applyFill="1" applyBorder="1"/>
    <xf numFmtId="0" fontId="0" fillId="0" borderId="31" xfId="0" applyBorder="1"/>
    <xf numFmtId="0" fontId="0" fillId="0" borderId="32" xfId="0" applyBorder="1"/>
    <xf numFmtId="0" fontId="1" fillId="0" borderId="33" xfId="0" applyFont="1" applyBorder="1"/>
    <xf numFmtId="0" fontId="0" fillId="0" borderId="34" xfId="0" applyBorder="1"/>
    <xf numFmtId="2" fontId="0" fillId="0" borderId="34" xfId="0" applyNumberFormat="1" applyBorder="1"/>
    <xf numFmtId="0" fontId="0" fillId="2" borderId="19" xfId="0" applyFill="1" applyBorder="1"/>
    <xf numFmtId="0" fontId="0" fillId="2" borderId="16" xfId="0" applyFill="1" applyBorder="1"/>
    <xf numFmtId="2" fontId="0" fillId="2" borderId="16" xfId="0" applyNumberFormat="1" applyFill="1" applyBorder="1"/>
    <xf numFmtId="0" fontId="0" fillId="2" borderId="37" xfId="0" applyFill="1" applyBorder="1"/>
    <xf numFmtId="0" fontId="0" fillId="2" borderId="38" xfId="0" applyFill="1" applyBorder="1"/>
    <xf numFmtId="2" fontId="0" fillId="2" borderId="38" xfId="0" applyNumberFormat="1" applyFill="1" applyBorder="1"/>
    <xf numFmtId="2" fontId="0" fillId="2" borderId="39" xfId="0" applyNumberFormat="1" applyFill="1" applyBorder="1"/>
    <xf numFmtId="0" fontId="0" fillId="2" borderId="35" xfId="0" applyFill="1" applyBorder="1"/>
    <xf numFmtId="2" fontId="0" fillId="2" borderId="36" xfId="0" applyNumberFormat="1" applyFill="1" applyBorder="1"/>
    <xf numFmtId="0" fontId="17" fillId="0" borderId="0" xfId="0" applyFont="1"/>
    <xf numFmtId="0" fontId="1" fillId="0" borderId="15" xfId="0" applyFont="1" applyBorder="1"/>
    <xf numFmtId="0" fontId="1" fillId="0" borderId="19" xfId="0" applyFont="1" applyBorder="1"/>
    <xf numFmtId="0" fontId="18" fillId="0" borderId="0" xfId="0" applyFont="1"/>
    <xf numFmtId="0" fontId="19" fillId="0" borderId="0" xfId="3" applyFont="1"/>
    <xf numFmtId="9" fontId="0" fillId="0" borderId="16" xfId="1" applyFont="1" applyBorder="1"/>
    <xf numFmtId="2" fontId="0" fillId="0" borderId="0" xfId="0" applyNumberFormat="1" applyBorder="1" applyAlignment="1">
      <alignment horizontal="right"/>
    </xf>
    <xf numFmtId="0" fontId="0" fillId="0" borderId="18" xfId="0" applyBorder="1"/>
    <xf numFmtId="1" fontId="0" fillId="0" borderId="0" xfId="0" applyNumberFormat="1" applyBorder="1"/>
    <xf numFmtId="9" fontId="0" fillId="0" borderId="0" xfId="1" applyFont="1" applyBorder="1"/>
    <xf numFmtId="0" fontId="20" fillId="0" borderId="15" xfId="0" applyFont="1" applyBorder="1"/>
    <xf numFmtId="1" fontId="20" fillId="0" borderId="0" xfId="0" applyNumberFormat="1" applyFont="1" applyBorder="1"/>
    <xf numFmtId="0" fontId="20" fillId="0" borderId="3" xfId="0" applyFont="1" applyBorder="1"/>
    <xf numFmtId="9" fontId="0" fillId="0" borderId="6" xfId="1" applyFont="1" applyBorder="1"/>
    <xf numFmtId="165" fontId="0" fillId="0" borderId="0" xfId="0" applyNumberFormat="1" applyBorder="1"/>
    <xf numFmtId="0" fontId="1" fillId="2" borderId="0" xfId="0" applyFont="1" applyFill="1" applyBorder="1"/>
    <xf numFmtId="0" fontId="21" fillId="0" borderId="0" xfId="0" applyFont="1"/>
    <xf numFmtId="9" fontId="0" fillId="0" borderId="0" xfId="0" applyNumberFormat="1" applyBorder="1"/>
    <xf numFmtId="0" fontId="4" fillId="0" borderId="14" xfId="0" applyFont="1" applyBorder="1" applyAlignment="1"/>
    <xf numFmtId="0" fontId="4" fillId="0" borderId="8" xfId="0" applyFont="1" applyBorder="1" applyAlignment="1"/>
    <xf numFmtId="0" fontId="1" fillId="2" borderId="15" xfId="0" applyFont="1" applyFill="1" applyBorder="1"/>
    <xf numFmtId="0" fontId="1" fillId="2" borderId="5" xfId="0" applyFont="1" applyFill="1" applyBorder="1"/>
    <xf numFmtId="9" fontId="0" fillId="0" borderId="5" xfId="0" applyNumberFormat="1" applyBorder="1"/>
    <xf numFmtId="1" fontId="0" fillId="0" borderId="5" xfId="0" applyNumberFormat="1" applyBorder="1"/>
    <xf numFmtId="8" fontId="0" fillId="0" borderId="0" xfId="0" applyNumberFormat="1" applyBorder="1"/>
    <xf numFmtId="0" fontId="7" fillId="2" borderId="15" xfId="0" applyFont="1" applyFill="1" applyBorder="1"/>
    <xf numFmtId="0" fontId="7" fillId="2" borderId="0" xfId="0" applyFont="1" applyFill="1" applyBorder="1"/>
    <xf numFmtId="0" fontId="15" fillId="2" borderId="0" xfId="0" applyFont="1" applyFill="1" applyBorder="1"/>
    <xf numFmtId="0" fontId="0" fillId="0" borderId="15" xfId="0" applyFont="1" applyBorder="1"/>
    <xf numFmtId="0" fontId="0" fillId="8" borderId="5" xfId="0" applyFill="1" applyBorder="1"/>
    <xf numFmtId="0" fontId="0" fillId="8" borderId="1" xfId="0" applyFill="1" applyBorder="1"/>
    <xf numFmtId="0" fontId="15" fillId="0" borderId="17" xfId="0" applyFont="1" applyFill="1" applyBorder="1" applyProtection="1"/>
    <xf numFmtId="0" fontId="1" fillId="3" borderId="17" xfId="0" applyFont="1" applyFill="1" applyBorder="1"/>
    <xf numFmtId="0" fontId="1" fillId="0" borderId="0" xfId="0" applyFont="1" applyAlignment="1">
      <alignment wrapText="1"/>
    </xf>
    <xf numFmtId="9" fontId="0" fillId="2" borderId="0" xfId="0" applyNumberFormat="1" applyFill="1" applyBorder="1"/>
    <xf numFmtId="43" fontId="0" fillId="2" borderId="16" xfId="0" applyNumberFormat="1" applyFill="1" applyBorder="1"/>
    <xf numFmtId="0" fontId="2" fillId="0" borderId="0" xfId="0" applyFont="1" applyBorder="1"/>
    <xf numFmtId="0" fontId="1" fillId="3" borderId="18" xfId="0" applyFont="1" applyFill="1" applyBorder="1"/>
    <xf numFmtId="0" fontId="1" fillId="3" borderId="9" xfId="0" applyFont="1" applyFill="1" applyBorder="1"/>
    <xf numFmtId="0" fontId="2" fillId="0" borderId="16" xfId="0" applyFont="1" applyBorder="1"/>
    <xf numFmtId="43" fontId="0" fillId="2" borderId="0" xfId="0" applyNumberFormat="1" applyFill="1" applyBorder="1"/>
    <xf numFmtId="2" fontId="1" fillId="2" borderId="18" xfId="0" applyNumberFormat="1" applyFont="1" applyFill="1" applyBorder="1"/>
    <xf numFmtId="167" fontId="1" fillId="2" borderId="17" xfId="0" applyNumberFormat="1" applyFont="1" applyFill="1" applyBorder="1"/>
    <xf numFmtId="0" fontId="1" fillId="2" borderId="18" xfId="0" applyFont="1" applyFill="1" applyBorder="1"/>
    <xf numFmtId="0" fontId="1" fillId="2" borderId="9" xfId="0" applyFont="1" applyFill="1" applyBorder="1"/>
    <xf numFmtId="167" fontId="0" fillId="0" borderId="0" xfId="0" applyNumberFormat="1" applyBorder="1"/>
    <xf numFmtId="167" fontId="0" fillId="0" borderId="5" xfId="0" applyNumberFormat="1" applyBorder="1"/>
    <xf numFmtId="2" fontId="1" fillId="4" borderId="0" xfId="0" applyNumberFormat="1" applyFont="1" applyFill="1"/>
    <xf numFmtId="2" fontId="1" fillId="8" borderId="0" xfId="2" applyNumberFormat="1" applyFont="1" applyFill="1"/>
    <xf numFmtId="10" fontId="1" fillId="8" borderId="0" xfId="0" applyNumberFormat="1" applyFont="1" applyFill="1"/>
    <xf numFmtId="2" fontId="17" fillId="0" borderId="0" xfId="0" applyNumberFormat="1" applyFont="1"/>
    <xf numFmtId="165" fontId="0" fillId="0" borderId="2" xfId="0" applyNumberFormat="1" applyFont="1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0" fillId="0" borderId="16" xfId="0" applyNumberFormat="1" applyFont="1" applyBorder="1"/>
    <xf numFmtId="10" fontId="0" fillId="2" borderId="0" xfId="0" applyNumberFormat="1" applyFill="1" applyBorder="1"/>
    <xf numFmtId="165" fontId="0" fillId="0" borderId="8" xfId="0" applyNumberFormat="1" applyFont="1" applyBorder="1"/>
    <xf numFmtId="9" fontId="1" fillId="2" borderId="9" xfId="1" applyNumberFormat="1" applyFont="1" applyFill="1" applyBorder="1"/>
    <xf numFmtId="165" fontId="0" fillId="0" borderId="5" xfId="0" applyNumberFormat="1" applyBorder="1"/>
    <xf numFmtId="0" fontId="23" fillId="3" borderId="17" xfId="0" applyFont="1" applyFill="1" applyBorder="1"/>
    <xf numFmtId="165" fontId="0" fillId="0" borderId="0" xfId="0" applyNumberFormat="1"/>
    <xf numFmtId="167" fontId="15" fillId="0" borderId="1" xfId="5" applyNumberFormat="1" applyFont="1" applyFill="1" applyBorder="1" applyAlignment="1" applyProtection="1">
      <alignment horizontal="center"/>
    </xf>
    <xf numFmtId="167" fontId="0" fillId="0" borderId="16" xfId="0" applyNumberFormat="1" applyBorder="1"/>
    <xf numFmtId="165" fontId="0" fillId="0" borderId="16" xfId="0" applyNumberFormat="1" applyBorder="1"/>
    <xf numFmtId="9" fontId="1" fillId="8" borderId="21" xfId="0" applyNumberFormat="1" applyFont="1" applyFill="1" applyBorder="1"/>
    <xf numFmtId="164" fontId="0" fillId="2" borderId="0" xfId="0" applyNumberFormat="1" applyFill="1" applyBorder="1"/>
    <xf numFmtId="167" fontId="0" fillId="0" borderId="8" xfId="0" applyNumberFormat="1" applyBorder="1"/>
    <xf numFmtId="167" fontId="0" fillId="0" borderId="7" xfId="0" applyNumberFormat="1" applyBorder="1"/>
    <xf numFmtId="0" fontId="17" fillId="2" borderId="15" xfId="0" applyFont="1" applyFill="1" applyBorder="1"/>
    <xf numFmtId="0" fontId="17" fillId="2" borderId="19" xfId="0" applyFont="1" applyFill="1" applyBorder="1"/>
    <xf numFmtId="165" fontId="1" fillId="8" borderId="17" xfId="0" applyNumberFormat="1" applyFont="1" applyFill="1" applyBorder="1"/>
    <xf numFmtId="0" fontId="1" fillId="8" borderId="9" xfId="0" applyFont="1" applyFill="1" applyBorder="1"/>
    <xf numFmtId="165" fontId="1" fillId="8" borderId="19" xfId="0" applyNumberFormat="1" applyFont="1" applyFill="1" applyBorder="1"/>
    <xf numFmtId="0" fontId="0" fillId="0" borderId="0" xfId="1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8" borderId="0" xfId="0" applyFill="1" applyBorder="1"/>
    <xf numFmtId="0" fontId="0" fillId="11" borderId="0" xfId="0" applyFill="1" applyBorder="1"/>
    <xf numFmtId="0" fontId="0" fillId="11" borderId="0" xfId="0" applyFill="1"/>
    <xf numFmtId="0" fontId="1" fillId="12" borderId="2" xfId="0" applyFont="1" applyFill="1" applyBorder="1"/>
    <xf numFmtId="0" fontId="1" fillId="11" borderId="0" xfId="0" applyFont="1" applyFill="1" applyBorder="1" applyAlignment="1"/>
    <xf numFmtId="9" fontId="5" fillId="11" borderId="0" xfId="1" applyNumberFormat="1" applyFont="1" applyFill="1" applyBorder="1"/>
    <xf numFmtId="0" fontId="0" fillId="11" borderId="16" xfId="0" applyFill="1" applyBorder="1"/>
    <xf numFmtId="0" fontId="0" fillId="11" borderId="8" xfId="0" applyFill="1" applyBorder="1"/>
    <xf numFmtId="0" fontId="0" fillId="8" borderId="16" xfId="0" applyFill="1" applyBorder="1"/>
    <xf numFmtId="0" fontId="0" fillId="11" borderId="18" xfId="0" applyFill="1" applyBorder="1"/>
    <xf numFmtId="0" fontId="0" fillId="11" borderId="7" xfId="0" applyFill="1" applyBorder="1"/>
    <xf numFmtId="0" fontId="0" fillId="11" borderId="6" xfId="0" applyFill="1" applyBorder="1"/>
    <xf numFmtId="0" fontId="0" fillId="11" borderId="2" xfId="0" applyFill="1" applyBorder="1"/>
    <xf numFmtId="0" fontId="0" fillId="11" borderId="3" xfId="0" applyFill="1" applyBorder="1"/>
    <xf numFmtId="10" fontId="0" fillId="8" borderId="9" xfId="0" applyNumberFormat="1" applyFill="1" applyBorder="1"/>
    <xf numFmtId="10" fontId="1" fillId="2" borderId="0" xfId="0" applyNumberFormat="1" applyFont="1" applyFill="1"/>
    <xf numFmtId="0" fontId="1" fillId="13" borderId="0" xfId="0" applyFont="1" applyFill="1"/>
    <xf numFmtId="2" fontId="0" fillId="10" borderId="0" xfId="0" applyNumberFormat="1" applyFill="1" applyBorder="1"/>
    <xf numFmtId="0" fontId="20" fillId="10" borderId="4" xfId="0" applyFont="1" applyFill="1" applyBorder="1"/>
    <xf numFmtId="2" fontId="0" fillId="12" borderId="0" xfId="0" applyNumberFormat="1" applyFill="1" applyBorder="1"/>
    <xf numFmtId="0" fontId="1" fillId="11" borderId="2" xfId="0" applyFont="1" applyFill="1" applyBorder="1"/>
    <xf numFmtId="0" fontId="1" fillId="11" borderId="1" xfId="0" applyFont="1" applyFill="1" applyBorder="1"/>
    <xf numFmtId="0" fontId="23" fillId="11" borderId="0" xfId="0" applyFont="1" applyFill="1" applyBorder="1" applyAlignment="1">
      <alignment wrapText="1"/>
    </xf>
    <xf numFmtId="0" fontId="1" fillId="11" borderId="0" xfId="0" applyFont="1" applyFill="1"/>
    <xf numFmtId="2" fontId="1" fillId="11" borderId="8" xfId="0" applyNumberFormat="1" applyFont="1" applyFill="1" applyBorder="1"/>
    <xf numFmtId="10" fontId="0" fillId="11" borderId="8" xfId="1" applyNumberFormat="1" applyFont="1" applyFill="1" applyBorder="1"/>
    <xf numFmtId="43" fontId="0" fillId="11" borderId="8" xfId="0" applyNumberFormat="1" applyFill="1" applyBorder="1"/>
    <xf numFmtId="10" fontId="0" fillId="11" borderId="8" xfId="0" applyNumberFormat="1" applyFill="1" applyBorder="1"/>
    <xf numFmtId="2" fontId="1" fillId="11" borderId="16" xfId="0" applyNumberFormat="1" applyFont="1" applyFill="1" applyBorder="1"/>
    <xf numFmtId="9" fontId="0" fillId="11" borderId="16" xfId="0" applyNumberFormat="1" applyFill="1" applyBorder="1"/>
    <xf numFmtId="43" fontId="0" fillId="11" borderId="16" xfId="0" applyNumberFormat="1" applyFill="1" applyBorder="1"/>
    <xf numFmtId="0" fontId="1" fillId="12" borderId="17" xfId="0" applyFont="1" applyFill="1" applyBorder="1"/>
    <xf numFmtId="0" fontId="17" fillId="12" borderId="17" xfId="0" applyFont="1" applyFill="1" applyBorder="1"/>
    <xf numFmtId="0" fontId="17" fillId="12" borderId="1" xfId="0" applyFont="1" applyFill="1" applyBorder="1"/>
    <xf numFmtId="0" fontId="1" fillId="12" borderId="1" xfId="0" applyFont="1" applyFill="1" applyBorder="1"/>
    <xf numFmtId="0" fontId="4" fillId="11" borderId="0" xfId="0" applyFont="1" applyFill="1"/>
    <xf numFmtId="0" fontId="1" fillId="11" borderId="3" xfId="0" applyFont="1" applyFill="1" applyBorder="1"/>
    <xf numFmtId="0" fontId="1" fillId="11" borderId="25" xfId="0" applyFont="1" applyFill="1" applyBorder="1"/>
    <xf numFmtId="0" fontId="1" fillId="11" borderId="14" xfId="0" applyFont="1" applyFill="1" applyBorder="1"/>
    <xf numFmtId="0" fontId="1" fillId="11" borderId="15" xfId="0" applyFont="1" applyFill="1" applyBorder="1"/>
    <xf numFmtId="0" fontId="1" fillId="11" borderId="19" xfId="0" applyFont="1" applyFill="1" applyBorder="1"/>
    <xf numFmtId="0" fontId="0" fillId="11" borderId="12" xfId="0" applyFill="1" applyBorder="1"/>
    <xf numFmtId="0" fontId="24" fillId="11" borderId="11" xfId="0" applyFont="1" applyFill="1" applyBorder="1"/>
    <xf numFmtId="2" fontId="0" fillId="11" borderId="0" xfId="0" applyNumberFormat="1" applyFill="1"/>
    <xf numFmtId="2" fontId="2" fillId="11" borderId="5" xfId="1" applyNumberFormat="1" applyFont="1" applyFill="1" applyBorder="1"/>
    <xf numFmtId="10" fontId="0" fillId="11" borderId="3" xfId="0" applyNumberFormat="1" applyFill="1" applyBorder="1"/>
    <xf numFmtId="0" fontId="11" fillId="11" borderId="0" xfId="0" applyFont="1" applyFill="1" applyBorder="1" applyProtection="1"/>
    <xf numFmtId="9" fontId="14" fillId="11" borderId="0" xfId="1" applyFont="1" applyFill="1" applyBorder="1" applyAlignment="1" applyProtection="1">
      <protection locked="0"/>
    </xf>
    <xf numFmtId="0" fontId="11" fillId="11" borderId="0" xfId="0" applyFont="1" applyFill="1" applyBorder="1" applyAlignment="1" applyProtection="1">
      <alignment horizontal="center"/>
    </xf>
    <xf numFmtId="166" fontId="0" fillId="11" borderId="0" xfId="1" applyNumberFormat="1" applyFont="1" applyFill="1"/>
    <xf numFmtId="0" fontId="17" fillId="11" borderId="0" xfId="0" applyFont="1" applyFill="1"/>
    <xf numFmtId="8" fontId="1" fillId="11" borderId="0" xfId="0" applyNumberFormat="1" applyFont="1" applyFill="1"/>
    <xf numFmtId="0" fontId="17" fillId="10" borderId="41" xfId="0" applyFont="1" applyFill="1" applyBorder="1"/>
    <xf numFmtId="0" fontId="0" fillId="11" borderId="14" xfId="0" applyFill="1" applyBorder="1"/>
    <xf numFmtId="9" fontId="0" fillId="11" borderId="2" xfId="0" applyNumberFormat="1" applyFill="1" applyBorder="1"/>
    <xf numFmtId="0" fontId="0" fillId="11" borderId="15" xfId="0" applyFill="1" applyBorder="1"/>
    <xf numFmtId="0" fontId="0" fillId="11" borderId="19" xfId="0" applyFill="1" applyBorder="1"/>
    <xf numFmtId="0" fontId="1" fillId="11" borderId="0" xfId="0" applyFont="1" applyFill="1" applyBorder="1"/>
    <xf numFmtId="0" fontId="1" fillId="11" borderId="18" xfId="0" applyFont="1" applyFill="1" applyBorder="1"/>
    <xf numFmtId="0" fontId="1" fillId="11" borderId="23" xfId="0" applyFont="1" applyFill="1" applyBorder="1"/>
    <xf numFmtId="0" fontId="1" fillId="11" borderId="10" xfId="0" applyFont="1" applyFill="1" applyBorder="1"/>
    <xf numFmtId="0" fontId="1" fillId="0" borderId="9" xfId="0" applyFont="1" applyBorder="1"/>
    <xf numFmtId="8" fontId="0" fillId="0" borderId="0" xfId="0" applyNumberFormat="1"/>
    <xf numFmtId="0" fontId="1" fillId="11" borderId="8" xfId="0" applyFont="1" applyFill="1" applyBorder="1"/>
    <xf numFmtId="0" fontId="0" fillId="11" borderId="1" xfId="0" applyFont="1" applyFill="1" applyBorder="1"/>
    <xf numFmtId="2" fontId="0" fillId="0" borderId="42" xfId="0" applyNumberFormat="1" applyBorder="1"/>
    <xf numFmtId="2" fontId="0" fillId="0" borderId="18" xfId="0" applyNumberFormat="1" applyBorder="1"/>
    <xf numFmtId="2" fontId="0" fillId="0" borderId="9" xfId="0" applyNumberFormat="1" applyBorder="1"/>
    <xf numFmtId="0" fontId="26" fillId="0" borderId="0" xfId="0" applyFont="1"/>
    <xf numFmtId="2" fontId="1" fillId="3" borderId="0" xfId="0" applyNumberFormat="1" applyFont="1" applyFill="1"/>
    <xf numFmtId="0" fontId="1" fillId="14" borderId="0" xfId="0" applyFont="1" applyFill="1"/>
    <xf numFmtId="2" fontId="0" fillId="14" borderId="0" xfId="0" applyNumberFormat="1" applyFill="1"/>
    <xf numFmtId="0" fontId="1" fillId="15" borderId="14" xfId="0" applyFont="1" applyFill="1" applyBorder="1"/>
    <xf numFmtId="0" fontId="1" fillId="15" borderId="17" xfId="0" applyFont="1" applyFill="1" applyBorder="1"/>
    <xf numFmtId="0" fontId="1" fillId="15" borderId="19" xfId="0" applyFont="1" applyFill="1" applyBorder="1"/>
    <xf numFmtId="164" fontId="2" fillId="7" borderId="1" xfId="0" applyNumberFormat="1" applyFont="1" applyFill="1" applyBorder="1"/>
    <xf numFmtId="0" fontId="0" fillId="11" borderId="14" xfId="0" applyFill="1" applyBorder="1" applyAlignment="1">
      <alignment wrapText="1"/>
    </xf>
    <xf numFmtId="0" fontId="0" fillId="11" borderId="15" xfId="0" applyFill="1" applyBorder="1" applyAlignment="1">
      <alignment wrapText="1"/>
    </xf>
    <xf numFmtId="9" fontId="3" fillId="11" borderId="2" xfId="0" applyNumberFormat="1" applyFont="1" applyFill="1" applyBorder="1"/>
    <xf numFmtId="9" fontId="3" fillId="11" borderId="3" xfId="0" applyNumberFormat="1" applyFont="1" applyFill="1" applyBorder="1"/>
    <xf numFmtId="10" fontId="0" fillId="11" borderId="4" xfId="0" applyNumberFormat="1" applyFill="1" applyBorder="1"/>
    <xf numFmtId="9" fontId="0" fillId="11" borderId="4" xfId="1" applyFont="1" applyFill="1" applyBorder="1"/>
    <xf numFmtId="9" fontId="0" fillId="11" borderId="2" xfId="0" applyNumberFormat="1" applyFont="1" applyFill="1" applyBorder="1"/>
    <xf numFmtId="0" fontId="0" fillId="2" borderId="0" xfId="0" applyFont="1" applyFill="1" applyBorder="1"/>
    <xf numFmtId="0" fontId="1" fillId="7" borderId="17" xfId="0" applyFont="1" applyFill="1" applyBorder="1"/>
    <xf numFmtId="0" fontId="20" fillId="8" borderId="2" xfId="0" applyFont="1" applyFill="1" applyBorder="1"/>
    <xf numFmtId="0" fontId="20" fillId="8" borderId="3" xfId="0" applyFont="1" applyFill="1" applyBorder="1"/>
    <xf numFmtId="0" fontId="1" fillId="0" borderId="0" xfId="0" applyFont="1" applyBorder="1" applyAlignment="1">
      <alignment horizontal="center"/>
    </xf>
    <xf numFmtId="0" fontId="27" fillId="11" borderId="25" xfId="0" applyFont="1" applyFill="1" applyBorder="1"/>
    <xf numFmtId="0" fontId="28" fillId="11" borderId="12" xfId="0" applyFont="1" applyFill="1" applyBorder="1"/>
    <xf numFmtId="0" fontId="28" fillId="11" borderId="25" xfId="0" applyFont="1" applyFill="1" applyBorder="1"/>
    <xf numFmtId="0" fontId="27" fillId="11" borderId="5" xfId="0" applyFont="1" applyFill="1" applyBorder="1"/>
    <xf numFmtId="0" fontId="27" fillId="11" borderId="43" xfId="0" applyFont="1" applyFill="1" applyBorder="1"/>
    <xf numFmtId="0" fontId="28" fillId="11" borderId="44" xfId="0" applyFont="1" applyFill="1" applyBorder="1"/>
    <xf numFmtId="0" fontId="28" fillId="11" borderId="13" xfId="0" applyFont="1" applyFill="1" applyBorder="1"/>
    <xf numFmtId="10" fontId="27" fillId="7" borderId="5" xfId="0" applyNumberFormat="1" applyFont="1" applyFill="1" applyBorder="1"/>
    <xf numFmtId="0" fontId="1" fillId="0" borderId="1" xfId="0" applyFont="1" applyFill="1" applyBorder="1"/>
    <xf numFmtId="164" fontId="2" fillId="0" borderId="9" xfId="0" applyNumberFormat="1" applyFont="1" applyFill="1" applyBorder="1"/>
    <xf numFmtId="164" fontId="2" fillId="0" borderId="1" xfId="0" applyNumberFormat="1" applyFont="1" applyFill="1" applyBorder="1"/>
    <xf numFmtId="0" fontId="1" fillId="16" borderId="1" xfId="0" applyFont="1" applyFill="1" applyBorder="1"/>
    <xf numFmtId="0" fontId="0" fillId="16" borderId="18" xfId="0" applyFill="1" applyBorder="1"/>
    <xf numFmtId="0" fontId="0" fillId="16" borderId="1" xfId="0" applyFill="1" applyBorder="1"/>
    <xf numFmtId="0" fontId="1" fillId="11" borderId="4" xfId="0" applyFont="1" applyFill="1" applyBorder="1"/>
    <xf numFmtId="0" fontId="28" fillId="0" borderId="26" xfId="0" applyFont="1" applyFill="1" applyBorder="1"/>
    <xf numFmtId="0" fontId="28" fillId="0" borderId="13" xfId="0" applyFont="1" applyFill="1" applyBorder="1"/>
    <xf numFmtId="10" fontId="27" fillId="0" borderId="6" xfId="0" applyNumberFormat="1" applyFont="1" applyFill="1" applyBorder="1"/>
    <xf numFmtId="10" fontId="27" fillId="0" borderId="5" xfId="0" applyNumberFormat="1" applyFont="1" applyFill="1" applyBorder="1"/>
    <xf numFmtId="9" fontId="27" fillId="7" borderId="45" xfId="1" applyFont="1" applyFill="1" applyBorder="1"/>
    <xf numFmtId="9" fontId="1" fillId="0" borderId="0" xfId="1" applyNumberFormat="1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27" fillId="0" borderId="5" xfId="0" applyFont="1" applyFill="1" applyBorder="1"/>
    <xf numFmtId="0" fontId="7" fillId="0" borderId="5" xfId="0" applyFont="1" applyFill="1" applyBorder="1"/>
    <xf numFmtId="0" fontId="1" fillId="0" borderId="18" xfId="0" applyFont="1" applyFill="1" applyBorder="1" applyAlignment="1">
      <alignment horizontal="center"/>
    </xf>
    <xf numFmtId="0" fontId="1" fillId="11" borderId="17" xfId="0" applyFont="1" applyFill="1" applyBorder="1"/>
    <xf numFmtId="0" fontId="1" fillId="2" borderId="1" xfId="0" applyFont="1" applyFill="1" applyBorder="1" applyAlignment="1">
      <alignment horizontal="left"/>
    </xf>
    <xf numFmtId="0" fontId="1" fillId="0" borderId="5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18" xfId="0" applyFont="1" applyBorder="1" applyAlignment="1">
      <alignment wrapText="1"/>
    </xf>
    <xf numFmtId="0" fontId="1" fillId="0" borderId="18" xfId="0" applyFont="1" applyBorder="1"/>
    <xf numFmtId="0" fontId="0" fillId="0" borderId="8" xfId="0" applyBorder="1" applyAlignment="1">
      <alignment wrapText="1"/>
    </xf>
    <xf numFmtId="3" fontId="0" fillId="0" borderId="7" xfId="0" applyNumberFormat="1" applyBorder="1"/>
    <xf numFmtId="0" fontId="1" fillId="0" borderId="16" xfId="0" applyFont="1" applyBorder="1" applyAlignment="1">
      <alignment wrapText="1"/>
    </xf>
    <xf numFmtId="0" fontId="1" fillId="0" borderId="16" xfId="0" applyFont="1" applyBorder="1"/>
    <xf numFmtId="2" fontId="1" fillId="11" borderId="9" xfId="0" applyNumberFormat="1" applyFont="1" applyFill="1" applyBorder="1"/>
    <xf numFmtId="0" fontId="1" fillId="11" borderId="26" xfId="0" applyFont="1" applyFill="1" applyBorder="1"/>
    <xf numFmtId="0" fontId="1" fillId="11" borderId="46" xfId="0" applyFont="1" applyFill="1" applyBorder="1"/>
    <xf numFmtId="0" fontId="1" fillId="11" borderId="0" xfId="0" applyFont="1" applyFill="1" applyAlignment="1">
      <alignment horizontal="center"/>
    </xf>
    <xf numFmtId="0" fontId="0" fillId="11" borderId="3" xfId="0" applyFont="1" applyFill="1" applyBorder="1"/>
    <xf numFmtId="0" fontId="0" fillId="11" borderId="2" xfId="0" applyFont="1" applyFill="1" applyBorder="1"/>
    <xf numFmtId="0" fontId="0" fillId="11" borderId="4" xfId="0" applyFont="1" applyFill="1" applyBorder="1"/>
    <xf numFmtId="2" fontId="0" fillId="11" borderId="4" xfId="0" applyNumberFormat="1" applyFill="1" applyBorder="1"/>
    <xf numFmtId="10" fontId="1" fillId="0" borderId="5" xfId="0" applyNumberFormat="1" applyFont="1" applyBorder="1"/>
    <xf numFmtId="10" fontId="1" fillId="0" borderId="9" xfId="0" applyNumberFormat="1" applyFont="1" applyBorder="1"/>
    <xf numFmtId="0" fontId="1" fillId="0" borderId="5" xfId="0" applyNumberFormat="1" applyFont="1" applyBorder="1"/>
    <xf numFmtId="0" fontId="1" fillId="17" borderId="33" xfId="0" applyFont="1" applyFill="1" applyBorder="1"/>
    <xf numFmtId="0" fontId="1" fillId="16" borderId="46" xfId="0" applyFont="1" applyFill="1" applyBorder="1"/>
    <xf numFmtId="0" fontId="1" fillId="16" borderId="23" xfId="0" applyFont="1" applyFill="1" applyBorder="1"/>
    <xf numFmtId="0" fontId="0" fillId="16" borderId="10" xfId="0" applyFill="1" applyBorder="1"/>
    <xf numFmtId="2" fontId="0" fillId="16" borderId="9" xfId="0" applyNumberFormat="1" applyFill="1" applyBorder="1"/>
    <xf numFmtId="0" fontId="1" fillId="16" borderId="16" xfId="0" applyFont="1" applyFill="1" applyBorder="1"/>
    <xf numFmtId="0" fontId="0" fillId="16" borderId="22" xfId="0" applyFill="1" applyBorder="1"/>
    <xf numFmtId="2" fontId="0" fillId="16" borderId="1" xfId="0" applyNumberFormat="1" applyFill="1" applyBorder="1"/>
    <xf numFmtId="0" fontId="0" fillId="16" borderId="16" xfId="0" applyFill="1" applyBorder="1"/>
    <xf numFmtId="0" fontId="0" fillId="16" borderId="4" xfId="0" applyFill="1" applyBorder="1"/>
    <xf numFmtId="0" fontId="1" fillId="16" borderId="47" xfId="0" applyFont="1" applyFill="1" applyBorder="1"/>
    <xf numFmtId="0" fontId="1" fillId="11" borderId="1" xfId="0" applyFont="1" applyFill="1" applyBorder="1" applyAlignment="1">
      <alignment wrapText="1"/>
    </xf>
    <xf numFmtId="0" fontId="1" fillId="11" borderId="3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1" fillId="11" borderId="4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9" borderId="2" xfId="0" applyFont="1" applyFill="1" applyBorder="1" applyAlignment="1">
      <alignment wrapText="1"/>
    </xf>
    <xf numFmtId="0" fontId="1" fillId="9" borderId="7" xfId="0" applyFont="1" applyFill="1" applyBorder="1"/>
    <xf numFmtId="0" fontId="10" fillId="0" borderId="17" xfId="0" applyFont="1" applyBorder="1" applyAlignment="1"/>
    <xf numFmtId="0" fontId="1" fillId="9" borderId="2" xfId="0" applyFont="1" applyFill="1" applyBorder="1"/>
    <xf numFmtId="0" fontId="0" fillId="11" borderId="0" xfId="0" applyFont="1" applyFill="1"/>
    <xf numFmtId="0" fontId="0" fillId="11" borderId="0" xfId="0" applyFont="1" applyFill="1" applyAlignment="1">
      <alignment wrapText="1"/>
    </xf>
    <xf numFmtId="0" fontId="0" fillId="0" borderId="0" xfId="0" applyFont="1"/>
    <xf numFmtId="0" fontId="0" fillId="11" borderId="8" xfId="0" applyFont="1" applyFill="1" applyBorder="1"/>
    <xf numFmtId="0" fontId="0" fillId="11" borderId="2" xfId="0" applyFont="1" applyFill="1" applyBorder="1" applyAlignment="1">
      <alignment wrapText="1"/>
    </xf>
    <xf numFmtId="0" fontId="0" fillId="11" borderId="24" xfId="0" applyFont="1" applyFill="1" applyBorder="1"/>
    <xf numFmtId="0" fontId="0" fillId="11" borderId="11" xfId="0" applyFont="1" applyFill="1" applyBorder="1"/>
    <xf numFmtId="0" fontId="0" fillId="0" borderId="7" xfId="0" applyFont="1" applyBorder="1"/>
    <xf numFmtId="0" fontId="0" fillId="11" borderId="0" xfId="0" applyFont="1" applyFill="1" applyBorder="1"/>
    <xf numFmtId="0" fontId="0" fillId="11" borderId="3" xfId="0" applyFont="1" applyFill="1" applyBorder="1" applyAlignment="1">
      <alignment wrapText="1"/>
    </xf>
    <xf numFmtId="0" fontId="0" fillId="11" borderId="25" xfId="0" applyFont="1" applyFill="1" applyBorder="1"/>
    <xf numFmtId="0" fontId="0" fillId="11" borderId="12" xfId="0" applyFont="1" applyFill="1" applyBorder="1"/>
    <xf numFmtId="0" fontId="0" fillId="8" borderId="5" xfId="0" applyFont="1" applyFill="1" applyBorder="1"/>
    <xf numFmtId="0" fontId="0" fillId="0" borderId="5" xfId="0" applyNumberFormat="1" applyFont="1" applyFill="1" applyBorder="1"/>
    <xf numFmtId="0" fontId="0" fillId="0" borderId="5" xfId="0" applyFont="1" applyFill="1" applyBorder="1"/>
    <xf numFmtId="164" fontId="0" fillId="0" borderId="5" xfId="0" applyNumberFormat="1" applyFont="1" applyFill="1" applyBorder="1"/>
    <xf numFmtId="0" fontId="0" fillId="11" borderId="16" xfId="0" applyFont="1" applyFill="1" applyBorder="1"/>
    <xf numFmtId="0" fontId="0" fillId="11" borderId="4" xfId="0" applyFont="1" applyFill="1" applyBorder="1" applyAlignment="1">
      <alignment wrapText="1"/>
    </xf>
    <xf numFmtId="0" fontId="0" fillId="11" borderId="13" xfId="0" applyFont="1" applyFill="1" applyBorder="1"/>
    <xf numFmtId="0" fontId="0" fillId="11" borderId="7" xfId="0" applyFont="1" applyFill="1" applyBorder="1"/>
    <xf numFmtId="9" fontId="0" fillId="11" borderId="7" xfId="0" applyNumberFormat="1" applyFont="1" applyFill="1" applyBorder="1"/>
    <xf numFmtId="0" fontId="0" fillId="11" borderId="5" xfId="0" applyFont="1" applyFill="1" applyBorder="1"/>
    <xf numFmtId="0" fontId="0" fillId="11" borderId="10" xfId="0" applyFont="1" applyFill="1" applyBorder="1"/>
    <xf numFmtId="2" fontId="0" fillId="11" borderId="9" xfId="0" applyNumberFormat="1" applyFont="1" applyFill="1" applyBorder="1"/>
    <xf numFmtId="0" fontId="0" fillId="11" borderId="22" xfId="0" applyFont="1" applyFill="1" applyBorder="1"/>
    <xf numFmtId="2" fontId="0" fillId="11" borderId="1" xfId="0" applyNumberFormat="1" applyFont="1" applyFill="1" applyBorder="1"/>
    <xf numFmtId="0" fontId="0" fillId="11" borderId="6" xfId="0" applyFont="1" applyFill="1" applyBorder="1"/>
    <xf numFmtId="0" fontId="0" fillId="11" borderId="18" xfId="0" applyFont="1" applyFill="1" applyBorder="1"/>
    <xf numFmtId="0" fontId="6" fillId="11" borderId="0" xfId="3" applyFont="1" applyFill="1"/>
    <xf numFmtId="0" fontId="0" fillId="8" borderId="3" xfId="0" applyFont="1" applyFill="1" applyBorder="1" applyAlignment="1">
      <alignment wrapText="1"/>
    </xf>
    <xf numFmtId="0" fontId="0" fillId="11" borderId="2" xfId="0" applyFont="1" applyFill="1" applyBorder="1" applyAlignment="1">
      <alignment horizontal="right"/>
    </xf>
    <xf numFmtId="0" fontId="0" fillId="11" borderId="20" xfId="0" applyFont="1" applyFill="1" applyBorder="1"/>
    <xf numFmtId="0" fontId="0" fillId="11" borderId="21" xfId="0" applyFont="1" applyFill="1" applyBorder="1"/>
    <xf numFmtId="10" fontId="0" fillId="8" borderId="40" xfId="0" applyNumberFormat="1" applyFont="1" applyFill="1" applyBorder="1"/>
    <xf numFmtId="10" fontId="0" fillId="8" borderId="3" xfId="0" applyNumberFormat="1" applyFont="1" applyFill="1" applyBorder="1"/>
    <xf numFmtId="0" fontId="0" fillId="8" borderId="0" xfId="0" applyFont="1" applyFill="1" applyBorder="1"/>
    <xf numFmtId="0" fontId="0" fillId="8" borderId="3" xfId="0" applyFont="1" applyFill="1" applyBorder="1"/>
    <xf numFmtId="0" fontId="0" fillId="8" borderId="16" xfId="0" applyFont="1" applyFill="1" applyBorder="1"/>
    <xf numFmtId="0" fontId="0" fillId="11" borderId="26" xfId="0" applyFont="1" applyFill="1" applyBorder="1"/>
    <xf numFmtId="2" fontId="0" fillId="8" borderId="4" xfId="0" applyNumberFormat="1" applyFont="1" applyFill="1" applyBorder="1"/>
    <xf numFmtId="0" fontId="0" fillId="11" borderId="3" xfId="0" applyFont="1" applyFill="1" applyBorder="1" applyAlignment="1">
      <alignment horizontal="right"/>
    </xf>
    <xf numFmtId="9" fontId="0" fillId="8" borderId="5" xfId="0" applyNumberFormat="1" applyFont="1" applyFill="1" applyBorder="1"/>
    <xf numFmtId="0" fontId="0" fillId="9" borderId="8" xfId="0" applyFont="1" applyFill="1" applyBorder="1"/>
    <xf numFmtId="0" fontId="0" fillId="11" borderId="23" xfId="0" applyFont="1" applyFill="1" applyBorder="1"/>
    <xf numFmtId="0" fontId="0" fillId="0" borderId="5" xfId="0" applyFont="1" applyBorder="1"/>
    <xf numFmtId="2" fontId="0" fillId="8" borderId="6" xfId="0" applyNumberFormat="1" applyFont="1" applyFill="1" applyBorder="1"/>
    <xf numFmtId="0" fontId="0" fillId="0" borderId="26" xfId="0" applyFont="1" applyBorder="1"/>
    <xf numFmtId="0" fontId="0" fillId="11" borderId="8" xfId="0" applyFont="1" applyFill="1" applyBorder="1" applyAlignment="1">
      <alignment wrapText="1"/>
    </xf>
    <xf numFmtId="0" fontId="0" fillId="11" borderId="14" xfId="0" applyFont="1" applyFill="1" applyBorder="1"/>
    <xf numFmtId="0" fontId="0" fillId="11" borderId="7" xfId="0" applyFont="1" applyFill="1" applyBorder="1" applyAlignment="1">
      <alignment wrapText="1"/>
    </xf>
    <xf numFmtId="0" fontId="0" fillId="11" borderId="15" xfId="0" applyFont="1" applyFill="1" applyBorder="1"/>
    <xf numFmtId="0" fontId="0" fillId="11" borderId="5" xfId="0" applyFont="1" applyFill="1" applyBorder="1" applyAlignment="1">
      <alignment wrapText="1"/>
    </xf>
    <xf numFmtId="0" fontId="0" fillId="11" borderId="19" xfId="0" applyFont="1" applyFill="1" applyBorder="1"/>
    <xf numFmtId="0" fontId="0" fillId="11" borderId="6" xfId="0" applyFont="1" applyFill="1" applyBorder="1" applyAlignment="1">
      <alignment wrapText="1"/>
    </xf>
    <xf numFmtId="0" fontId="0" fillId="8" borderId="4" xfId="0" applyFont="1" applyFill="1" applyBorder="1"/>
    <xf numFmtId="0" fontId="0" fillId="11" borderId="18" xfId="0" applyFont="1" applyFill="1" applyBorder="1" applyAlignment="1">
      <alignment wrapText="1"/>
    </xf>
    <xf numFmtId="0" fontId="0" fillId="11" borderId="9" xfId="0" applyFont="1" applyFill="1" applyBorder="1"/>
    <xf numFmtId="0" fontId="0" fillId="11" borderId="0" xfId="0" applyFont="1" applyFill="1" applyAlignment="1">
      <alignment horizontal="left" wrapText="1"/>
    </xf>
    <xf numFmtId="2" fontId="0" fillId="11" borderId="0" xfId="0" applyNumberFormat="1" applyFont="1" applyFill="1"/>
    <xf numFmtId="9" fontId="0" fillId="11" borderId="0" xfId="0" applyNumberFormat="1" applyFont="1" applyFill="1" applyAlignment="1">
      <alignment wrapText="1"/>
    </xf>
    <xf numFmtId="0" fontId="0" fillId="8" borderId="2" xfId="0" applyFill="1" applyBorder="1"/>
    <xf numFmtId="0" fontId="15" fillId="8" borderId="4" xfId="0" applyFont="1" applyFill="1" applyBorder="1"/>
    <xf numFmtId="164" fontId="1" fillId="16" borderId="1" xfId="0" applyNumberFormat="1" applyFont="1" applyFill="1" applyBorder="1"/>
    <xf numFmtId="0" fontId="1" fillId="17" borderId="14" xfId="0" applyFont="1" applyFill="1" applyBorder="1"/>
    <xf numFmtId="2" fontId="1" fillId="4" borderId="8" xfId="0" applyNumberFormat="1" applyFont="1" applyFill="1" applyBorder="1"/>
    <xf numFmtId="0" fontId="1" fillId="4" borderId="7" xfId="0" applyFont="1" applyFill="1" applyBorder="1"/>
    <xf numFmtId="0" fontId="1" fillId="2" borderId="19" xfId="0" applyFont="1" applyFill="1" applyBorder="1"/>
    <xf numFmtId="2" fontId="1" fillId="2" borderId="16" xfId="0" applyNumberFormat="1" applyFont="1" applyFill="1" applyBorder="1"/>
    <xf numFmtId="0" fontId="1" fillId="2" borderId="6" xfId="0" applyFont="1" applyFill="1" applyBorder="1"/>
    <xf numFmtId="0" fontId="29" fillId="11" borderId="0" xfId="0" applyFont="1" applyFill="1" applyBorder="1"/>
    <xf numFmtId="0" fontId="29" fillId="11" borderId="0" xfId="0" applyFont="1" applyFill="1" applyBorder="1" applyAlignment="1">
      <alignment horizontal="left"/>
    </xf>
    <xf numFmtId="168" fontId="1" fillId="0" borderId="6" xfId="0" applyNumberFormat="1" applyFont="1" applyBorder="1"/>
    <xf numFmtId="0" fontId="1" fillId="11" borderId="2" xfId="0" applyFont="1" applyFill="1" applyBorder="1" applyAlignment="1">
      <alignment wrapText="1"/>
    </xf>
    <xf numFmtId="0" fontId="1" fillId="11" borderId="7" xfId="0" applyFont="1" applyFill="1" applyBorder="1"/>
    <xf numFmtId="0" fontId="1" fillId="11" borderId="5" xfId="0" applyFont="1" applyFill="1" applyBorder="1"/>
    <xf numFmtId="2" fontId="0" fillId="11" borderId="3" xfId="0" applyNumberFormat="1" applyFont="1" applyFill="1" applyBorder="1"/>
    <xf numFmtId="0" fontId="0" fillId="11" borderId="17" xfId="0" applyFont="1" applyFill="1" applyBorder="1"/>
    <xf numFmtId="0" fontId="0" fillId="11" borderId="1" xfId="0" applyFill="1" applyBorder="1"/>
    <xf numFmtId="0" fontId="1" fillId="11" borderId="9" xfId="0" applyNumberFormat="1" applyFont="1" applyFill="1" applyBorder="1"/>
    <xf numFmtId="0" fontId="1" fillId="12" borderId="17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23" fillId="13" borderId="15" xfId="0" applyFont="1" applyFill="1" applyBorder="1" applyAlignment="1">
      <alignment horizontal="center" wrapText="1"/>
    </xf>
    <xf numFmtId="0" fontId="23" fillId="13" borderId="0" xfId="0" applyFont="1" applyFill="1" applyBorder="1" applyAlignment="1">
      <alignment horizontal="center" wrapText="1"/>
    </xf>
    <xf numFmtId="0" fontId="0" fillId="0" borderId="16" xfId="0" applyFont="1" applyBorder="1"/>
  </cellXfs>
  <cellStyles count="6">
    <cellStyle name="Comma" xfId="5" builtinId="3"/>
    <cellStyle name="Currency" xfId="2" builtinId="4"/>
    <cellStyle name="Hyperlink" xfId="3" builtinId="8"/>
    <cellStyle name="Normal" xfId="0" builtinId="0"/>
    <cellStyle name="Normal 2" xfId="4" xr:uid="{5A7AE44E-23D5-4B49-BE3E-22651E623051}"/>
    <cellStyle name="Percent" xfId="1" builtinId="5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RE_Tariff_and_Financial_Analysis_Tool_v2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s"/>
      <sheetName val="Grid_Extension_Cost"/>
      <sheetName val="Generation_Distribution"/>
      <sheetName val="Load_Profiling"/>
      <sheetName val="Inputs-REC"/>
      <sheetName val="Inputs"/>
      <sheetName val="Introduction"/>
      <sheetName val="Inputs&amp;Summary"/>
      <sheetName val="Scenarios"/>
      <sheetName val="Tariff Chart"/>
      <sheetName val="Tariff Breakup Chart"/>
      <sheetName val="Sensitivity Chart"/>
      <sheetName val="Off-Grid Sensitivity"/>
      <sheetName val="Sensitivity"/>
      <sheetName val="REC-FIT"/>
      <sheetName val="Term Loan 1"/>
      <sheetName val="Term Loan 2"/>
      <sheetName val="Fuel"/>
      <sheetName val="Depreciation"/>
      <sheetName val="W Capital"/>
      <sheetName val="Tariff"/>
      <sheetName val="Carbon"/>
      <sheetName val="Profit Loss"/>
      <sheetName val="Cash Flows"/>
      <sheetName val="Balance Sheet"/>
      <sheetName val="IRR"/>
      <sheetName val="DS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 t="str">
            <v>CERC</v>
          </cell>
        </row>
        <row r="16">
          <cell r="D16" t="str">
            <v>Solar PV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leartax.in/s/tax-planning-under-mat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48BE-6A1C-4380-8472-F426D3049E19}">
  <sheetPr>
    <tabColor theme="4" tint="-0.249977111117893"/>
  </sheetPr>
  <dimension ref="C4:F31"/>
  <sheetViews>
    <sheetView tabSelected="1" topLeftCell="A4" zoomScale="88" workbookViewId="0">
      <selection activeCell="F16" sqref="F16"/>
    </sheetView>
  </sheetViews>
  <sheetFormatPr defaultRowHeight="14.5" x14ac:dyDescent="0.35"/>
  <cols>
    <col min="1" max="2" width="8.7265625" style="150"/>
    <col min="3" max="3" width="49" style="150" bestFit="1" customWidth="1"/>
    <col min="4" max="4" width="11.54296875" style="150" bestFit="1" customWidth="1"/>
    <col min="5" max="5" width="11.90625" style="150" bestFit="1" customWidth="1"/>
    <col min="6" max="16384" width="8.7265625" style="150"/>
  </cols>
  <sheetData>
    <row r="4" spans="3:6" ht="15" thickBot="1" x14ac:dyDescent="0.4"/>
    <row r="5" spans="3:6" ht="15" thickBot="1" x14ac:dyDescent="0.4">
      <c r="C5" s="144" t="s">
        <v>143</v>
      </c>
      <c r="D5" s="157"/>
      <c r="E5" s="6" t="s">
        <v>144</v>
      </c>
      <c r="F5" s="162">
        <v>3.5000000000000001E-3</v>
      </c>
    </row>
    <row r="7" spans="3:6" ht="15" thickBot="1" x14ac:dyDescent="0.4"/>
    <row r="8" spans="3:6" ht="15" thickBot="1" x14ac:dyDescent="0.4">
      <c r="C8" s="383" t="s">
        <v>140</v>
      </c>
      <c r="D8" s="384"/>
      <c r="E8" s="384"/>
      <c r="F8" s="385"/>
    </row>
    <row r="9" spans="3:6" ht="15" thickBot="1" x14ac:dyDescent="0.4">
      <c r="C9" s="263" t="s">
        <v>213</v>
      </c>
      <c r="D9" s="261"/>
      <c r="E9" s="189" t="s">
        <v>210</v>
      </c>
      <c r="F9" s="98">
        <v>8</v>
      </c>
    </row>
    <row r="10" spans="3:6" ht="15" thickBot="1" x14ac:dyDescent="0.4">
      <c r="C10" s="285" t="s">
        <v>281</v>
      </c>
      <c r="D10" s="286"/>
      <c r="E10" s="287" t="s">
        <v>20</v>
      </c>
      <c r="F10" s="288">
        <v>0</v>
      </c>
    </row>
    <row r="11" spans="3:6" ht="15" thickBot="1" x14ac:dyDescent="0.4">
      <c r="C11" s="294" t="s">
        <v>217</v>
      </c>
      <c r="D11" s="289"/>
      <c r="E11" s="290" t="s">
        <v>20</v>
      </c>
      <c r="F11" s="291">
        <v>50</v>
      </c>
    </row>
    <row r="12" spans="3:6" ht="15" thickBot="1" x14ac:dyDescent="0.4">
      <c r="C12" s="247" t="s">
        <v>3</v>
      </c>
      <c r="D12" s="292"/>
      <c r="E12" s="293" t="s">
        <v>20</v>
      </c>
      <c r="F12" s="293">
        <v>1</v>
      </c>
    </row>
    <row r="13" spans="3:6" ht="15" thickBot="1" x14ac:dyDescent="0.4">
      <c r="C13" s="145" t="s">
        <v>179</v>
      </c>
      <c r="D13" s="149"/>
      <c r="E13" s="6" t="s">
        <v>20</v>
      </c>
      <c r="F13" s="99">
        <v>0</v>
      </c>
    </row>
    <row r="14" spans="3:6" ht="15" thickBot="1" x14ac:dyDescent="0.4">
      <c r="C14" s="145" t="s">
        <v>262</v>
      </c>
      <c r="D14" s="149"/>
      <c r="E14" s="7" t="s">
        <v>50</v>
      </c>
      <c r="F14" s="364">
        <v>6</v>
      </c>
    </row>
    <row r="15" spans="3:6" ht="15" thickBot="1" x14ac:dyDescent="0.4">
      <c r="C15" s="145" t="s">
        <v>263</v>
      </c>
      <c r="D15" s="149"/>
      <c r="E15" s="7" t="s">
        <v>265</v>
      </c>
      <c r="F15" s="364">
        <v>3</v>
      </c>
    </row>
    <row r="16" spans="3:6" ht="15" thickBot="1" x14ac:dyDescent="0.4">
      <c r="C16" s="145" t="s">
        <v>264</v>
      </c>
      <c r="D16" s="149"/>
      <c r="E16" s="7" t="s">
        <v>295</v>
      </c>
      <c r="F16" s="364">
        <v>10</v>
      </c>
    </row>
    <row r="17" spans="3:6" x14ac:dyDescent="0.35">
      <c r="C17" s="145" t="s">
        <v>17</v>
      </c>
      <c r="D17" s="155"/>
      <c r="E17" s="7" t="s">
        <v>11</v>
      </c>
      <c r="F17" s="364">
        <v>80</v>
      </c>
    </row>
    <row r="18" spans="3:6" x14ac:dyDescent="0.35">
      <c r="C18" s="146" t="s">
        <v>25</v>
      </c>
      <c r="D18" s="149"/>
      <c r="E18" s="4" t="s">
        <v>16</v>
      </c>
      <c r="F18" s="340">
        <v>13</v>
      </c>
    </row>
    <row r="19" spans="3:6" ht="15" thickBot="1" x14ac:dyDescent="0.4">
      <c r="C19" s="147" t="s">
        <v>26</v>
      </c>
      <c r="D19" s="154"/>
      <c r="E19" s="5" t="s">
        <v>11</v>
      </c>
      <c r="F19" s="365">
        <v>8.75</v>
      </c>
    </row>
    <row r="20" spans="3:6" x14ac:dyDescent="0.35">
      <c r="C20" s="145" t="s">
        <v>141</v>
      </c>
      <c r="D20" s="148">
        <v>10</v>
      </c>
      <c r="E20" s="4" t="s">
        <v>38</v>
      </c>
      <c r="F20" s="340">
        <v>17</v>
      </c>
    </row>
    <row r="21" spans="3:6" ht="15" thickBot="1" x14ac:dyDescent="0.4">
      <c r="C21" s="146" t="s">
        <v>142</v>
      </c>
      <c r="D21" s="156">
        <v>15</v>
      </c>
      <c r="E21" s="5" t="s">
        <v>37</v>
      </c>
      <c r="F21" s="340">
        <v>22</v>
      </c>
    </row>
    <row r="22" spans="3:6" ht="15" thickBot="1" x14ac:dyDescent="0.4">
      <c r="C22" s="247" t="s">
        <v>178</v>
      </c>
      <c r="D22" s="248"/>
      <c r="E22" s="249" t="s">
        <v>11</v>
      </c>
      <c r="F22" s="366">
        <f>'Assumption for Botlling Plant'!$F$31</f>
        <v>0.13966399999999998</v>
      </c>
    </row>
    <row r="23" spans="3:6" ht="15" thickBot="1" x14ac:dyDescent="0.4">
      <c r="C23" s="169" t="s">
        <v>285</v>
      </c>
      <c r="D23" s="157"/>
      <c r="E23" s="381"/>
      <c r="F23" s="382">
        <v>15</v>
      </c>
    </row>
    <row r="24" spans="3:6" x14ac:dyDescent="0.35">
      <c r="C24" s="152"/>
      <c r="D24" s="152"/>
      <c r="E24" s="149"/>
      <c r="F24" s="153"/>
    </row>
    <row r="25" spans="3:6" ht="15" thickBot="1" x14ac:dyDescent="0.4">
      <c r="C25" s="1" t="s">
        <v>126</v>
      </c>
      <c r="E25"/>
    </row>
    <row r="26" spans="3:6" x14ac:dyDescent="0.35">
      <c r="C26" s="367" t="s">
        <v>239</v>
      </c>
      <c r="D26" s="368">
        <f>'Assumption for Botlling Plant'!$D$98</f>
        <v>4.9084196746232847</v>
      </c>
      <c r="E26" s="369" t="s">
        <v>221</v>
      </c>
    </row>
    <row r="27" spans="3:6" ht="15" thickBot="1" x14ac:dyDescent="0.4">
      <c r="C27" s="370" t="s">
        <v>146</v>
      </c>
      <c r="D27" s="371">
        <f>Determination_of_Cost!B27</f>
        <v>73.626295119349265</v>
      </c>
      <c r="E27" s="372" t="s">
        <v>147</v>
      </c>
    </row>
    <row r="30" spans="3:6" ht="15" thickBot="1" x14ac:dyDescent="0.4">
      <c r="D30" s="164" t="s">
        <v>138</v>
      </c>
      <c r="E30" s="164" t="s">
        <v>127</v>
      </c>
    </row>
    <row r="31" spans="3:6" x14ac:dyDescent="0.35">
      <c r="C31" s="284" t="s">
        <v>239</v>
      </c>
      <c r="D31" s="163">
        <f>RESULT!$D$4</f>
        <v>9.299808093128914E-2</v>
      </c>
      <c r="E31" s="163">
        <f>RESULT!$G$4</f>
        <v>0.1131740898141973</v>
      </c>
    </row>
  </sheetData>
  <mergeCells count="1">
    <mergeCell ref="C8:F8"/>
  </mergeCells>
  <phoneticPr fontId="30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B600-722E-4929-BB2B-B29CE55854D1}">
  <sheetPr>
    <tabColor theme="5" tint="0.39997558519241921"/>
  </sheetPr>
  <dimension ref="A1:L127"/>
  <sheetViews>
    <sheetView topLeftCell="A33" zoomScale="81" zoomScaleNormal="100" workbookViewId="0">
      <selection activeCell="F58" sqref="F58"/>
    </sheetView>
  </sheetViews>
  <sheetFormatPr defaultRowHeight="14.5" x14ac:dyDescent="0.35"/>
  <cols>
    <col min="1" max="1" width="8.7265625" style="304"/>
    <col min="2" max="2" width="29.453125" style="304" customWidth="1"/>
    <col min="3" max="3" width="45" style="305" customWidth="1"/>
    <col min="4" max="4" width="38.54296875" style="304" customWidth="1"/>
    <col min="5" max="5" width="17.1796875" style="304" bestFit="1" customWidth="1"/>
    <col min="6" max="6" width="16.1796875" style="304" bestFit="1" customWidth="1"/>
    <col min="7" max="7" width="11.1796875" style="304" customWidth="1"/>
    <col min="8" max="8" width="12" style="304" customWidth="1"/>
    <col min="9" max="9" width="12.08984375" style="304" customWidth="1"/>
    <col min="10" max="10" width="12" style="304" customWidth="1"/>
    <col min="11" max="16384" width="8.7265625" style="304"/>
  </cols>
  <sheetData>
    <row r="1" spans="1:6" x14ac:dyDescent="0.35">
      <c r="E1" s="171"/>
      <c r="F1" s="306"/>
    </row>
    <row r="2" spans="1:6" ht="15" thickBot="1" x14ac:dyDescent="0.4">
      <c r="A2" s="171" t="s">
        <v>286</v>
      </c>
      <c r="F2" s="306"/>
    </row>
    <row r="3" spans="1:6" ht="15" thickBot="1" x14ac:dyDescent="0.4">
      <c r="A3" s="169" t="s">
        <v>4</v>
      </c>
      <c r="B3" s="206" t="s">
        <v>5</v>
      </c>
      <c r="C3" s="295" t="s">
        <v>6</v>
      </c>
      <c r="D3" s="207" t="s">
        <v>7</v>
      </c>
      <c r="E3" s="208" t="s">
        <v>8</v>
      </c>
      <c r="F3" s="209" t="s">
        <v>9</v>
      </c>
    </row>
    <row r="4" spans="1:6" x14ac:dyDescent="0.35">
      <c r="A4" s="278">
        <v>1</v>
      </c>
      <c r="B4" s="307" t="s">
        <v>209</v>
      </c>
      <c r="C4" s="308"/>
      <c r="D4" s="309"/>
      <c r="E4" s="310"/>
      <c r="F4" s="311"/>
    </row>
    <row r="5" spans="1:6" x14ac:dyDescent="0.35">
      <c r="A5" s="277"/>
      <c r="B5" s="312"/>
      <c r="C5" s="313" t="s">
        <v>10</v>
      </c>
      <c r="D5" s="314" t="s">
        <v>213</v>
      </c>
      <c r="E5" s="315" t="s">
        <v>210</v>
      </c>
      <c r="F5" s="316">
        <f>INPUT!F9</f>
        <v>8</v>
      </c>
    </row>
    <row r="6" spans="1:6" x14ac:dyDescent="0.35">
      <c r="A6" s="277"/>
      <c r="B6" s="312"/>
      <c r="C6" s="313"/>
      <c r="D6" s="314" t="s">
        <v>211</v>
      </c>
      <c r="E6" s="315" t="s">
        <v>210</v>
      </c>
      <c r="F6" s="317">
        <v>3</v>
      </c>
    </row>
    <row r="7" spans="1:6" x14ac:dyDescent="0.35">
      <c r="A7" s="277"/>
      <c r="B7" s="312"/>
      <c r="C7" s="313"/>
      <c r="D7" s="314" t="s">
        <v>212</v>
      </c>
      <c r="E7" s="315" t="s">
        <v>210</v>
      </c>
      <c r="F7" s="318">
        <f>F5-F6</f>
        <v>5</v>
      </c>
    </row>
    <row r="8" spans="1:6" x14ac:dyDescent="0.35">
      <c r="A8" s="277"/>
      <c r="B8" s="312"/>
      <c r="C8" s="313"/>
      <c r="D8" s="314" t="s">
        <v>214</v>
      </c>
      <c r="E8" s="315" t="s">
        <v>11</v>
      </c>
      <c r="F8" s="319">
        <v>0</v>
      </c>
    </row>
    <row r="9" spans="1:6" x14ac:dyDescent="0.35">
      <c r="A9" s="277"/>
      <c r="B9" s="312"/>
      <c r="C9" s="313"/>
      <c r="D9" s="314" t="s">
        <v>257</v>
      </c>
      <c r="E9" s="315" t="s">
        <v>258</v>
      </c>
      <c r="F9" s="317">
        <v>300</v>
      </c>
    </row>
    <row r="10" spans="1:6" ht="14.5" customHeight="1" thickBot="1" x14ac:dyDescent="0.4">
      <c r="A10" s="279"/>
      <c r="B10" s="320"/>
      <c r="C10" s="321"/>
      <c r="D10" s="274" t="s">
        <v>215</v>
      </c>
      <c r="E10" s="322" t="s">
        <v>12</v>
      </c>
      <c r="F10" s="266">
        <v>25</v>
      </c>
    </row>
    <row r="11" spans="1:6" ht="15" thickBot="1" x14ac:dyDescent="0.4">
      <c r="A11" s="278">
        <v>2</v>
      </c>
      <c r="B11" s="323" t="s">
        <v>13</v>
      </c>
      <c r="C11" s="308"/>
      <c r="D11" s="309"/>
      <c r="E11" s="190"/>
      <c r="F11" s="324"/>
    </row>
    <row r="12" spans="1:6" ht="15" thickBot="1" x14ac:dyDescent="0.4">
      <c r="A12" s="277"/>
      <c r="B12" s="325"/>
      <c r="C12" s="313" t="s">
        <v>287</v>
      </c>
      <c r="D12" s="275" t="s">
        <v>216</v>
      </c>
      <c r="E12" s="326" t="s">
        <v>20</v>
      </c>
      <c r="F12" s="327">
        <f>INPUT!F10</f>
        <v>0</v>
      </c>
    </row>
    <row r="13" spans="1:6" ht="15" thickBot="1" x14ac:dyDescent="0.4">
      <c r="A13" s="277"/>
      <c r="B13" s="325"/>
      <c r="C13" s="313"/>
      <c r="D13" s="274" t="s">
        <v>217</v>
      </c>
      <c r="E13" s="328" t="s">
        <v>20</v>
      </c>
      <c r="F13" s="329">
        <f>INPUT!F11</f>
        <v>50</v>
      </c>
    </row>
    <row r="14" spans="1:6" ht="15" thickBot="1" x14ac:dyDescent="0.4">
      <c r="A14" s="279"/>
      <c r="B14" s="330"/>
      <c r="C14" s="321"/>
      <c r="D14" s="262" t="s">
        <v>218</v>
      </c>
      <c r="E14" s="331"/>
      <c r="F14" s="273">
        <f>SUM(F12:F13)</f>
        <v>50</v>
      </c>
    </row>
    <row r="15" spans="1:6" x14ac:dyDescent="0.35">
      <c r="A15" s="278">
        <v>3</v>
      </c>
      <c r="B15" s="307" t="s">
        <v>14</v>
      </c>
      <c r="C15" s="313"/>
      <c r="D15" s="309"/>
      <c r="E15" s="310"/>
      <c r="F15" s="323"/>
    </row>
    <row r="16" spans="1:6" x14ac:dyDescent="0.35">
      <c r="A16" s="277"/>
      <c r="B16" s="312"/>
      <c r="C16" s="296" t="s">
        <v>15</v>
      </c>
      <c r="D16" s="314"/>
      <c r="E16" s="315"/>
      <c r="F16" s="325"/>
    </row>
    <row r="17" spans="1:12" x14ac:dyDescent="0.35">
      <c r="A17" s="277"/>
      <c r="B17" s="312"/>
      <c r="C17" s="313"/>
      <c r="D17" s="314" t="s">
        <v>17</v>
      </c>
      <c r="E17" s="315" t="s">
        <v>11</v>
      </c>
      <c r="F17" s="318">
        <f>INPUT!F17</f>
        <v>80</v>
      </c>
    </row>
    <row r="18" spans="1:12" x14ac:dyDescent="0.35">
      <c r="A18" s="277"/>
      <c r="B18" s="312"/>
      <c r="C18" s="313"/>
      <c r="D18" s="314" t="s">
        <v>18</v>
      </c>
      <c r="E18" s="315" t="s">
        <v>11</v>
      </c>
      <c r="F18" s="325">
        <f>100-$F$17</f>
        <v>20</v>
      </c>
    </row>
    <row r="19" spans="1:12" x14ac:dyDescent="0.35">
      <c r="A19" s="277"/>
      <c r="B19" s="312"/>
      <c r="C19" s="313"/>
      <c r="D19" s="314" t="s">
        <v>19</v>
      </c>
      <c r="E19" s="315" t="s">
        <v>20</v>
      </c>
      <c r="F19" s="325">
        <f>F17*F14/100</f>
        <v>40</v>
      </c>
    </row>
    <row r="20" spans="1:12" x14ac:dyDescent="0.35">
      <c r="A20" s="277"/>
      <c r="B20" s="312"/>
      <c r="C20" s="313"/>
      <c r="D20" s="314" t="s">
        <v>21</v>
      </c>
      <c r="E20" s="315" t="s">
        <v>20</v>
      </c>
      <c r="F20" s="325">
        <f>F14*F18/100</f>
        <v>10</v>
      </c>
    </row>
    <row r="21" spans="1:12" x14ac:dyDescent="0.35">
      <c r="A21" s="277"/>
      <c r="B21" s="312"/>
      <c r="C21" s="296" t="s">
        <v>22</v>
      </c>
      <c r="D21" s="314"/>
      <c r="E21" s="315"/>
      <c r="F21" s="325"/>
    </row>
    <row r="22" spans="1:12" x14ac:dyDescent="0.35">
      <c r="A22" s="277"/>
      <c r="B22" s="312"/>
      <c r="C22" s="313"/>
      <c r="D22" s="314" t="s">
        <v>23</v>
      </c>
      <c r="E22" s="315" t="s">
        <v>20</v>
      </c>
      <c r="F22" s="325">
        <f>F19</f>
        <v>40</v>
      </c>
    </row>
    <row r="23" spans="1:12" x14ac:dyDescent="0.35">
      <c r="A23" s="277"/>
      <c r="B23" s="312"/>
      <c r="C23" s="313"/>
      <c r="D23" s="314" t="s">
        <v>24</v>
      </c>
      <c r="E23" s="315" t="s">
        <v>16</v>
      </c>
      <c r="F23" s="325">
        <v>0</v>
      </c>
    </row>
    <row r="24" spans="1:12" x14ac:dyDescent="0.35">
      <c r="A24" s="277"/>
      <c r="B24" s="312"/>
      <c r="C24" s="313"/>
      <c r="D24" s="314" t="s">
        <v>25</v>
      </c>
      <c r="E24" s="315" t="s">
        <v>16</v>
      </c>
      <c r="F24" s="257">
        <f>INPUT!F18</f>
        <v>13</v>
      </c>
    </row>
    <row r="25" spans="1:12" x14ac:dyDescent="0.35">
      <c r="A25" s="277"/>
      <c r="B25" s="312"/>
      <c r="C25" s="313"/>
      <c r="D25" s="314" t="s">
        <v>26</v>
      </c>
      <c r="E25" s="315" t="s">
        <v>11</v>
      </c>
      <c r="F25" s="260">
        <f>INPUT!F19</f>
        <v>8.75</v>
      </c>
      <c r="G25" s="171"/>
      <c r="H25" s="332"/>
    </row>
    <row r="26" spans="1:12" x14ac:dyDescent="0.35">
      <c r="A26" s="277"/>
      <c r="B26" s="312"/>
      <c r="C26" s="296" t="s">
        <v>27</v>
      </c>
      <c r="D26" s="314"/>
      <c r="E26" s="315"/>
      <c r="F26" s="325"/>
      <c r="G26" s="332"/>
    </row>
    <row r="27" spans="1:12" x14ac:dyDescent="0.35">
      <c r="A27" s="277"/>
      <c r="B27" s="312"/>
      <c r="C27" s="297" t="s">
        <v>112</v>
      </c>
      <c r="D27" s="314" t="s">
        <v>28</v>
      </c>
      <c r="E27" s="315" t="s">
        <v>20</v>
      </c>
      <c r="F27" s="325">
        <f>F20</f>
        <v>10</v>
      </c>
    </row>
    <row r="28" spans="1:12" x14ac:dyDescent="0.35">
      <c r="A28" s="277"/>
      <c r="B28" s="205" t="s">
        <v>60</v>
      </c>
      <c r="C28" s="333">
        <f>INPUT!D20</f>
        <v>10</v>
      </c>
      <c r="D28" s="236" t="s">
        <v>29</v>
      </c>
      <c r="E28" s="237" t="s">
        <v>38</v>
      </c>
      <c r="F28" s="259">
        <f>INPUT!F20</f>
        <v>17</v>
      </c>
    </row>
    <row r="29" spans="1:12" x14ac:dyDescent="0.35">
      <c r="A29" s="277"/>
      <c r="B29" s="312"/>
      <c r="C29" s="333">
        <f>INPUT!$D$21</f>
        <v>15</v>
      </c>
      <c r="D29" s="236" t="s">
        <v>30</v>
      </c>
      <c r="E29" s="237" t="s">
        <v>37</v>
      </c>
      <c r="F29" s="259">
        <f>INPUT!F21</f>
        <v>22</v>
      </c>
    </row>
    <row r="30" spans="1:12" x14ac:dyDescent="0.35">
      <c r="A30" s="277"/>
      <c r="B30" s="312"/>
      <c r="C30" s="313"/>
      <c r="D30" s="238" t="s">
        <v>31</v>
      </c>
      <c r="E30" s="237" t="s">
        <v>11</v>
      </c>
      <c r="F30" s="239">
        <f>((F28*C28)+(F29*C29))/SUM(C28:C29)</f>
        <v>20</v>
      </c>
    </row>
    <row r="31" spans="1:12" ht="15" thickBot="1" x14ac:dyDescent="0.4">
      <c r="A31" s="277"/>
      <c r="B31" s="312"/>
      <c r="C31" s="313"/>
      <c r="D31" s="240" t="s">
        <v>176</v>
      </c>
      <c r="E31" s="241" t="s">
        <v>11</v>
      </c>
      <c r="F31" s="255">
        <f>((I32*C28)+(I33*C29))/SUM(C28:C29)</f>
        <v>0.13966399999999998</v>
      </c>
    </row>
    <row r="32" spans="1:12" ht="15" thickBot="1" x14ac:dyDescent="0.4">
      <c r="A32" s="279"/>
      <c r="B32" s="320"/>
      <c r="C32" s="321"/>
      <c r="D32" s="251" t="s">
        <v>174</v>
      </c>
      <c r="E32" s="252" t="s">
        <v>11</v>
      </c>
      <c r="F32" s="253">
        <f>Determination_of_Cost!$B$48</f>
        <v>8.1588999999999981E-2</v>
      </c>
      <c r="G32" s="386" t="s">
        <v>170</v>
      </c>
      <c r="H32" s="387"/>
      <c r="I32" s="127">
        <f>ROUND($F$28*(1-$F$39)/100,5)</f>
        <v>0.13336999999999999</v>
      </c>
      <c r="K32" s="388"/>
      <c r="L32" s="388"/>
    </row>
    <row r="33" spans="1:12" ht="15" thickBot="1" x14ac:dyDescent="0.4">
      <c r="A33" s="277"/>
      <c r="B33" s="312"/>
      <c r="C33" s="313"/>
      <c r="D33" s="251" t="s">
        <v>175</v>
      </c>
      <c r="E33" s="252" t="s">
        <v>11</v>
      </c>
      <c r="F33" s="254">
        <f>Determination_of_Cost!$B$49</f>
        <v>7.4544999999999972E-2</v>
      </c>
      <c r="G33" s="386" t="s">
        <v>171</v>
      </c>
      <c r="H33" s="387"/>
      <c r="I33" s="127">
        <f>ROUND($F$29*(1-$F$38)/100,5)</f>
        <v>0.14385999999999999</v>
      </c>
      <c r="K33" s="276"/>
      <c r="L33" s="276"/>
    </row>
    <row r="34" spans="1:12" ht="15" thickBot="1" x14ac:dyDescent="0.4">
      <c r="A34" s="277"/>
      <c r="B34" s="312"/>
      <c r="C34" s="313"/>
      <c r="D34" s="240" t="s">
        <v>177</v>
      </c>
      <c r="E34" s="242" t="s">
        <v>11</v>
      </c>
      <c r="F34" s="243">
        <f>($F$32*$C$28+$F$33*$C$29)/SUM($C$28:$C$29)</f>
        <v>7.7362599999999976E-2</v>
      </c>
      <c r="G34" s="235"/>
      <c r="H34" s="235"/>
      <c r="I34" s="256"/>
      <c r="K34" s="276"/>
      <c r="L34" s="276"/>
    </row>
    <row r="35" spans="1:12" ht="15" thickBot="1" x14ac:dyDescent="0.4">
      <c r="A35" s="277"/>
      <c r="B35" s="312"/>
      <c r="C35" s="313"/>
      <c r="D35" s="314" t="s">
        <v>69</v>
      </c>
      <c r="E35" s="315" t="s">
        <v>11</v>
      </c>
      <c r="F35" s="192">
        <f>(((1+F32)^F10)-1)/(F32*(1+F32)^F10)</f>
        <v>10.531463841173322</v>
      </c>
    </row>
    <row r="36" spans="1:12" x14ac:dyDescent="0.35">
      <c r="A36" s="334" t="s">
        <v>98</v>
      </c>
      <c r="B36" s="307" t="s">
        <v>14</v>
      </c>
      <c r="C36" s="308"/>
      <c r="D36" s="309"/>
      <c r="E36" s="335"/>
      <c r="F36" s="168"/>
    </row>
    <row r="37" spans="1:12" x14ac:dyDescent="0.35">
      <c r="A37" s="277"/>
      <c r="B37" s="312"/>
      <c r="C37" s="296" t="s">
        <v>33</v>
      </c>
      <c r="D37" s="314"/>
      <c r="E37" s="336"/>
      <c r="F37" s="184"/>
      <c r="K37" s="312"/>
    </row>
    <row r="38" spans="1:12" x14ac:dyDescent="0.35">
      <c r="A38" s="277"/>
      <c r="B38" s="312"/>
      <c r="C38" s="313"/>
      <c r="D38" s="185" t="s">
        <v>34</v>
      </c>
      <c r="E38" s="336" t="s">
        <v>11</v>
      </c>
      <c r="F38" s="337">
        <v>0.34610000000000002</v>
      </c>
      <c r="G38" s="332"/>
    </row>
    <row r="39" spans="1:12" x14ac:dyDescent="0.35">
      <c r="A39" s="277"/>
      <c r="B39" s="312"/>
      <c r="C39" s="313"/>
      <c r="D39" s="185" t="s">
        <v>125</v>
      </c>
      <c r="E39" s="336" t="s">
        <v>11</v>
      </c>
      <c r="F39" s="338">
        <v>0.2155</v>
      </c>
      <c r="G39" s="171"/>
      <c r="J39" s="171"/>
      <c r="K39" s="332"/>
    </row>
    <row r="40" spans="1:12" x14ac:dyDescent="0.35">
      <c r="A40" s="277"/>
      <c r="B40" s="312"/>
      <c r="C40" s="313"/>
      <c r="D40" s="314" t="s">
        <v>35</v>
      </c>
      <c r="E40" s="336" t="s">
        <v>39</v>
      </c>
      <c r="F40" s="277"/>
    </row>
    <row r="41" spans="1:12" x14ac:dyDescent="0.35">
      <c r="A41" s="277"/>
      <c r="B41" s="312"/>
      <c r="C41" s="313"/>
      <c r="D41" s="314"/>
      <c r="E41" s="336"/>
      <c r="F41" s="277"/>
    </row>
    <row r="42" spans="1:12" ht="15" thickBot="1" x14ac:dyDescent="0.4">
      <c r="A42" s="277"/>
      <c r="B42" s="183" t="s">
        <v>16</v>
      </c>
      <c r="C42" s="296" t="s">
        <v>66</v>
      </c>
      <c r="D42" s="185" t="s">
        <v>135</v>
      </c>
      <c r="E42" s="134">
        <v>0.9</v>
      </c>
      <c r="F42" s="184">
        <f>$F$14*$E$42</f>
        <v>45</v>
      </c>
    </row>
    <row r="43" spans="1:12" ht="15" thickBot="1" x14ac:dyDescent="0.4">
      <c r="A43" s="277"/>
      <c r="B43" s="339">
        <f>$F$24</f>
        <v>13</v>
      </c>
      <c r="C43" s="313" t="s">
        <v>67</v>
      </c>
      <c r="D43" s="314" t="s">
        <v>292</v>
      </c>
      <c r="E43" s="336" t="s">
        <v>11</v>
      </c>
      <c r="F43" s="340">
        <v>5.83</v>
      </c>
      <c r="G43" s="140">
        <f>$F$14*$F$43/100</f>
        <v>2.915</v>
      </c>
      <c r="H43" s="141" t="s">
        <v>134</v>
      </c>
    </row>
    <row r="44" spans="1:12" ht="15" thickBot="1" x14ac:dyDescent="0.4">
      <c r="A44" s="279"/>
      <c r="B44" s="341">
        <f>25-$B$43</f>
        <v>12</v>
      </c>
      <c r="C44" s="321"/>
      <c r="D44" s="342" t="s">
        <v>180</v>
      </c>
      <c r="E44" s="328" t="s">
        <v>11</v>
      </c>
      <c r="F44" s="343">
        <f>(E42-(F43*B43/100))*100/B44</f>
        <v>1.1841666666666668</v>
      </c>
      <c r="G44" s="142">
        <f>($F$42-$G$43*$B$43)/$B$44</f>
        <v>0.59208333333333307</v>
      </c>
      <c r="H44" s="141" t="s">
        <v>134</v>
      </c>
    </row>
    <row r="45" spans="1:12" ht="15" thickBot="1" x14ac:dyDescent="0.4">
      <c r="A45" s="344" t="s">
        <v>99</v>
      </c>
      <c r="B45" s="312"/>
      <c r="C45" s="313"/>
      <c r="D45" s="185" t="s">
        <v>94</v>
      </c>
      <c r="E45" s="315"/>
      <c r="F45" s="345">
        <v>0.15</v>
      </c>
      <c r="I45" s="194"/>
      <c r="J45" s="195"/>
      <c r="K45" s="196"/>
    </row>
    <row r="46" spans="1:12" ht="15" thickBot="1" x14ac:dyDescent="0.4">
      <c r="A46" s="278">
        <v>5</v>
      </c>
      <c r="B46" s="211" t="s">
        <v>36</v>
      </c>
      <c r="C46" s="308"/>
      <c r="D46" s="309"/>
      <c r="E46" s="310"/>
      <c r="F46" s="323"/>
    </row>
    <row r="47" spans="1:12" x14ac:dyDescent="0.35">
      <c r="A47" s="277"/>
      <c r="B47" s="373" t="s">
        <v>247</v>
      </c>
      <c r="C47" s="300" t="s">
        <v>182</v>
      </c>
      <c r="D47" s="346"/>
      <c r="E47" s="303"/>
      <c r="F47" s="301"/>
    </row>
    <row r="48" spans="1:12" ht="29" x14ac:dyDescent="0.35">
      <c r="A48" s="277"/>
      <c r="B48" s="374">
        <v>3</v>
      </c>
      <c r="C48" s="313" t="s">
        <v>259</v>
      </c>
      <c r="D48" s="312"/>
      <c r="E48" s="277" t="s">
        <v>246</v>
      </c>
      <c r="F48" s="325">
        <f>3.6*$F$7*1000*30/10^5</f>
        <v>5.4</v>
      </c>
    </row>
    <row r="49" spans="1:6" x14ac:dyDescent="0.35">
      <c r="A49" s="277"/>
      <c r="B49" s="312"/>
      <c r="C49" s="313" t="s">
        <v>183</v>
      </c>
      <c r="D49" s="312"/>
      <c r="E49" s="277" t="s">
        <v>246</v>
      </c>
      <c r="F49" s="325">
        <v>0.5</v>
      </c>
    </row>
    <row r="50" spans="1:6" ht="15" thickBot="1" x14ac:dyDescent="0.4">
      <c r="A50" s="277"/>
      <c r="B50" s="312"/>
      <c r="C50" s="313" t="s">
        <v>184</v>
      </c>
      <c r="D50" s="312"/>
      <c r="E50" s="277" t="s">
        <v>246</v>
      </c>
      <c r="F50" s="325">
        <v>3</v>
      </c>
    </row>
    <row r="51" spans="1:6" ht="15" thickBot="1" x14ac:dyDescent="0.4">
      <c r="A51" s="277"/>
      <c r="B51" s="312"/>
      <c r="C51" s="295" t="s">
        <v>181</v>
      </c>
      <c r="D51" s="331"/>
      <c r="E51" s="212" t="s">
        <v>246</v>
      </c>
      <c r="F51" s="360">
        <f>SUM(F48:F50)</f>
        <v>8.9</v>
      </c>
    </row>
    <row r="52" spans="1:6" ht="15" thickBot="1" x14ac:dyDescent="0.4">
      <c r="A52" s="277"/>
      <c r="B52" s="312"/>
      <c r="C52" s="277"/>
      <c r="D52" s="312"/>
      <c r="E52" s="277"/>
      <c r="F52" s="325"/>
    </row>
    <row r="53" spans="1:6" ht="15" thickBot="1" x14ac:dyDescent="0.4">
      <c r="A53" s="277"/>
      <c r="B53" s="312"/>
      <c r="C53" s="295" t="s">
        <v>243</v>
      </c>
      <c r="D53" s="331"/>
      <c r="E53" s="212" t="s">
        <v>246</v>
      </c>
      <c r="F53" s="360">
        <f>'Cost Breakup for Salary'!$F$12</f>
        <v>1.82</v>
      </c>
    </row>
    <row r="54" spans="1:6" ht="15" thickBot="1" x14ac:dyDescent="0.4">
      <c r="A54" s="277"/>
      <c r="B54" s="312"/>
      <c r="C54" s="313"/>
      <c r="D54" s="312"/>
      <c r="E54" s="212"/>
      <c r="F54" s="325"/>
    </row>
    <row r="55" spans="1:6" x14ac:dyDescent="0.35">
      <c r="A55" s="277"/>
      <c r="B55" s="312"/>
      <c r="C55" s="376" t="s">
        <v>249</v>
      </c>
      <c r="D55" s="307"/>
      <c r="E55" s="277"/>
      <c r="F55" s="377"/>
    </row>
    <row r="56" spans="1:6" x14ac:dyDescent="0.35">
      <c r="A56" s="277"/>
      <c r="B56" s="312"/>
      <c r="C56" s="313" t="s">
        <v>250</v>
      </c>
      <c r="D56" s="312"/>
      <c r="E56" s="277" t="s">
        <v>246</v>
      </c>
      <c r="F56" s="378">
        <f>INPUT!$F$15*INPUT!$F$9*1000*F9/(12*10^5)</f>
        <v>6</v>
      </c>
    </row>
    <row r="57" spans="1:6" x14ac:dyDescent="0.35">
      <c r="A57" s="277"/>
      <c r="B57" s="312"/>
      <c r="C57" s="313" t="s">
        <v>282</v>
      </c>
      <c r="D57" s="312"/>
      <c r="E57" s="277" t="s">
        <v>246</v>
      </c>
      <c r="F57" s="325">
        <f>INPUT!$F$16*1000*F9/(12*10^5)</f>
        <v>2.5</v>
      </c>
    </row>
    <row r="58" spans="1:6" ht="15" thickBot="1" x14ac:dyDescent="0.4">
      <c r="A58" s="277"/>
      <c r="B58" s="312"/>
      <c r="C58" s="313" t="s">
        <v>195</v>
      </c>
      <c r="D58" s="312"/>
      <c r="E58" s="277" t="s">
        <v>246</v>
      </c>
      <c r="F58" s="325">
        <v>0</v>
      </c>
    </row>
    <row r="59" spans="1:6" ht="15" thickBot="1" x14ac:dyDescent="0.4">
      <c r="A59" s="277"/>
      <c r="B59" s="312"/>
      <c r="C59" s="295" t="s">
        <v>181</v>
      </c>
      <c r="D59" s="331"/>
      <c r="E59" s="212" t="s">
        <v>246</v>
      </c>
      <c r="F59" s="360">
        <f>SUM(F56:F58)</f>
        <v>8.5</v>
      </c>
    </row>
    <row r="60" spans="1:6" ht="15" thickBot="1" x14ac:dyDescent="0.4">
      <c r="A60" s="277"/>
      <c r="B60" s="312"/>
      <c r="C60" s="321"/>
      <c r="D60" s="312"/>
      <c r="E60" s="279"/>
      <c r="F60" s="325"/>
    </row>
    <row r="61" spans="1:6" x14ac:dyDescent="0.35">
      <c r="A61" s="277"/>
      <c r="B61" s="312"/>
      <c r="C61" s="376" t="s">
        <v>245</v>
      </c>
      <c r="D61" s="307"/>
      <c r="E61" s="277"/>
      <c r="F61" s="377"/>
    </row>
    <row r="62" spans="1:6" x14ac:dyDescent="0.35">
      <c r="A62" s="277"/>
      <c r="B62" s="312"/>
      <c r="C62" s="313" t="s">
        <v>196</v>
      </c>
      <c r="D62" s="312"/>
      <c r="E62" s="277" t="s">
        <v>244</v>
      </c>
      <c r="F62" s="325">
        <v>1000</v>
      </c>
    </row>
    <row r="63" spans="1:6" x14ac:dyDescent="0.35">
      <c r="A63" s="277"/>
      <c r="B63" s="312"/>
      <c r="C63" s="313" t="s">
        <v>197</v>
      </c>
      <c r="D63" s="312"/>
      <c r="E63" s="277" t="s">
        <v>244</v>
      </c>
      <c r="F63" s="325">
        <v>1000</v>
      </c>
    </row>
    <row r="64" spans="1:6" x14ac:dyDescent="0.35">
      <c r="A64" s="277"/>
      <c r="B64" s="312"/>
      <c r="C64" s="313" t="s">
        <v>198</v>
      </c>
      <c r="D64" s="312"/>
      <c r="E64" s="277" t="s">
        <v>244</v>
      </c>
      <c r="F64" s="325">
        <v>2000</v>
      </c>
    </row>
    <row r="65" spans="1:6" x14ac:dyDescent="0.35">
      <c r="A65" s="277"/>
      <c r="B65" s="312"/>
      <c r="C65" s="313" t="s">
        <v>199</v>
      </c>
      <c r="D65" s="312"/>
      <c r="E65" s="277" t="s">
        <v>244</v>
      </c>
      <c r="F65" s="325">
        <f>F86*100000</f>
        <v>100000</v>
      </c>
    </row>
    <row r="66" spans="1:6" x14ac:dyDescent="0.35">
      <c r="A66" s="277"/>
      <c r="B66" s="312"/>
      <c r="C66" s="313" t="s">
        <v>200</v>
      </c>
      <c r="D66" s="312"/>
      <c r="E66" s="277" t="s">
        <v>244</v>
      </c>
      <c r="F66" s="325">
        <v>2500</v>
      </c>
    </row>
    <row r="67" spans="1:6" x14ac:dyDescent="0.35">
      <c r="A67" s="277"/>
      <c r="B67" s="312"/>
      <c r="C67" s="313" t="s">
        <v>201</v>
      </c>
      <c r="D67" s="312"/>
      <c r="E67" s="277" t="s">
        <v>244</v>
      </c>
      <c r="F67" s="325">
        <v>2000</v>
      </c>
    </row>
    <row r="68" spans="1:6" x14ac:dyDescent="0.35">
      <c r="A68" s="277"/>
      <c r="B68" s="312"/>
      <c r="C68" s="313" t="s">
        <v>202</v>
      </c>
      <c r="D68" s="312"/>
      <c r="E68" s="277" t="s">
        <v>244</v>
      </c>
      <c r="F68" s="325">
        <v>4000</v>
      </c>
    </row>
    <row r="69" spans="1:6" x14ac:dyDescent="0.35">
      <c r="A69" s="277"/>
      <c r="B69" s="312"/>
      <c r="C69" s="313" t="s">
        <v>203</v>
      </c>
      <c r="D69" s="312"/>
      <c r="E69" s="277" t="s">
        <v>244</v>
      </c>
      <c r="F69" s="325">
        <v>1000</v>
      </c>
    </row>
    <row r="70" spans="1:6" ht="15" thickBot="1" x14ac:dyDescent="0.4">
      <c r="A70" s="277"/>
      <c r="B70" s="312"/>
      <c r="C70" s="321" t="s">
        <v>204</v>
      </c>
      <c r="D70" s="312"/>
      <c r="E70" s="277" t="s">
        <v>244</v>
      </c>
      <c r="F70" s="330">
        <v>2000</v>
      </c>
    </row>
    <row r="71" spans="1:6" ht="15" thickBot="1" x14ac:dyDescent="0.4">
      <c r="A71" s="277"/>
      <c r="B71" s="312"/>
      <c r="C71" s="295" t="s">
        <v>181</v>
      </c>
      <c r="D71" s="212"/>
      <c r="E71" s="212" t="s">
        <v>246</v>
      </c>
      <c r="F71" s="360">
        <f>SUM(F62:F70)/10^5</f>
        <v>1.155</v>
      </c>
    </row>
    <row r="72" spans="1:6" x14ac:dyDescent="0.35">
      <c r="A72" s="277"/>
      <c r="B72" s="312"/>
      <c r="C72" s="376"/>
      <c r="D72" s="307"/>
      <c r="E72" s="352"/>
      <c r="F72" s="278"/>
    </row>
    <row r="73" spans="1:6" x14ac:dyDescent="0.35">
      <c r="A73" s="277"/>
      <c r="B73" s="312"/>
      <c r="C73" s="296" t="s">
        <v>256</v>
      </c>
      <c r="D73" s="312"/>
      <c r="E73" s="354"/>
      <c r="F73" s="184" t="s">
        <v>205</v>
      </c>
    </row>
    <row r="74" spans="1:6" x14ac:dyDescent="0.35">
      <c r="A74" s="277"/>
      <c r="B74" s="312"/>
      <c r="C74" s="313" t="s">
        <v>206</v>
      </c>
      <c r="D74" s="312"/>
      <c r="E74" s="354"/>
      <c r="F74" s="277">
        <f>F51</f>
        <v>8.9</v>
      </c>
    </row>
    <row r="75" spans="1:6" x14ac:dyDescent="0.35">
      <c r="A75" s="277"/>
      <c r="B75" s="312"/>
      <c r="C75" s="313" t="s">
        <v>185</v>
      </c>
      <c r="D75" s="312"/>
      <c r="E75" s="354"/>
      <c r="F75" s="379">
        <f>F53</f>
        <v>1.82</v>
      </c>
    </row>
    <row r="76" spans="1:6" x14ac:dyDescent="0.35">
      <c r="A76" s="277"/>
      <c r="B76" s="312"/>
      <c r="C76" s="313" t="s">
        <v>207</v>
      </c>
      <c r="D76" s="312"/>
      <c r="E76" s="354"/>
      <c r="F76" s="379">
        <f>F59</f>
        <v>8.5</v>
      </c>
    </row>
    <row r="77" spans="1:6" ht="15" thickBot="1" x14ac:dyDescent="0.4">
      <c r="A77" s="277"/>
      <c r="B77" s="312"/>
      <c r="C77" s="313" t="s">
        <v>208</v>
      </c>
      <c r="D77" s="312"/>
      <c r="E77" s="354"/>
      <c r="F77" s="379">
        <f>F71</f>
        <v>1.155</v>
      </c>
    </row>
    <row r="78" spans="1:6" ht="15" thickBot="1" x14ac:dyDescent="0.4">
      <c r="A78" s="277"/>
      <c r="B78" s="312"/>
      <c r="C78" s="295" t="s">
        <v>181</v>
      </c>
      <c r="D78" s="331"/>
      <c r="E78" s="380"/>
      <c r="F78" s="329">
        <f>SUM(F74:F77)</f>
        <v>20.375</v>
      </c>
    </row>
    <row r="79" spans="1:6" ht="15" thickBot="1" x14ac:dyDescent="0.4">
      <c r="A79" s="277"/>
      <c r="B79" s="312"/>
      <c r="C79" s="296"/>
      <c r="D79" s="314"/>
      <c r="E79" s="315"/>
      <c r="F79" s="264"/>
    </row>
    <row r="80" spans="1:6" ht="15" thickBot="1" x14ac:dyDescent="0.4">
      <c r="A80" s="277"/>
      <c r="B80" s="312"/>
      <c r="C80" s="295" t="s">
        <v>229</v>
      </c>
      <c r="D80" s="347"/>
      <c r="E80" s="326" t="s">
        <v>230</v>
      </c>
      <c r="F80" s="282">
        <v>3.5000000000000001E-3</v>
      </c>
    </row>
    <row r="81" spans="1:9" x14ac:dyDescent="0.35">
      <c r="A81" s="277"/>
      <c r="B81" s="312"/>
      <c r="C81" s="296"/>
      <c r="D81" s="314"/>
      <c r="E81" s="315"/>
      <c r="F81" s="281"/>
    </row>
    <row r="82" spans="1:9" x14ac:dyDescent="0.35">
      <c r="A82" s="277"/>
      <c r="B82" s="312"/>
      <c r="C82" s="296" t="s">
        <v>234</v>
      </c>
      <c r="D82" s="314"/>
      <c r="E82" s="315" t="s">
        <v>235</v>
      </c>
      <c r="F82" s="283">
        <f>INPUT!F13</f>
        <v>0</v>
      </c>
    </row>
    <row r="83" spans="1:9" x14ac:dyDescent="0.35">
      <c r="A83" s="277"/>
      <c r="B83" s="312"/>
      <c r="C83" s="296"/>
      <c r="D83" s="314"/>
      <c r="E83" s="315"/>
      <c r="F83" s="348"/>
    </row>
    <row r="84" spans="1:9" ht="15" thickBot="1" x14ac:dyDescent="0.4">
      <c r="A84" s="277"/>
      <c r="B84" s="320"/>
      <c r="C84" s="298" t="s">
        <v>40</v>
      </c>
      <c r="D84" s="342"/>
      <c r="E84" s="322" t="s">
        <v>11</v>
      </c>
      <c r="F84" s="349">
        <v>11</v>
      </c>
    </row>
    <row r="85" spans="1:9" ht="15" thickBot="1" x14ac:dyDescent="0.4">
      <c r="A85" s="279"/>
      <c r="B85" s="307" t="s">
        <v>42</v>
      </c>
      <c r="C85" s="308"/>
      <c r="D85" s="309"/>
      <c r="E85" s="310"/>
      <c r="F85" s="311"/>
    </row>
    <row r="86" spans="1:9" x14ac:dyDescent="0.35">
      <c r="A86" s="278">
        <v>6</v>
      </c>
      <c r="B86" s="312"/>
      <c r="C86" s="296" t="s">
        <v>3</v>
      </c>
      <c r="D86" s="314"/>
      <c r="E86" s="315" t="s">
        <v>228</v>
      </c>
      <c r="F86" s="257">
        <f>INPUT!F12</f>
        <v>1</v>
      </c>
    </row>
    <row r="87" spans="1:9" ht="15" thickBot="1" x14ac:dyDescent="0.4">
      <c r="A87" s="277"/>
      <c r="B87" s="320"/>
      <c r="C87" s="298" t="s">
        <v>43</v>
      </c>
      <c r="D87" s="350"/>
      <c r="E87" s="322" t="s">
        <v>11</v>
      </c>
      <c r="F87" s="258" t="s">
        <v>251</v>
      </c>
      <c r="I87" s="197"/>
    </row>
    <row r="88" spans="1:9" ht="15" thickBot="1" x14ac:dyDescent="0.4">
      <c r="A88" s="279">
        <v>7</v>
      </c>
      <c r="B88" s="323" t="s">
        <v>220</v>
      </c>
      <c r="C88" s="377" t="s">
        <v>220</v>
      </c>
      <c r="D88" s="212"/>
      <c r="E88" s="212" t="s">
        <v>221</v>
      </c>
      <c r="F88" s="212">
        <f>INPUT!$F$23</f>
        <v>15</v>
      </c>
    </row>
    <row r="89" spans="1:9" ht="15" thickBot="1" x14ac:dyDescent="0.4">
      <c r="A89" s="277">
        <v>8</v>
      </c>
      <c r="B89" s="307"/>
      <c r="C89" s="351"/>
      <c r="D89" s="186" t="s">
        <v>88</v>
      </c>
      <c r="E89" s="278" t="s">
        <v>16</v>
      </c>
      <c r="F89" s="233">
        <v>1</v>
      </c>
      <c r="G89" s="278"/>
    </row>
    <row r="90" spans="1:9" x14ac:dyDescent="0.35">
      <c r="A90" s="278"/>
      <c r="B90" s="352"/>
      <c r="C90" s="353"/>
      <c r="D90" s="187" t="s">
        <v>89</v>
      </c>
      <c r="E90" s="277" t="s">
        <v>16</v>
      </c>
      <c r="F90" s="234">
        <v>0</v>
      </c>
    </row>
    <row r="91" spans="1:9" x14ac:dyDescent="0.35">
      <c r="A91" s="277"/>
      <c r="B91" s="354"/>
      <c r="C91" s="355"/>
      <c r="D91" s="187" t="s">
        <v>90</v>
      </c>
      <c r="E91" s="277" t="s">
        <v>16</v>
      </c>
      <c r="F91" s="340">
        <v>16</v>
      </c>
    </row>
    <row r="92" spans="1:9" x14ac:dyDescent="0.35">
      <c r="A92" s="277"/>
      <c r="B92" s="354"/>
      <c r="C92" s="355"/>
      <c r="D92" s="187" t="s">
        <v>91</v>
      </c>
      <c r="E92" s="277" t="s">
        <v>16</v>
      </c>
      <c r="F92" s="234">
        <v>10</v>
      </c>
    </row>
    <row r="93" spans="1:9" ht="15" thickBot="1" x14ac:dyDescent="0.4">
      <c r="A93" s="277"/>
      <c r="B93" s="356"/>
      <c r="C93" s="357"/>
      <c r="D93" s="188" t="s">
        <v>92</v>
      </c>
      <c r="E93" s="279" t="s">
        <v>16</v>
      </c>
      <c r="F93" s="358">
        <v>5</v>
      </c>
      <c r="G93" s="198"/>
    </row>
    <row r="94" spans="1:9" ht="15" thickBot="1" x14ac:dyDescent="0.4">
      <c r="A94" s="305"/>
      <c r="C94" s="312"/>
      <c r="D94" s="302" t="s">
        <v>61</v>
      </c>
      <c r="E94" s="359"/>
      <c r="F94" s="360"/>
    </row>
    <row r="95" spans="1:9" x14ac:dyDescent="0.35">
      <c r="A95" s="312"/>
      <c r="G95" s="332"/>
    </row>
    <row r="97" spans="2:5" x14ac:dyDescent="0.35">
      <c r="C97" s="102" t="s">
        <v>126</v>
      </c>
    </row>
    <row r="98" spans="2:5" x14ac:dyDescent="0.35">
      <c r="C98" s="299" t="s">
        <v>242</v>
      </c>
      <c r="D98" s="116">
        <f>Determination_of_Cost!B25</f>
        <v>4.9084196746232847</v>
      </c>
      <c r="E98" s="171" t="s">
        <v>288</v>
      </c>
    </row>
    <row r="102" spans="2:5" x14ac:dyDescent="0.35">
      <c r="B102" s="361"/>
      <c r="C102" s="361"/>
    </row>
    <row r="103" spans="2:5" x14ac:dyDescent="0.35">
      <c r="B103" s="361"/>
      <c r="C103" s="361"/>
    </row>
    <row r="104" spans="2:5" ht="14.5" customHeight="1" x14ac:dyDescent="0.35">
      <c r="B104" s="361"/>
      <c r="C104" s="361"/>
    </row>
    <row r="105" spans="2:5" x14ac:dyDescent="0.35">
      <c r="B105" s="361"/>
      <c r="C105" s="361"/>
    </row>
    <row r="106" spans="2:5" x14ac:dyDescent="0.35">
      <c r="B106" s="361"/>
      <c r="C106" s="361"/>
    </row>
    <row r="107" spans="2:5" x14ac:dyDescent="0.35">
      <c r="B107" s="361"/>
      <c r="C107" s="361"/>
    </row>
    <row r="108" spans="2:5" x14ac:dyDescent="0.35">
      <c r="B108" s="361"/>
      <c r="C108" s="361"/>
    </row>
    <row r="109" spans="2:5" x14ac:dyDescent="0.35">
      <c r="B109" s="361"/>
      <c r="C109" s="361"/>
    </row>
    <row r="110" spans="2:5" x14ac:dyDescent="0.35">
      <c r="B110" s="361"/>
      <c r="C110" s="361"/>
    </row>
    <row r="111" spans="2:5" x14ac:dyDescent="0.35">
      <c r="B111" s="361"/>
      <c r="C111" s="361"/>
    </row>
    <row r="112" spans="2:5" x14ac:dyDescent="0.35">
      <c r="B112" s="361"/>
      <c r="C112" s="361"/>
    </row>
    <row r="113" spans="2:5" x14ac:dyDescent="0.35">
      <c r="B113" s="361"/>
      <c r="C113" s="361"/>
    </row>
    <row r="114" spans="2:5" x14ac:dyDescent="0.35">
      <c r="B114" s="361"/>
      <c r="C114" s="361"/>
    </row>
    <row r="115" spans="2:5" x14ac:dyDescent="0.35">
      <c r="B115" s="332"/>
    </row>
    <row r="122" spans="2:5" x14ac:dyDescent="0.35">
      <c r="D122" s="362"/>
      <c r="E122" s="362"/>
    </row>
    <row r="123" spans="2:5" x14ac:dyDescent="0.35">
      <c r="C123" s="363"/>
      <c r="D123" s="362"/>
      <c r="E123" s="362"/>
    </row>
    <row r="124" spans="2:5" x14ac:dyDescent="0.35">
      <c r="C124" s="363"/>
      <c r="D124" s="362"/>
      <c r="E124" s="362"/>
    </row>
    <row r="125" spans="2:5" x14ac:dyDescent="0.35">
      <c r="C125" s="363"/>
      <c r="D125" s="362"/>
      <c r="E125" s="362"/>
    </row>
    <row r="126" spans="2:5" x14ac:dyDescent="0.35">
      <c r="C126" s="363"/>
      <c r="D126" s="362"/>
      <c r="E126" s="362"/>
    </row>
    <row r="127" spans="2:5" x14ac:dyDescent="0.35">
      <c r="C127" s="363"/>
      <c r="D127" s="362"/>
      <c r="E127" s="362"/>
    </row>
  </sheetData>
  <mergeCells count="3">
    <mergeCell ref="G32:H32"/>
    <mergeCell ref="K32:L32"/>
    <mergeCell ref="G33:H33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857A-EC61-4C2E-AC67-0F5B4078D649}">
  <sheetPr>
    <tabColor theme="7"/>
  </sheetPr>
  <dimension ref="A1:AB71"/>
  <sheetViews>
    <sheetView zoomScale="86" zoomScaleNormal="100" workbookViewId="0">
      <selection activeCell="B11" sqref="B11"/>
    </sheetView>
  </sheetViews>
  <sheetFormatPr defaultRowHeight="14.5" x14ac:dyDescent="0.35"/>
  <cols>
    <col min="1" max="1" width="42.1796875" customWidth="1"/>
    <col min="2" max="2" width="10" bestFit="1" customWidth="1"/>
    <col min="3" max="3" width="7.6328125" customWidth="1"/>
    <col min="4" max="28" width="8.36328125" bestFit="1" customWidth="1"/>
  </cols>
  <sheetData>
    <row r="1" spans="1:28" x14ac:dyDescent="0.35">
      <c r="A1" s="33" t="s">
        <v>289</v>
      </c>
      <c r="B1" s="34"/>
    </row>
    <row r="2" spans="1:28" x14ac:dyDescent="0.35">
      <c r="A2" s="10" t="s">
        <v>44</v>
      </c>
      <c r="B2" s="10" t="s">
        <v>8</v>
      </c>
      <c r="C2" s="10" t="s">
        <v>48</v>
      </c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  <c r="J2" s="10">
        <v>7</v>
      </c>
      <c r="K2" s="10">
        <v>8</v>
      </c>
      <c r="L2" s="10">
        <v>9</v>
      </c>
      <c r="M2" s="10">
        <v>10</v>
      </c>
      <c r="N2" s="10">
        <v>11</v>
      </c>
      <c r="O2" s="10">
        <v>12</v>
      </c>
      <c r="P2" s="10">
        <v>13</v>
      </c>
      <c r="Q2" s="10">
        <v>14</v>
      </c>
      <c r="R2" s="10">
        <v>15</v>
      </c>
      <c r="S2" s="10">
        <v>16</v>
      </c>
      <c r="T2" s="10">
        <v>17</v>
      </c>
      <c r="U2" s="10">
        <v>18</v>
      </c>
      <c r="V2" s="10">
        <v>19</v>
      </c>
      <c r="W2" s="10">
        <v>20</v>
      </c>
      <c r="X2" s="10">
        <v>21</v>
      </c>
      <c r="Y2" s="10">
        <v>22</v>
      </c>
      <c r="Z2" s="10">
        <v>23</v>
      </c>
      <c r="AA2" s="10">
        <v>24</v>
      </c>
      <c r="AB2" s="10">
        <v>25</v>
      </c>
    </row>
    <row r="3" spans="1:28" x14ac:dyDescent="0.35">
      <c r="A3" t="s">
        <v>222</v>
      </c>
      <c r="B3" t="s">
        <v>210</v>
      </c>
      <c r="D3">
        <f>'Assumption for Botlling Plant'!$F$5</f>
        <v>8</v>
      </c>
      <c r="E3">
        <f>D3*(1-'Assumption for Botlling Plant'!$F$8)</f>
        <v>8</v>
      </c>
      <c r="F3">
        <f>E3*(1-'Assumption for Botlling Plant'!$F$8)</f>
        <v>8</v>
      </c>
      <c r="G3">
        <f>F3*(1-'Assumption for Botlling Plant'!$F$8)</f>
        <v>8</v>
      </c>
      <c r="H3">
        <f>G3*(1-'Assumption for Botlling Plant'!$F$8)</f>
        <v>8</v>
      </c>
      <c r="I3">
        <f>H3*(1-'Assumption for Botlling Plant'!$F$8)</f>
        <v>8</v>
      </c>
      <c r="J3">
        <f>I3*(1-'Assumption for Botlling Plant'!$F$8)</f>
        <v>8</v>
      </c>
      <c r="K3">
        <f>J3*(1-'Assumption for Botlling Plant'!$F$8)</f>
        <v>8</v>
      </c>
      <c r="L3">
        <f>K3*(1-'Assumption for Botlling Plant'!$F$8)</f>
        <v>8</v>
      </c>
      <c r="M3">
        <f>L3*(1-'Assumption for Botlling Plant'!$F$8)</f>
        <v>8</v>
      </c>
      <c r="N3">
        <f>M3*(1-'Assumption for Botlling Plant'!$F$8)</f>
        <v>8</v>
      </c>
      <c r="O3">
        <f>N3*(1-'Assumption for Botlling Plant'!$F$8)</f>
        <v>8</v>
      </c>
      <c r="P3">
        <f>O3*(1-'Assumption for Botlling Plant'!$F$8)</f>
        <v>8</v>
      </c>
      <c r="Q3">
        <f>P3*(1-'Assumption for Botlling Plant'!$F$8)</f>
        <v>8</v>
      </c>
      <c r="R3">
        <f>Q3*(1-'Assumption for Botlling Plant'!$F$8)</f>
        <v>8</v>
      </c>
      <c r="S3">
        <f>R3*(1-'Assumption for Botlling Plant'!$F$8)</f>
        <v>8</v>
      </c>
      <c r="T3">
        <f>S3*(1-'Assumption for Botlling Plant'!$F$8)</f>
        <v>8</v>
      </c>
      <c r="U3">
        <f>T3*(1-'Assumption for Botlling Plant'!$F$8)</f>
        <v>8</v>
      </c>
      <c r="V3">
        <f>U3*(1-'Assumption for Botlling Plant'!$F$8)</f>
        <v>8</v>
      </c>
      <c r="W3">
        <f>V3*(1-'Assumption for Botlling Plant'!$F$8)</f>
        <v>8</v>
      </c>
      <c r="X3">
        <f>W3*(1-'Assumption for Botlling Plant'!$F$8)</f>
        <v>8</v>
      </c>
      <c r="Y3">
        <f>X3*(1-'Assumption for Botlling Plant'!$F$8)</f>
        <v>8</v>
      </c>
      <c r="Z3">
        <f>Y3*(1-'Assumption for Botlling Plant'!$F$8)</f>
        <v>8</v>
      </c>
      <c r="AA3">
        <f>Z3*(1-'Assumption for Botlling Plant'!$F$8)</f>
        <v>8</v>
      </c>
      <c r="AB3">
        <f>AA3*(1-'Assumption for Botlling Plant'!$F$8)</f>
        <v>8</v>
      </c>
    </row>
    <row r="4" spans="1:28" x14ac:dyDescent="0.35">
      <c r="A4" t="s">
        <v>223</v>
      </c>
      <c r="B4" t="s">
        <v>210</v>
      </c>
      <c r="D4" s="32">
        <f>'Assumption for Botlling Plant'!$F$7</f>
        <v>5</v>
      </c>
      <c r="E4" s="32">
        <f>D4*(1-'Assumption for Botlling Plant'!$F$8)</f>
        <v>5</v>
      </c>
      <c r="F4" s="32">
        <f>E4*(1-'Assumption for Botlling Plant'!$F$8)</f>
        <v>5</v>
      </c>
      <c r="G4" s="32">
        <f>F4*(1-'Assumption for Botlling Plant'!$F$8)</f>
        <v>5</v>
      </c>
      <c r="H4" s="32">
        <f>G4*(1-'Assumption for Botlling Plant'!$F$8)</f>
        <v>5</v>
      </c>
      <c r="I4" s="32">
        <f>H4*(1-'Assumption for Botlling Plant'!$F$8)</f>
        <v>5</v>
      </c>
      <c r="J4" s="32">
        <f>I4*(1-'Assumption for Botlling Plant'!$F$8)</f>
        <v>5</v>
      </c>
      <c r="K4" s="32">
        <f>J4*(1-'Assumption for Botlling Plant'!$F$8)</f>
        <v>5</v>
      </c>
      <c r="L4" s="32">
        <f>K4*(1-'Assumption for Botlling Plant'!$F$8)</f>
        <v>5</v>
      </c>
      <c r="M4" s="32">
        <f>L4*(1-'Assumption for Botlling Plant'!$F$8)</f>
        <v>5</v>
      </c>
      <c r="N4" s="32">
        <f>M4*(1-'Assumption for Botlling Plant'!$F$8)</f>
        <v>5</v>
      </c>
      <c r="O4" s="32">
        <f>N4*(1-'Assumption for Botlling Plant'!$F$8)</f>
        <v>5</v>
      </c>
      <c r="P4" s="32">
        <f>O4*(1-'Assumption for Botlling Plant'!$F$8)</f>
        <v>5</v>
      </c>
      <c r="Q4" s="32">
        <f>P4*(1-'Assumption for Botlling Plant'!$F$8)</f>
        <v>5</v>
      </c>
      <c r="R4" s="32">
        <f>Q4*(1-'Assumption for Botlling Plant'!$F$8)</f>
        <v>5</v>
      </c>
      <c r="S4" s="32">
        <f>R4*(1-'Assumption for Botlling Plant'!$F$8)</f>
        <v>5</v>
      </c>
      <c r="T4" s="32">
        <f>S4*(1-'Assumption for Botlling Plant'!$F$8)</f>
        <v>5</v>
      </c>
      <c r="U4" s="32">
        <f>T4*(1-'Assumption for Botlling Plant'!$F$8)</f>
        <v>5</v>
      </c>
      <c r="V4" s="32">
        <f>U4*(1-'Assumption for Botlling Plant'!$F$8)</f>
        <v>5</v>
      </c>
      <c r="W4" s="32">
        <f>V4*(1-'Assumption for Botlling Plant'!$F$8)</f>
        <v>5</v>
      </c>
      <c r="X4" s="32">
        <f>W4*(1-'Assumption for Botlling Plant'!$F$8)</f>
        <v>5</v>
      </c>
      <c r="Y4" s="32">
        <f>X4*(1-'Assumption for Botlling Plant'!$F$8)</f>
        <v>5</v>
      </c>
      <c r="Z4" s="32">
        <f>Y4*(1-'Assumption for Botlling Plant'!$F$8)</f>
        <v>5</v>
      </c>
      <c r="AA4" s="32">
        <f>Z4*(1-'Assumption for Botlling Plant'!$F$8)</f>
        <v>5</v>
      </c>
      <c r="AB4" s="32">
        <f>AA4*(1-'Assumption for Botlling Plant'!$F$8)</f>
        <v>5</v>
      </c>
    </row>
    <row r="5" spans="1:28" x14ac:dyDescent="0.35">
      <c r="A5" t="s">
        <v>224</v>
      </c>
      <c r="B5" t="s">
        <v>225</v>
      </c>
      <c r="D5" s="32">
        <f>'Assumption for Botlling Plant'!$F$7*1000</f>
        <v>5000</v>
      </c>
      <c r="E5" s="32">
        <f>'Assumption for Botlling Plant'!$F$7*1000</f>
        <v>5000</v>
      </c>
      <c r="F5" s="32">
        <f>'Assumption for Botlling Plant'!$F$7*1000</f>
        <v>5000</v>
      </c>
      <c r="G5" s="32">
        <f>'Assumption for Botlling Plant'!$F$7*1000</f>
        <v>5000</v>
      </c>
      <c r="H5" s="32">
        <f>'Assumption for Botlling Plant'!$F$7*1000</f>
        <v>5000</v>
      </c>
      <c r="I5" s="32">
        <f>'Assumption for Botlling Plant'!$F$7*1000</f>
        <v>5000</v>
      </c>
      <c r="J5" s="32">
        <f>'Assumption for Botlling Plant'!$F$7*1000</f>
        <v>5000</v>
      </c>
      <c r="K5" s="32">
        <f>'Assumption for Botlling Plant'!$F$7*1000</f>
        <v>5000</v>
      </c>
      <c r="L5" s="32">
        <f>'Assumption for Botlling Plant'!$F$7*1000</f>
        <v>5000</v>
      </c>
      <c r="M5" s="32">
        <f>'Assumption for Botlling Plant'!$F$7*1000</f>
        <v>5000</v>
      </c>
      <c r="N5" s="32">
        <f>'Assumption for Botlling Plant'!$F$7*1000</f>
        <v>5000</v>
      </c>
      <c r="O5" s="32">
        <f>'Assumption for Botlling Plant'!$F$7*1000</f>
        <v>5000</v>
      </c>
      <c r="P5" s="32">
        <f>'Assumption for Botlling Plant'!$F$7*1000</f>
        <v>5000</v>
      </c>
      <c r="Q5" s="32">
        <f>'Assumption for Botlling Plant'!$F$7*1000</f>
        <v>5000</v>
      </c>
      <c r="R5" s="32">
        <f>'Assumption for Botlling Plant'!$F$7*1000</f>
        <v>5000</v>
      </c>
      <c r="S5" s="32">
        <f>'Assumption for Botlling Plant'!$F$7*1000</f>
        <v>5000</v>
      </c>
      <c r="T5" s="32">
        <f>'Assumption for Botlling Plant'!$F$7*1000</f>
        <v>5000</v>
      </c>
      <c r="U5" s="32">
        <f>'Assumption for Botlling Plant'!$F$7*1000</f>
        <v>5000</v>
      </c>
      <c r="V5" s="32">
        <f>'Assumption for Botlling Plant'!$F$7*1000</f>
        <v>5000</v>
      </c>
      <c r="W5" s="32">
        <f>'Assumption for Botlling Plant'!$F$7*1000</f>
        <v>5000</v>
      </c>
      <c r="X5" s="32">
        <f>'Assumption for Botlling Plant'!$F$7*1000</f>
        <v>5000</v>
      </c>
      <c r="Y5" s="32">
        <f>'Assumption for Botlling Plant'!$F$7*1000</f>
        <v>5000</v>
      </c>
      <c r="Z5" s="32">
        <f>'Assumption for Botlling Plant'!$F$7*1000</f>
        <v>5000</v>
      </c>
      <c r="AA5" s="32">
        <f>'Assumption for Botlling Plant'!$F$7*1000</f>
        <v>5000</v>
      </c>
      <c r="AB5" s="32">
        <f>'Assumption for Botlling Plant'!$F$7*1000</f>
        <v>5000</v>
      </c>
    </row>
    <row r="6" spans="1:28" x14ac:dyDescent="0.35">
      <c r="A6" t="s">
        <v>224</v>
      </c>
      <c r="B6" t="s">
        <v>226</v>
      </c>
      <c r="D6" s="32">
        <f>D4*'Assumption for Botlling Plant'!$F$9*1000</f>
        <v>1500000</v>
      </c>
      <c r="E6" s="32">
        <f>E4*'Assumption for Botlling Plant'!$F$9*1000</f>
        <v>1500000</v>
      </c>
      <c r="F6" s="32">
        <f>F4*'Assumption for Botlling Plant'!$F$9*1000</f>
        <v>1500000</v>
      </c>
      <c r="G6" s="32">
        <f>G4*'Assumption for Botlling Plant'!$F$9*1000</f>
        <v>1500000</v>
      </c>
      <c r="H6" s="32">
        <f>H4*'Assumption for Botlling Plant'!$F$9*1000</f>
        <v>1500000</v>
      </c>
      <c r="I6" s="32">
        <f>I4*'Assumption for Botlling Plant'!$F$9*1000</f>
        <v>1500000</v>
      </c>
      <c r="J6" s="32">
        <f>J4*'Assumption for Botlling Plant'!$F$9*1000</f>
        <v>1500000</v>
      </c>
      <c r="K6" s="32">
        <f>K4*'Assumption for Botlling Plant'!$F$9*1000</f>
        <v>1500000</v>
      </c>
      <c r="L6" s="32">
        <f>L4*'Assumption for Botlling Plant'!$F$9*1000</f>
        <v>1500000</v>
      </c>
      <c r="M6" s="32">
        <f>M4*'Assumption for Botlling Plant'!$F$9*1000</f>
        <v>1500000</v>
      </c>
      <c r="N6" s="32">
        <f>N4*'Assumption for Botlling Plant'!$F$9*1000</f>
        <v>1500000</v>
      </c>
      <c r="O6" s="32">
        <f>O4*'Assumption for Botlling Plant'!$F$9*1000</f>
        <v>1500000</v>
      </c>
      <c r="P6" s="32">
        <f>P4*'Assumption for Botlling Plant'!$F$9*1000</f>
        <v>1500000</v>
      </c>
      <c r="Q6" s="32">
        <f>Q4*'Assumption for Botlling Plant'!$F$9*1000</f>
        <v>1500000</v>
      </c>
      <c r="R6" s="32">
        <f>R4*'Assumption for Botlling Plant'!$F$9*1000</f>
        <v>1500000</v>
      </c>
      <c r="S6" s="32">
        <f>S4*'Assumption for Botlling Plant'!$F$9*1000</f>
        <v>1500000</v>
      </c>
      <c r="T6" s="32">
        <f>T4*'Assumption for Botlling Plant'!$F$9*1000</f>
        <v>1500000</v>
      </c>
      <c r="U6" s="32">
        <f>U4*'Assumption for Botlling Plant'!$F$9*1000</f>
        <v>1500000</v>
      </c>
      <c r="V6" s="32">
        <f>V4*'Assumption for Botlling Plant'!$F$9*1000</f>
        <v>1500000</v>
      </c>
      <c r="W6" s="32">
        <f>W4*'Assumption for Botlling Plant'!$F$9*1000</f>
        <v>1500000</v>
      </c>
      <c r="X6" s="32">
        <f>X4*'Assumption for Botlling Plant'!$F$9*1000</f>
        <v>1500000</v>
      </c>
      <c r="Y6" s="32">
        <f>Y4*'Assumption for Botlling Plant'!$F$9*1000</f>
        <v>1500000</v>
      </c>
      <c r="Z6" s="32">
        <f>Z4*'Assumption for Botlling Plant'!$F$9*1000</f>
        <v>1500000</v>
      </c>
      <c r="AA6" s="32">
        <f>AA4*'Assumption for Botlling Plant'!$F$9*1000</f>
        <v>1500000</v>
      </c>
      <c r="AB6" s="32">
        <f>AB4*'Assumption for Botlling Plant'!$F$9*1000</f>
        <v>1500000</v>
      </c>
    </row>
    <row r="7" spans="1:28" x14ac:dyDescent="0.35">
      <c r="A7" t="s">
        <v>253</v>
      </c>
      <c r="B7" t="s">
        <v>254</v>
      </c>
      <c r="D7" s="32">
        <f>D6/10^5</f>
        <v>15</v>
      </c>
      <c r="E7" s="32">
        <f t="shared" ref="E7:AB7" si="0">E6/10^5</f>
        <v>15</v>
      </c>
      <c r="F7" s="32">
        <f t="shared" si="0"/>
        <v>15</v>
      </c>
      <c r="G7" s="32">
        <f t="shared" si="0"/>
        <v>15</v>
      </c>
      <c r="H7" s="32">
        <f t="shared" si="0"/>
        <v>15</v>
      </c>
      <c r="I7" s="32">
        <f t="shared" si="0"/>
        <v>15</v>
      </c>
      <c r="J7" s="32">
        <f t="shared" si="0"/>
        <v>15</v>
      </c>
      <c r="K7" s="32">
        <f t="shared" si="0"/>
        <v>15</v>
      </c>
      <c r="L7" s="32">
        <f t="shared" si="0"/>
        <v>15</v>
      </c>
      <c r="M7" s="32">
        <f t="shared" si="0"/>
        <v>15</v>
      </c>
      <c r="N7" s="32">
        <f t="shared" si="0"/>
        <v>15</v>
      </c>
      <c r="O7" s="32">
        <f t="shared" si="0"/>
        <v>15</v>
      </c>
      <c r="P7" s="32">
        <f t="shared" si="0"/>
        <v>15</v>
      </c>
      <c r="Q7" s="32">
        <f t="shared" si="0"/>
        <v>15</v>
      </c>
      <c r="R7" s="32">
        <f t="shared" si="0"/>
        <v>15</v>
      </c>
      <c r="S7" s="32">
        <f t="shared" si="0"/>
        <v>15</v>
      </c>
      <c r="T7" s="32">
        <f t="shared" si="0"/>
        <v>15</v>
      </c>
      <c r="U7" s="32">
        <f t="shared" si="0"/>
        <v>15</v>
      </c>
      <c r="V7" s="32">
        <f t="shared" si="0"/>
        <v>15</v>
      </c>
      <c r="W7" s="32">
        <f t="shared" si="0"/>
        <v>15</v>
      </c>
      <c r="X7" s="32">
        <f t="shared" si="0"/>
        <v>15</v>
      </c>
      <c r="Y7" s="32">
        <f t="shared" si="0"/>
        <v>15</v>
      </c>
      <c r="Z7" s="32">
        <f t="shared" si="0"/>
        <v>15</v>
      </c>
      <c r="AA7" s="32">
        <f t="shared" si="0"/>
        <v>15</v>
      </c>
      <c r="AB7" s="32">
        <f t="shared" si="0"/>
        <v>15</v>
      </c>
    </row>
    <row r="8" spans="1:28" ht="15" thickBot="1" x14ac:dyDescent="0.4">
      <c r="A8" s="10" t="s">
        <v>233</v>
      </c>
      <c r="B8" s="10" t="s">
        <v>8</v>
      </c>
      <c r="C8" s="10" t="s">
        <v>48</v>
      </c>
      <c r="D8" s="10">
        <v>1</v>
      </c>
      <c r="E8" s="10">
        <v>2</v>
      </c>
      <c r="F8" s="10">
        <v>3</v>
      </c>
      <c r="G8" s="10">
        <v>4</v>
      </c>
      <c r="H8" s="10">
        <v>5</v>
      </c>
      <c r="I8" s="10">
        <v>6</v>
      </c>
      <c r="J8" s="10">
        <v>7</v>
      </c>
      <c r="K8" s="10">
        <v>8</v>
      </c>
      <c r="L8" s="10">
        <v>9</v>
      </c>
      <c r="M8" s="10">
        <v>10</v>
      </c>
      <c r="N8" s="10">
        <v>11</v>
      </c>
      <c r="O8" s="10">
        <v>12</v>
      </c>
      <c r="P8" s="10">
        <v>13</v>
      </c>
      <c r="Q8" s="10">
        <v>14</v>
      </c>
      <c r="R8" s="10">
        <v>15</v>
      </c>
      <c r="S8" s="10">
        <v>16</v>
      </c>
      <c r="T8" s="10">
        <v>17</v>
      </c>
      <c r="U8" s="10">
        <v>18</v>
      </c>
      <c r="V8" s="10">
        <v>19</v>
      </c>
      <c r="W8" s="10">
        <v>20</v>
      </c>
      <c r="X8" s="10">
        <v>21</v>
      </c>
      <c r="Y8" s="10">
        <v>22</v>
      </c>
      <c r="Z8" s="10">
        <v>23</v>
      </c>
      <c r="AA8" s="10">
        <v>24</v>
      </c>
      <c r="AB8" s="10">
        <v>25</v>
      </c>
    </row>
    <row r="9" spans="1:28" x14ac:dyDescent="0.35">
      <c r="A9" s="19" t="s">
        <v>1</v>
      </c>
      <c r="B9" s="8" t="s">
        <v>49</v>
      </c>
      <c r="C9" s="8"/>
      <c r="D9" s="44">
        <f>IF(D2&lt;='Assumption for Botlling Plant'!$B$43,'Assumption for Botlling Plant'!$G$43,'Assumption for Botlling Plant'!$G$44)</f>
        <v>2.915</v>
      </c>
      <c r="E9" s="44">
        <f>IF(E2&lt;='Assumption for Botlling Plant'!$B$43,'Assumption for Botlling Plant'!$G$43,'Assumption for Botlling Plant'!$G$44)</f>
        <v>2.915</v>
      </c>
      <c r="F9" s="44">
        <f>IF(F2&lt;='Assumption for Botlling Plant'!$B$43,'Assumption for Botlling Plant'!$G$43,'Assumption for Botlling Plant'!$G$44)</f>
        <v>2.915</v>
      </c>
      <c r="G9" s="44">
        <f>IF(G2&lt;='Assumption for Botlling Plant'!$B$43,'Assumption for Botlling Plant'!$G$43,'Assumption for Botlling Plant'!$G$44)</f>
        <v>2.915</v>
      </c>
      <c r="H9" s="44">
        <f>IF(H2&lt;='Assumption for Botlling Plant'!$B$43,'Assumption for Botlling Plant'!$G$43,'Assumption for Botlling Plant'!$G$44)</f>
        <v>2.915</v>
      </c>
      <c r="I9" s="44">
        <f>IF(I2&lt;='Assumption for Botlling Plant'!$B$43,'Assumption for Botlling Plant'!$G$43,'Assumption for Botlling Plant'!$G$44)</f>
        <v>2.915</v>
      </c>
      <c r="J9" s="44">
        <f>IF(J2&lt;='Assumption for Botlling Plant'!$B$43,'Assumption for Botlling Plant'!$G$43,'Assumption for Botlling Plant'!$G$44)</f>
        <v>2.915</v>
      </c>
      <c r="K9" s="44">
        <f>IF(K2&lt;='Assumption for Botlling Plant'!$B$43,'Assumption for Botlling Plant'!$G$43,'Assumption for Botlling Plant'!$G$44)</f>
        <v>2.915</v>
      </c>
      <c r="L9" s="44">
        <f>IF(L2&lt;='Assumption for Botlling Plant'!$B$43,'Assumption for Botlling Plant'!$G$43,'Assumption for Botlling Plant'!$G$44)</f>
        <v>2.915</v>
      </c>
      <c r="M9" s="44">
        <f>IF(M2&lt;='Assumption for Botlling Plant'!$B$43,'Assumption for Botlling Plant'!$G$43,'Assumption for Botlling Plant'!$G$44)</f>
        <v>2.915</v>
      </c>
      <c r="N9" s="44">
        <f>IF(N2&lt;='Assumption for Botlling Plant'!$B$43,'Assumption for Botlling Plant'!$G$43,'Assumption for Botlling Plant'!$G$44)</f>
        <v>2.915</v>
      </c>
      <c r="O9" s="44">
        <f>IF(O2&lt;='Assumption for Botlling Plant'!$B$43,'Assumption for Botlling Plant'!$G$43,'Assumption for Botlling Plant'!$G$44)</f>
        <v>2.915</v>
      </c>
      <c r="P9" s="44">
        <f>IF(P2&lt;='Assumption for Botlling Plant'!$B$43,'Assumption for Botlling Plant'!$G$43,'Assumption for Botlling Plant'!$G$44)</f>
        <v>2.915</v>
      </c>
      <c r="Q9" s="44">
        <f>IF(Q2&lt;='Assumption for Botlling Plant'!$B$43,'Assumption for Botlling Plant'!$G$43,'Assumption for Botlling Plant'!$G$44)</f>
        <v>0.59208333333333307</v>
      </c>
      <c r="R9" s="44">
        <f>IF(R2&lt;='Assumption for Botlling Plant'!$B$43,'Assumption for Botlling Plant'!$G$43,'Assumption for Botlling Plant'!$G$44)</f>
        <v>0.59208333333333307</v>
      </c>
      <c r="S9" s="44">
        <f>IF(S2&lt;='Assumption for Botlling Plant'!$B$43,'Assumption for Botlling Plant'!$G$43,'Assumption for Botlling Plant'!$G$44)</f>
        <v>0.59208333333333307</v>
      </c>
      <c r="T9" s="44">
        <f>IF(T2&lt;='Assumption for Botlling Plant'!$B$43,'Assumption for Botlling Plant'!$G$43,'Assumption for Botlling Plant'!$G$44)</f>
        <v>0.59208333333333307</v>
      </c>
      <c r="U9" s="44">
        <f>IF(U2&lt;='Assumption for Botlling Plant'!$B$43,'Assumption for Botlling Plant'!$G$43,'Assumption for Botlling Plant'!$G$44)</f>
        <v>0.59208333333333307</v>
      </c>
      <c r="V9" s="44">
        <f>IF(V2&lt;='Assumption for Botlling Plant'!$B$43,'Assumption for Botlling Plant'!$G$43,'Assumption for Botlling Plant'!$G$44)</f>
        <v>0.59208333333333307</v>
      </c>
      <c r="W9" s="44">
        <f>IF(W2&lt;='Assumption for Botlling Plant'!$B$43,'Assumption for Botlling Plant'!$G$43,'Assumption for Botlling Plant'!$G$44)</f>
        <v>0.59208333333333307</v>
      </c>
      <c r="X9" s="44">
        <f>IF(X2&lt;='Assumption for Botlling Plant'!$B$43,'Assumption for Botlling Plant'!$G$43,'Assumption for Botlling Plant'!$G$44)</f>
        <v>0.59208333333333307</v>
      </c>
      <c r="Y9" s="44">
        <f>IF(Y2&lt;='Assumption for Botlling Plant'!$B$43,'Assumption for Botlling Plant'!$G$43,'Assumption for Botlling Plant'!$G$44)</f>
        <v>0.59208333333333307</v>
      </c>
      <c r="Z9" s="44">
        <f>IF(Z2&lt;='Assumption for Botlling Plant'!$B$43,'Assumption for Botlling Plant'!$G$43,'Assumption for Botlling Plant'!$G$44)</f>
        <v>0.59208333333333307</v>
      </c>
      <c r="AA9" s="44">
        <f>IF(AA2&lt;='Assumption for Botlling Plant'!$B$43,'Assumption for Botlling Plant'!$G$43,'Assumption for Botlling Plant'!$G$44)</f>
        <v>0.59208333333333307</v>
      </c>
      <c r="AB9" s="45">
        <f>IF(AB2&lt;='Assumption for Botlling Plant'!$B$43,'Assumption for Botlling Plant'!$G$43,'Assumption for Botlling Plant'!$G$44)</f>
        <v>0.59208333333333307</v>
      </c>
    </row>
    <row r="10" spans="1:28" x14ac:dyDescent="0.35">
      <c r="A10" s="20" t="s">
        <v>45</v>
      </c>
      <c r="B10" s="2" t="s">
        <v>49</v>
      </c>
      <c r="C10" s="2"/>
      <c r="D10" s="35">
        <f>IF(D2&lt;='Assumption for Botlling Plant'!$F$24,'Interest(onLOAN)'!B$4,0)</f>
        <v>3.365384615384615</v>
      </c>
      <c r="E10" s="35">
        <f>IF(E2&lt;='Assumption for Botlling Plant'!$F$24,'Interest(onLOAN)'!C$4,0)</f>
        <v>3.0961538461538454</v>
      </c>
      <c r="F10" s="35">
        <f>IF(F2&lt;='Assumption for Botlling Plant'!$F$24,'Interest(onLOAN)'!D$4,0)</f>
        <v>2.8269230769230762</v>
      </c>
      <c r="G10" s="35">
        <f>IF(G2&lt;='Assumption for Botlling Plant'!$F$24,'Interest(onLOAN)'!E$4,0)</f>
        <v>2.557692307692307</v>
      </c>
      <c r="H10" s="35">
        <f>IF(H2&lt;='Assumption for Botlling Plant'!$F$24,'Interest(onLOAN)'!F$4,0)</f>
        <v>2.2884615384615374</v>
      </c>
      <c r="I10" s="35">
        <f>IF(I2&lt;='Assumption for Botlling Plant'!$F$24,'Interest(onLOAN)'!G$4,0)</f>
        <v>2.0192307692307687</v>
      </c>
      <c r="J10" s="35">
        <f>IF(J2&lt;='Assumption for Botlling Plant'!$F$24,'Interest(onLOAN)'!H$4,0)</f>
        <v>1.7499999999999993</v>
      </c>
      <c r="K10" s="35">
        <f>IF(K2&lt;='Assumption for Botlling Plant'!$F$24,'Interest(onLOAN)'!I$4,0)</f>
        <v>1.4807692307692304</v>
      </c>
      <c r="L10" s="35">
        <f>IF(L2&lt;='Assumption for Botlling Plant'!$F$24,'Interest(onLOAN)'!J$4,0)</f>
        <v>1.211538461538461</v>
      </c>
      <c r="M10" s="35">
        <f>IF(M2&lt;='Assumption for Botlling Plant'!$F$24,'Interest(onLOAN)'!K$4,0)</f>
        <v>0.94230769230769185</v>
      </c>
      <c r="N10" s="35">
        <f>IF(N2&lt;='Assumption for Botlling Plant'!$F$24,'Interest(onLOAN)'!L$4,0)</f>
        <v>0.67307692307692268</v>
      </c>
      <c r="O10" s="35">
        <f>IF(O2&lt;='Assumption for Botlling Plant'!$F$24,'Interest(onLOAN)'!M$4,0)</f>
        <v>0.40384615384615347</v>
      </c>
      <c r="P10" s="35">
        <f>IF(P2&lt;='Assumption for Botlling Plant'!$F$24,'Interest(onLOAN)'!N$4,0)</f>
        <v>0.13461538461538422</v>
      </c>
      <c r="Q10" s="35">
        <f>IF(Q2&lt;='Assumption for Botlling Plant'!$F$24,'Interest(onLOAN)'!O$4,0)</f>
        <v>0</v>
      </c>
      <c r="R10" s="35">
        <f>IF(R2&lt;='Assumption for Botlling Plant'!$F$24,'Interest(onLOAN)'!P$4,0)</f>
        <v>0</v>
      </c>
      <c r="S10" s="35">
        <f>IF(S2&lt;='Assumption for Botlling Plant'!$F$24,'Interest(onLOAN)'!Q$4,0)</f>
        <v>0</v>
      </c>
      <c r="T10" s="35">
        <f>IF(T2&lt;='Assumption for Botlling Plant'!$F$24,'Interest(onLOAN)'!R$4,0)</f>
        <v>0</v>
      </c>
      <c r="U10" s="35">
        <f>IF(U2&lt;='Assumption for Botlling Plant'!$F$24,'Interest(onLOAN)'!S$4,0)</f>
        <v>0</v>
      </c>
      <c r="V10" s="35">
        <f>IF(V2&lt;='Assumption for Botlling Plant'!$F$24,'Interest(onLOAN)'!T$4,0)</f>
        <v>0</v>
      </c>
      <c r="W10" s="35">
        <f>IF(W2&lt;='Assumption for Botlling Plant'!$F$24,'Interest(onLOAN)'!U$4,0)</f>
        <v>0</v>
      </c>
      <c r="X10" s="35">
        <f>IF(X2&lt;='Assumption for Botlling Plant'!$F$24,'Interest(onLOAN)'!V$4,0)</f>
        <v>0</v>
      </c>
      <c r="Y10" s="35">
        <f>IF(Y2&lt;='Assumption for Botlling Plant'!$F$24,'Interest(onLOAN)'!W$4,0)</f>
        <v>0</v>
      </c>
      <c r="Z10" s="35">
        <f>IF(Z2&lt;='Assumption for Botlling Plant'!$F$24,'Interest(onLOAN)'!X$4,0)</f>
        <v>0</v>
      </c>
      <c r="AA10" s="35">
        <f>IF(AA2&lt;='Assumption for Botlling Plant'!$F$24,'Interest(onLOAN)'!Y$4,0)</f>
        <v>0</v>
      </c>
      <c r="AB10" s="40">
        <f>IF(AB2&lt;='Assumption for Botlling Plant'!$F$24,'Interest(onLOAN)'!Z$4,0)</f>
        <v>0</v>
      </c>
    </row>
    <row r="11" spans="1:28" x14ac:dyDescent="0.35">
      <c r="A11" s="20" t="s">
        <v>40</v>
      </c>
      <c r="B11" s="2" t="s">
        <v>49</v>
      </c>
      <c r="C11" s="2"/>
      <c r="D11" s="35">
        <f>B38*'Assumption for Botlling Plant'!$F$84/100</f>
        <v>6.7418777249999993</v>
      </c>
      <c r="E11" s="35">
        <f>C38*'Assumption for Botlling Plant'!$F$84/100</f>
        <v>6.74075545</v>
      </c>
      <c r="F11" s="35">
        <f>D38*'Assumption for Botlling Plant'!$F$84/100</f>
        <v>6.7396331749999998</v>
      </c>
      <c r="G11" s="35">
        <f>E38*'Assumption for Botlling Plant'!$F$84/100</f>
        <v>6.7385108999999996</v>
      </c>
      <c r="H11" s="35">
        <f>F38*'Assumption for Botlling Plant'!$F$84/100</f>
        <v>6.7373886249999995</v>
      </c>
      <c r="I11" s="35">
        <f>G38*'Assumption for Botlling Plant'!$F$84/100</f>
        <v>6.7362663499999993</v>
      </c>
      <c r="J11" s="35">
        <f>H38*'Assumption for Botlling Plant'!$F$84/100</f>
        <v>6.7351440750000009</v>
      </c>
      <c r="K11" s="35">
        <f>I38*'Assumption for Botlling Plant'!$F$84/100</f>
        <v>6.7340218000000007</v>
      </c>
      <c r="L11" s="35">
        <f>J38*'Assumption for Botlling Plant'!$F$84/100</f>
        <v>6.7328995250000006</v>
      </c>
      <c r="M11" s="35">
        <f>K38*'Assumption for Botlling Plant'!$F$84/100</f>
        <v>6.7317772500000004</v>
      </c>
      <c r="N11" s="35">
        <f>L38*'Assumption for Botlling Plant'!$F$84/100</f>
        <v>6.7306549750000002</v>
      </c>
      <c r="O11" s="35">
        <f>M38*'Assumption for Botlling Plant'!$F$84/100</f>
        <v>6.7295327</v>
      </c>
      <c r="P11" s="35">
        <f>N38*'Assumption for Botlling Plant'!$F$84/100</f>
        <v>6.7284104249999999</v>
      </c>
      <c r="Q11" s="35">
        <f>O38*'Assumption for Botlling Plant'!$F$84/100</f>
        <v>6.728182472916667</v>
      </c>
      <c r="R11" s="35">
        <f>P38*'Assumption for Botlling Plant'!$F$84/100</f>
        <v>6.7279545208333333</v>
      </c>
      <c r="S11" s="35">
        <f>Q38*'Assumption for Botlling Plant'!$F$84/100</f>
        <v>6.7277265687499996</v>
      </c>
      <c r="T11" s="35">
        <f>R38*'Assumption for Botlling Plant'!$F$84/100</f>
        <v>6.7274986166666668</v>
      </c>
      <c r="U11" s="35">
        <f>S38*'Assumption for Botlling Plant'!$F$84/100</f>
        <v>6.727270664583334</v>
      </c>
      <c r="V11" s="35">
        <f>T38*'Assumption for Botlling Plant'!$F$84/100</f>
        <v>6.7270427124999994</v>
      </c>
      <c r="W11" s="35">
        <f>U38*'Assumption for Botlling Plant'!$F$84/100</f>
        <v>6.7268147604166666</v>
      </c>
      <c r="X11" s="35">
        <f>V38*'Assumption for Botlling Plant'!$F$84/100</f>
        <v>6.7265868083333338</v>
      </c>
      <c r="Y11" s="35">
        <f>W38*'Assumption for Botlling Plant'!$F$84/100</f>
        <v>6.7263588562500001</v>
      </c>
      <c r="Z11" s="35">
        <f>X38*'Assumption for Botlling Plant'!$F$84/100</f>
        <v>6.7261309041666664</v>
      </c>
      <c r="AA11" s="35">
        <f>Y38*'Assumption for Botlling Plant'!$F$84/100</f>
        <v>6.7259029520833336</v>
      </c>
      <c r="AB11" s="40">
        <f>Z38*'Assumption for Botlling Plant'!$F$84/100</f>
        <v>6.7256749999999998</v>
      </c>
    </row>
    <row r="12" spans="1:28" ht="15" thickBot="1" x14ac:dyDescent="0.4">
      <c r="A12" s="29" t="s">
        <v>2</v>
      </c>
      <c r="B12" s="31" t="s">
        <v>49</v>
      </c>
      <c r="C12" s="31"/>
      <c r="D12" s="41">
        <f>IF(D2&lt;='Assumption for Botlling Plant'!$C$28,('Assumption for Botlling Plant'!$F$27*'Assumption for Botlling Plant'!$F$28/100),('Assumption for Botlling Plant'!$F$27*'Assumption for Botlling Plant'!$F$29/100))</f>
        <v>1.7</v>
      </c>
      <c r="E12" s="41">
        <f>IF(E2&lt;='Assumption for Botlling Plant'!$C$28,('Assumption for Botlling Plant'!$F$27*'Assumption for Botlling Plant'!$F$28/100),('Assumption for Botlling Plant'!$F$27*'Assumption for Botlling Plant'!$F$29/100))</f>
        <v>1.7</v>
      </c>
      <c r="F12" s="41">
        <f>IF(F2&lt;='Assumption for Botlling Plant'!$C$28,('Assumption for Botlling Plant'!$F$27*'Assumption for Botlling Plant'!$F$28/100),('Assumption for Botlling Plant'!$F$27*'Assumption for Botlling Plant'!$F$29/100))</f>
        <v>1.7</v>
      </c>
      <c r="G12" s="41">
        <f>IF(G2&lt;='Assumption for Botlling Plant'!$C$28,('Assumption for Botlling Plant'!$F$27*'Assumption for Botlling Plant'!$F$28/100),('Assumption for Botlling Plant'!$F$27*'Assumption for Botlling Plant'!$F$29/100))</f>
        <v>1.7</v>
      </c>
      <c r="H12" s="41">
        <f>IF(H2&lt;='Assumption for Botlling Plant'!$C$28,('Assumption for Botlling Plant'!$F$27*'Assumption for Botlling Plant'!$F$28/100),('Assumption for Botlling Plant'!$F$27*'Assumption for Botlling Plant'!$F$29/100))</f>
        <v>1.7</v>
      </c>
      <c r="I12" s="41">
        <f>IF(I2&lt;='Assumption for Botlling Plant'!$C$28,('Assumption for Botlling Plant'!$F$27*'Assumption for Botlling Plant'!$F$28/100),('Assumption for Botlling Plant'!$F$27*'Assumption for Botlling Plant'!$F$29/100))</f>
        <v>1.7</v>
      </c>
      <c r="J12" s="41">
        <f>IF(J2&lt;='Assumption for Botlling Plant'!$C$28,('Assumption for Botlling Plant'!$F$27*'Assumption for Botlling Plant'!$F$28/100),('Assumption for Botlling Plant'!$F$27*'Assumption for Botlling Plant'!$F$29/100))</f>
        <v>1.7</v>
      </c>
      <c r="K12" s="41">
        <f>IF(K2&lt;='Assumption for Botlling Plant'!$C$28,('Assumption for Botlling Plant'!$F$27*'Assumption for Botlling Plant'!$F$28/100),('Assumption for Botlling Plant'!$F$27*'Assumption for Botlling Plant'!$F$29/100))</f>
        <v>1.7</v>
      </c>
      <c r="L12" s="41">
        <f>IF(L2&lt;='Assumption for Botlling Plant'!$C$28,('Assumption for Botlling Plant'!$F$27*'Assumption for Botlling Plant'!$F$28/100),('Assumption for Botlling Plant'!$F$27*'Assumption for Botlling Plant'!$F$29/100))</f>
        <v>1.7</v>
      </c>
      <c r="M12" s="41">
        <f>IF(M2&lt;='Assumption for Botlling Plant'!$C$28,('Assumption for Botlling Plant'!$F$27*'Assumption for Botlling Plant'!$F$28/100),('Assumption for Botlling Plant'!$F$27*'Assumption for Botlling Plant'!$F$29/100))</f>
        <v>1.7</v>
      </c>
      <c r="N12" s="41">
        <f>IF(N2&lt;='Assumption for Botlling Plant'!$C$28,('Assumption for Botlling Plant'!$F$27*'Assumption for Botlling Plant'!$F$28/100),('Assumption for Botlling Plant'!$F$27*'Assumption for Botlling Plant'!$F$29/100))</f>
        <v>2.2000000000000002</v>
      </c>
      <c r="O12" s="41">
        <f>IF(O2&lt;='Assumption for Botlling Plant'!$C$28,('Assumption for Botlling Plant'!$F$27*'Assumption for Botlling Plant'!$F$28/100),('Assumption for Botlling Plant'!$F$27*'Assumption for Botlling Plant'!$F$29/100))</f>
        <v>2.2000000000000002</v>
      </c>
      <c r="P12" s="41">
        <f>IF(P2&lt;='Assumption for Botlling Plant'!$C$28,('Assumption for Botlling Plant'!$F$27*'Assumption for Botlling Plant'!$F$28/100),('Assumption for Botlling Plant'!$F$27*'Assumption for Botlling Plant'!$F$29/100))</f>
        <v>2.2000000000000002</v>
      </c>
      <c r="Q12" s="41">
        <f>IF(Q2&lt;='Assumption for Botlling Plant'!$C$28,('Assumption for Botlling Plant'!$F$27*'Assumption for Botlling Plant'!$F$28/100),('Assumption for Botlling Plant'!$F$27*'Assumption for Botlling Plant'!$F$29/100))</f>
        <v>2.2000000000000002</v>
      </c>
      <c r="R12" s="41">
        <f>IF(R2&lt;='Assumption for Botlling Plant'!$C$28,('Assumption for Botlling Plant'!$F$27*'Assumption for Botlling Plant'!$F$28/100),('Assumption for Botlling Plant'!$F$27*'Assumption for Botlling Plant'!$F$29/100))</f>
        <v>2.2000000000000002</v>
      </c>
      <c r="S12" s="41">
        <f>IF(S2&lt;='Assumption for Botlling Plant'!$C$28,('Assumption for Botlling Plant'!$F$27*'Assumption for Botlling Plant'!$F$28/100),('Assumption for Botlling Plant'!$F$27*'Assumption for Botlling Plant'!$F$29/100))</f>
        <v>2.2000000000000002</v>
      </c>
      <c r="T12" s="41">
        <f>IF(T2&lt;='Assumption for Botlling Plant'!$C$28,('Assumption for Botlling Plant'!$F$27*'Assumption for Botlling Plant'!$F$28/100),('Assumption for Botlling Plant'!$F$27*'Assumption for Botlling Plant'!$F$29/100))</f>
        <v>2.2000000000000002</v>
      </c>
      <c r="U12" s="41">
        <f>IF(U2&lt;='Assumption for Botlling Plant'!$C$28,('Assumption for Botlling Plant'!$F$27*'Assumption for Botlling Plant'!$F$28/100),('Assumption for Botlling Plant'!$F$27*'Assumption for Botlling Plant'!$F$29/100))</f>
        <v>2.2000000000000002</v>
      </c>
      <c r="V12" s="41">
        <f>IF(V2&lt;='Assumption for Botlling Plant'!$C$28,('Assumption for Botlling Plant'!$F$27*'Assumption for Botlling Plant'!$F$28/100),('Assumption for Botlling Plant'!$F$27*'Assumption for Botlling Plant'!$F$29/100))</f>
        <v>2.2000000000000002</v>
      </c>
      <c r="W12" s="41">
        <f>IF(W2&lt;='Assumption for Botlling Plant'!$C$28,('Assumption for Botlling Plant'!$F$27*'Assumption for Botlling Plant'!$F$28/100),('Assumption for Botlling Plant'!$F$27*'Assumption for Botlling Plant'!$F$29/100))</f>
        <v>2.2000000000000002</v>
      </c>
      <c r="X12" s="41">
        <f>IF(X2&lt;='Assumption for Botlling Plant'!$C$28,('Assumption for Botlling Plant'!$F$27*'Assumption for Botlling Plant'!$F$28/100),('Assumption for Botlling Plant'!$F$27*'Assumption for Botlling Plant'!$F$29/100))</f>
        <v>2.2000000000000002</v>
      </c>
      <c r="Y12" s="41">
        <f>IF(Y2&lt;='Assumption for Botlling Plant'!$C$28,('Assumption for Botlling Plant'!$F$27*'Assumption for Botlling Plant'!$F$28/100),('Assumption for Botlling Plant'!$F$27*'Assumption for Botlling Plant'!$F$29/100))</f>
        <v>2.2000000000000002</v>
      </c>
      <c r="Z12" s="41">
        <f>IF(Z2&lt;='Assumption for Botlling Plant'!$C$28,('Assumption for Botlling Plant'!$F$27*'Assumption for Botlling Plant'!$F$28/100),('Assumption for Botlling Plant'!$F$27*'Assumption for Botlling Plant'!$F$29/100))</f>
        <v>2.2000000000000002</v>
      </c>
      <c r="AA12" s="41">
        <f>IF(AA2&lt;='Assumption for Botlling Plant'!$C$28,('Assumption for Botlling Plant'!$F$27*'Assumption for Botlling Plant'!$F$28/100),('Assumption for Botlling Plant'!$F$27*'Assumption for Botlling Plant'!$F$29/100))</f>
        <v>2.2000000000000002</v>
      </c>
      <c r="AB12" s="42">
        <f>IF(AB2&lt;='Assumption for Botlling Plant'!$C$28,('Assumption for Botlling Plant'!$F$27*'Assumption for Botlling Plant'!$F$28/100),('Assumption for Botlling Plant'!$F$27*'Assumption for Botlling Plant'!$F$29/100))</f>
        <v>2.2000000000000002</v>
      </c>
    </row>
    <row r="13" spans="1:28" x14ac:dyDescent="0.35">
      <c r="A13" t="str">
        <f>A32</f>
        <v>Raw Material</v>
      </c>
      <c r="B13" t="s">
        <v>49</v>
      </c>
      <c r="D13" s="13">
        <f>B32</f>
        <v>26.700000000000003</v>
      </c>
      <c r="E13" s="13">
        <f t="shared" ref="E13:AB13" si="1">C32</f>
        <v>26.700000000000003</v>
      </c>
      <c r="F13" s="13">
        <f t="shared" si="1"/>
        <v>26.700000000000003</v>
      </c>
      <c r="G13" s="13">
        <f t="shared" si="1"/>
        <v>26.700000000000003</v>
      </c>
      <c r="H13" s="13">
        <f t="shared" si="1"/>
        <v>26.700000000000003</v>
      </c>
      <c r="I13" s="13">
        <f t="shared" si="1"/>
        <v>26.700000000000003</v>
      </c>
      <c r="J13" s="13">
        <f t="shared" si="1"/>
        <v>26.700000000000003</v>
      </c>
      <c r="K13" s="13">
        <f t="shared" si="1"/>
        <v>26.700000000000003</v>
      </c>
      <c r="L13" s="13">
        <f t="shared" si="1"/>
        <v>26.700000000000003</v>
      </c>
      <c r="M13" s="13">
        <f t="shared" si="1"/>
        <v>26.700000000000003</v>
      </c>
      <c r="N13" s="13">
        <f t="shared" si="1"/>
        <v>26.700000000000003</v>
      </c>
      <c r="O13" s="13">
        <f t="shared" si="1"/>
        <v>26.700000000000003</v>
      </c>
      <c r="P13" s="13">
        <f t="shared" si="1"/>
        <v>26.700000000000003</v>
      </c>
      <c r="Q13" s="13">
        <f t="shared" si="1"/>
        <v>26.700000000000003</v>
      </c>
      <c r="R13" s="13">
        <f t="shared" si="1"/>
        <v>26.700000000000003</v>
      </c>
      <c r="S13" s="13">
        <f t="shared" si="1"/>
        <v>26.700000000000003</v>
      </c>
      <c r="T13" s="13">
        <f t="shared" si="1"/>
        <v>26.700000000000003</v>
      </c>
      <c r="U13" s="13">
        <f t="shared" si="1"/>
        <v>26.700000000000003</v>
      </c>
      <c r="V13" s="13">
        <f t="shared" si="1"/>
        <v>26.700000000000003</v>
      </c>
      <c r="W13" s="13">
        <f t="shared" si="1"/>
        <v>26.700000000000003</v>
      </c>
      <c r="X13" s="13">
        <f t="shared" si="1"/>
        <v>26.700000000000003</v>
      </c>
      <c r="Y13" s="13">
        <f t="shared" si="1"/>
        <v>26.700000000000003</v>
      </c>
      <c r="Z13" s="13">
        <f t="shared" si="1"/>
        <v>26.700000000000003</v>
      </c>
      <c r="AA13" s="13">
        <f t="shared" si="1"/>
        <v>26.700000000000003</v>
      </c>
      <c r="AB13" s="13">
        <f t="shared" si="1"/>
        <v>26.700000000000003</v>
      </c>
    </row>
    <row r="14" spans="1:28" x14ac:dyDescent="0.35">
      <c r="A14" t="str">
        <f t="shared" ref="A14:A17" si="2">A33</f>
        <v>Salary and Wages</v>
      </c>
      <c r="B14" t="s">
        <v>49</v>
      </c>
      <c r="D14" s="13">
        <f t="shared" ref="D14:D17" si="3">B33</f>
        <v>5.46</v>
      </c>
      <c r="E14" s="13">
        <f t="shared" ref="E14:E17" si="4">C33</f>
        <v>5.46</v>
      </c>
      <c r="F14" s="13">
        <f t="shared" ref="F14:F17" si="5">D33</f>
        <v>5.46</v>
      </c>
      <c r="G14" s="13">
        <f t="shared" ref="G14:G17" si="6">E33</f>
        <v>5.46</v>
      </c>
      <c r="H14" s="13">
        <f t="shared" ref="H14:H17" si="7">F33</f>
        <v>5.46</v>
      </c>
      <c r="I14" s="13">
        <f t="shared" ref="I14:I17" si="8">G33</f>
        <v>5.46</v>
      </c>
      <c r="J14" s="13">
        <f t="shared" ref="J14:J17" si="9">H33</f>
        <v>5.46</v>
      </c>
      <c r="K14" s="13">
        <f t="shared" ref="K14:K17" si="10">I33</f>
        <v>5.46</v>
      </c>
      <c r="L14" s="13">
        <f t="shared" ref="L14:L17" si="11">J33</f>
        <v>5.46</v>
      </c>
      <c r="M14" s="13">
        <f t="shared" ref="M14:M17" si="12">K33</f>
        <v>5.46</v>
      </c>
      <c r="N14" s="13">
        <f t="shared" ref="N14:N17" si="13">L33</f>
        <v>5.46</v>
      </c>
      <c r="O14" s="13">
        <f t="shared" ref="O14:O17" si="14">M33</f>
        <v>5.46</v>
      </c>
      <c r="P14" s="13">
        <f t="shared" ref="P14:P17" si="15">N33</f>
        <v>5.46</v>
      </c>
      <c r="Q14" s="13">
        <f t="shared" ref="Q14:Q17" si="16">O33</f>
        <v>5.46</v>
      </c>
      <c r="R14" s="13">
        <f t="shared" ref="R14:R17" si="17">P33</f>
        <v>5.46</v>
      </c>
      <c r="S14" s="13">
        <f t="shared" ref="S14:S17" si="18">Q33</f>
        <v>5.46</v>
      </c>
      <c r="T14" s="13">
        <f t="shared" ref="T14:T17" si="19">R33</f>
        <v>5.46</v>
      </c>
      <c r="U14" s="13">
        <f t="shared" ref="U14:U17" si="20">S33</f>
        <v>5.46</v>
      </c>
      <c r="V14" s="13">
        <f t="shared" ref="V14:V17" si="21">T33</f>
        <v>5.46</v>
      </c>
      <c r="W14" s="13">
        <f t="shared" ref="W14:W17" si="22">U33</f>
        <v>5.46</v>
      </c>
      <c r="X14" s="13">
        <f t="shared" ref="X14:X17" si="23">V33</f>
        <v>5.46</v>
      </c>
      <c r="Y14" s="13">
        <f t="shared" ref="Y14:Y17" si="24">W33</f>
        <v>5.46</v>
      </c>
      <c r="Z14" s="13">
        <f t="shared" ref="Z14:Z17" si="25">X33</f>
        <v>5.46</v>
      </c>
      <c r="AA14" s="13">
        <f t="shared" ref="AA14:AA17" si="26">Y33</f>
        <v>5.46</v>
      </c>
      <c r="AB14" s="13">
        <f t="shared" ref="AB14:AB17" si="27">Z33</f>
        <v>5.46</v>
      </c>
    </row>
    <row r="15" spans="1:28" x14ac:dyDescent="0.35">
      <c r="A15" t="str">
        <f t="shared" si="2"/>
        <v>Utilities</v>
      </c>
      <c r="B15" t="s">
        <v>49</v>
      </c>
      <c r="D15" s="13">
        <f t="shared" si="3"/>
        <v>25.5</v>
      </c>
      <c r="E15" s="13">
        <f t="shared" si="4"/>
        <v>25.5</v>
      </c>
      <c r="F15" s="13">
        <f t="shared" si="5"/>
        <v>25.5</v>
      </c>
      <c r="G15" s="13">
        <f t="shared" si="6"/>
        <v>25.5</v>
      </c>
      <c r="H15" s="13">
        <f t="shared" si="7"/>
        <v>25.5</v>
      </c>
      <c r="I15" s="13">
        <f t="shared" si="8"/>
        <v>25.5</v>
      </c>
      <c r="J15" s="13">
        <f t="shared" si="9"/>
        <v>25.5</v>
      </c>
      <c r="K15" s="13">
        <f t="shared" si="10"/>
        <v>25.5</v>
      </c>
      <c r="L15" s="13">
        <f t="shared" si="11"/>
        <v>25.5</v>
      </c>
      <c r="M15" s="13">
        <f t="shared" si="12"/>
        <v>25.5</v>
      </c>
      <c r="N15" s="13">
        <f t="shared" si="13"/>
        <v>25.5</v>
      </c>
      <c r="O15" s="13">
        <f t="shared" si="14"/>
        <v>25.5</v>
      </c>
      <c r="P15" s="13">
        <f t="shared" si="15"/>
        <v>25.5</v>
      </c>
      <c r="Q15" s="13">
        <f t="shared" si="16"/>
        <v>25.5</v>
      </c>
      <c r="R15" s="13">
        <f t="shared" si="17"/>
        <v>25.5</v>
      </c>
      <c r="S15" s="13">
        <f t="shared" si="18"/>
        <v>25.5</v>
      </c>
      <c r="T15" s="13">
        <f t="shared" si="19"/>
        <v>25.5</v>
      </c>
      <c r="U15" s="13">
        <f t="shared" si="20"/>
        <v>25.5</v>
      </c>
      <c r="V15" s="13">
        <f t="shared" si="21"/>
        <v>25.5</v>
      </c>
      <c r="W15" s="13">
        <f t="shared" si="22"/>
        <v>25.5</v>
      </c>
      <c r="X15" s="13">
        <f t="shared" si="23"/>
        <v>25.5</v>
      </c>
      <c r="Y15" s="13">
        <f t="shared" si="24"/>
        <v>25.5</v>
      </c>
      <c r="Z15" s="13">
        <f t="shared" si="25"/>
        <v>25.5</v>
      </c>
      <c r="AA15" s="13">
        <f t="shared" si="26"/>
        <v>25.5</v>
      </c>
      <c r="AB15" s="13">
        <f t="shared" si="27"/>
        <v>25.5</v>
      </c>
    </row>
    <row r="16" spans="1:28" x14ac:dyDescent="0.35">
      <c r="A16" t="str">
        <f t="shared" si="2"/>
        <v>Other Contingent Expenses (Recurring Expenses)</v>
      </c>
      <c r="B16" t="s">
        <v>49</v>
      </c>
      <c r="D16" s="13">
        <f t="shared" si="3"/>
        <v>3.4649999999999999</v>
      </c>
      <c r="E16" s="13">
        <f t="shared" si="4"/>
        <v>3.4649999999999999</v>
      </c>
      <c r="F16" s="13">
        <f t="shared" si="5"/>
        <v>3.4649999999999999</v>
      </c>
      <c r="G16" s="13">
        <f t="shared" si="6"/>
        <v>3.4649999999999999</v>
      </c>
      <c r="H16" s="13">
        <f t="shared" si="7"/>
        <v>3.4649999999999999</v>
      </c>
      <c r="I16" s="13">
        <f t="shared" si="8"/>
        <v>3.4649999999999999</v>
      </c>
      <c r="J16" s="13">
        <f t="shared" si="9"/>
        <v>3.4649999999999999</v>
      </c>
      <c r="K16" s="13">
        <f t="shared" si="10"/>
        <v>3.4649999999999999</v>
      </c>
      <c r="L16" s="13">
        <f t="shared" si="11"/>
        <v>3.4649999999999999</v>
      </c>
      <c r="M16" s="13">
        <f t="shared" si="12"/>
        <v>3.4649999999999999</v>
      </c>
      <c r="N16" s="13">
        <f t="shared" si="13"/>
        <v>3.4649999999999999</v>
      </c>
      <c r="O16" s="13">
        <f t="shared" si="14"/>
        <v>3.4649999999999999</v>
      </c>
      <c r="P16" s="13">
        <f t="shared" si="15"/>
        <v>3.4649999999999999</v>
      </c>
      <c r="Q16" s="13">
        <f t="shared" si="16"/>
        <v>3.4649999999999999</v>
      </c>
      <c r="R16" s="13">
        <f t="shared" si="17"/>
        <v>3.4649999999999999</v>
      </c>
      <c r="S16" s="13">
        <f t="shared" si="18"/>
        <v>3.4649999999999999</v>
      </c>
      <c r="T16" s="13">
        <f t="shared" si="19"/>
        <v>3.4649999999999999</v>
      </c>
      <c r="U16" s="13">
        <f t="shared" si="20"/>
        <v>3.4649999999999999</v>
      </c>
      <c r="V16" s="13">
        <f t="shared" si="21"/>
        <v>3.4649999999999999</v>
      </c>
      <c r="W16" s="13">
        <f t="shared" si="22"/>
        <v>3.4649999999999999</v>
      </c>
      <c r="X16" s="13">
        <f t="shared" si="23"/>
        <v>3.4649999999999999</v>
      </c>
      <c r="Y16" s="13">
        <f t="shared" si="24"/>
        <v>3.4649999999999999</v>
      </c>
      <c r="Z16" s="13">
        <f t="shared" si="25"/>
        <v>3.4649999999999999</v>
      </c>
      <c r="AA16" s="13">
        <f t="shared" si="26"/>
        <v>3.4649999999999999</v>
      </c>
      <c r="AB16" s="13">
        <f t="shared" si="27"/>
        <v>3.4649999999999999</v>
      </c>
    </row>
    <row r="17" spans="1:28" x14ac:dyDescent="0.35">
      <c r="A17" s="1" t="str">
        <f t="shared" si="2"/>
        <v>Insurance (/Year)</v>
      </c>
      <c r="B17" t="s">
        <v>49</v>
      </c>
      <c r="D17" s="13">
        <f t="shared" si="3"/>
        <v>0.16479750000000001</v>
      </c>
      <c r="E17" s="13">
        <f t="shared" si="4"/>
        <v>0.15459500000000001</v>
      </c>
      <c r="F17" s="13">
        <f t="shared" si="5"/>
        <v>0.14439250000000001</v>
      </c>
      <c r="G17" s="13">
        <f t="shared" si="6"/>
        <v>0.13419</v>
      </c>
      <c r="H17" s="13">
        <f t="shared" si="7"/>
        <v>0.12398750000000001</v>
      </c>
      <c r="I17" s="13">
        <f t="shared" si="8"/>
        <v>0.11378500000000003</v>
      </c>
      <c r="J17" s="13">
        <f t="shared" si="9"/>
        <v>0.10358250000000002</v>
      </c>
      <c r="K17" s="13">
        <f t="shared" si="10"/>
        <v>9.3380000000000032E-2</v>
      </c>
      <c r="L17" s="13">
        <f t="shared" si="11"/>
        <v>8.3177500000000029E-2</v>
      </c>
      <c r="M17" s="13">
        <f t="shared" si="12"/>
        <v>7.2975000000000026E-2</v>
      </c>
      <c r="N17" s="13">
        <f t="shared" si="13"/>
        <v>6.2772500000000037E-2</v>
      </c>
      <c r="O17" s="13">
        <f t="shared" si="14"/>
        <v>5.257000000000004E-2</v>
      </c>
      <c r="P17" s="13">
        <f t="shared" si="15"/>
        <v>4.2367500000000037E-2</v>
      </c>
      <c r="Q17" s="13">
        <f t="shared" si="16"/>
        <v>4.0295208333333374E-2</v>
      </c>
      <c r="R17" s="13">
        <f t="shared" si="17"/>
        <v>3.8222916666666711E-2</v>
      </c>
      <c r="S17" s="13">
        <f t="shared" si="18"/>
        <v>3.615062500000004E-2</v>
      </c>
      <c r="T17" s="13">
        <f t="shared" si="19"/>
        <v>3.4078333333333377E-2</v>
      </c>
      <c r="U17" s="13">
        <f t="shared" si="20"/>
        <v>3.2006041666666714E-2</v>
      </c>
      <c r="V17" s="13">
        <f t="shared" si="21"/>
        <v>2.9933750000000044E-2</v>
      </c>
      <c r="W17" s="13">
        <f t="shared" si="22"/>
        <v>2.786145833333338E-2</v>
      </c>
      <c r="X17" s="13">
        <f t="shared" si="23"/>
        <v>2.5789166666666714E-2</v>
      </c>
      <c r="Y17" s="13">
        <f t="shared" si="24"/>
        <v>2.3716875000000047E-2</v>
      </c>
      <c r="Z17" s="13">
        <f t="shared" si="25"/>
        <v>2.164458333333338E-2</v>
      </c>
      <c r="AA17" s="13">
        <f t="shared" si="26"/>
        <v>1.9572291666666717E-2</v>
      </c>
      <c r="AB17" s="13">
        <f t="shared" si="27"/>
        <v>1.750000000000005E-2</v>
      </c>
    </row>
    <row r="18" spans="1:28" x14ac:dyDescent="0.35">
      <c r="A18" s="1" t="str">
        <f>A37</f>
        <v>Land Lease/Year</v>
      </c>
      <c r="B18" t="s">
        <v>49</v>
      </c>
      <c r="D18" s="13">
        <f t="shared" ref="D18:AB18" si="28">B37</f>
        <v>0</v>
      </c>
      <c r="E18" s="13">
        <f t="shared" si="28"/>
        <v>0</v>
      </c>
      <c r="F18" s="13">
        <f t="shared" si="28"/>
        <v>0</v>
      </c>
      <c r="G18" s="13">
        <f t="shared" si="28"/>
        <v>0</v>
      </c>
      <c r="H18" s="13">
        <f t="shared" si="28"/>
        <v>0</v>
      </c>
      <c r="I18" s="13">
        <f t="shared" si="28"/>
        <v>0</v>
      </c>
      <c r="J18" s="13">
        <f t="shared" si="28"/>
        <v>0</v>
      </c>
      <c r="K18" s="13">
        <f t="shared" si="28"/>
        <v>0</v>
      </c>
      <c r="L18" s="13">
        <f t="shared" si="28"/>
        <v>0</v>
      </c>
      <c r="M18" s="13">
        <f t="shared" si="28"/>
        <v>0</v>
      </c>
      <c r="N18" s="13">
        <f t="shared" si="28"/>
        <v>0</v>
      </c>
      <c r="O18" s="13">
        <f t="shared" si="28"/>
        <v>0</v>
      </c>
      <c r="P18" s="13">
        <f t="shared" si="28"/>
        <v>0</v>
      </c>
      <c r="Q18" s="13">
        <f t="shared" si="28"/>
        <v>0</v>
      </c>
      <c r="R18" s="13">
        <f t="shared" si="28"/>
        <v>0</v>
      </c>
      <c r="S18" s="13">
        <f t="shared" si="28"/>
        <v>0</v>
      </c>
      <c r="T18" s="13">
        <f t="shared" si="28"/>
        <v>0</v>
      </c>
      <c r="U18" s="13">
        <f t="shared" si="28"/>
        <v>0</v>
      </c>
      <c r="V18" s="13">
        <f t="shared" si="28"/>
        <v>0</v>
      </c>
      <c r="W18" s="13">
        <f t="shared" si="28"/>
        <v>0</v>
      </c>
      <c r="X18" s="13">
        <f t="shared" si="28"/>
        <v>0</v>
      </c>
      <c r="Y18" s="13">
        <f t="shared" si="28"/>
        <v>0</v>
      </c>
      <c r="Z18" s="13">
        <f t="shared" si="28"/>
        <v>0</v>
      </c>
      <c r="AA18" s="13">
        <f t="shared" si="28"/>
        <v>0</v>
      </c>
      <c r="AB18" s="13">
        <f t="shared" si="28"/>
        <v>0</v>
      </c>
    </row>
    <row r="19" spans="1:28" x14ac:dyDescent="0.35">
      <c r="A19" s="9"/>
      <c r="B19" s="9" t="s">
        <v>49</v>
      </c>
      <c r="C19" s="217"/>
      <c r="D19" s="14">
        <f>IF(D2&lt;='Assumption for Botlling Plant'!$F$10,SUM(D9:D18),0)</f>
        <v>76.012059840384623</v>
      </c>
      <c r="E19" s="14">
        <f>IF(E2&lt;='Assumption for Botlling Plant'!$F$10,SUM(E9:E18),0)</f>
        <v>75.731504296153844</v>
      </c>
      <c r="F19" s="14">
        <f>IF(F2&lt;='Assumption for Botlling Plant'!$F$10,SUM(F9:F18),0)</f>
        <v>75.450948751923079</v>
      </c>
      <c r="G19" s="14">
        <f>IF(G2&lt;='Assumption for Botlling Plant'!$F$10,SUM(G9:G18),0)</f>
        <v>75.170393207692328</v>
      </c>
      <c r="H19" s="14">
        <f>IF(H2&lt;='Assumption for Botlling Plant'!$F$10,SUM(H9:H18),0)</f>
        <v>74.889837663461549</v>
      </c>
      <c r="I19" s="14">
        <f>IF(I2&lt;='Assumption for Botlling Plant'!$F$10,SUM(I9:I18),0)</f>
        <v>74.609282119230784</v>
      </c>
      <c r="J19" s="14">
        <f>IF(J2&lt;='Assumption for Botlling Plant'!$F$10,SUM(J9:J18),0)</f>
        <v>74.328726575000005</v>
      </c>
      <c r="K19" s="14">
        <f>IF(K2&lt;='Assumption for Botlling Plant'!$F$10,SUM(K9:K18),0)</f>
        <v>74.048171030769225</v>
      </c>
      <c r="L19" s="14">
        <f>IF(L2&lt;='Assumption for Botlling Plant'!$F$10,SUM(L9:L18),0)</f>
        <v>73.767615486538475</v>
      </c>
      <c r="M19" s="14">
        <f>IF(M2&lt;='Assumption for Botlling Plant'!$F$10,SUM(M9:M18),0)</f>
        <v>73.48705994230771</v>
      </c>
      <c r="N19" s="14">
        <f>IF(N2&lt;='Assumption for Botlling Plant'!$F$10,SUM(N9:N18),0)</f>
        <v>73.70650439807693</v>
      </c>
      <c r="O19" s="14">
        <f>IF(O2&lt;='Assumption for Botlling Plant'!$F$10,SUM(O9:O18),0)</f>
        <v>73.425948853846165</v>
      </c>
      <c r="P19" s="14">
        <f>IF(P2&lt;='Assumption for Botlling Plant'!$F$10,SUM(P9:P18),0)</f>
        <v>73.145393309615386</v>
      </c>
      <c r="Q19" s="14">
        <f>IF(Q2&lt;='Assumption for Botlling Plant'!$F$10,SUM(Q9:Q18),0)</f>
        <v>70.685561014583342</v>
      </c>
      <c r="R19" s="14">
        <f>IF(R2&lt;='Assumption for Botlling Plant'!$F$10,SUM(R9:R18),0)</f>
        <v>70.683260770833343</v>
      </c>
      <c r="S19" s="14">
        <f>IF(S2&lt;='Assumption for Botlling Plant'!$F$10,SUM(S9:S18),0)</f>
        <v>70.680960527083343</v>
      </c>
      <c r="T19" s="14">
        <f>IF(T2&lt;='Assumption for Botlling Plant'!$F$10,SUM(T9:T18),0)</f>
        <v>70.678660283333329</v>
      </c>
      <c r="U19" s="14">
        <f>IF(U2&lt;='Assumption for Botlling Plant'!$F$10,SUM(U9:U18),0)</f>
        <v>70.676360039583344</v>
      </c>
      <c r="V19" s="14">
        <f>IF(V2&lt;='Assumption for Botlling Plant'!$F$10,SUM(V9:V18),0)</f>
        <v>70.67405979583333</v>
      </c>
      <c r="W19" s="14">
        <f>IF(W2&lt;='Assumption for Botlling Plant'!$F$10,SUM(W9:W18),0)</f>
        <v>70.671759552083344</v>
      </c>
      <c r="X19" s="14">
        <f>IF(X2&lt;='Assumption for Botlling Plant'!$F$10,SUM(X9:X18),0)</f>
        <v>70.669459308333344</v>
      </c>
      <c r="Y19" s="14">
        <f>IF(Y2&lt;='Assumption for Botlling Plant'!$F$10,SUM(Y9:Y18),0)</f>
        <v>70.667159064583345</v>
      </c>
      <c r="Z19" s="14">
        <f>IF(Z2&lt;='Assumption for Botlling Plant'!$F$10,SUM(Z9:Z18),0)</f>
        <v>70.664858820833345</v>
      </c>
      <c r="AA19" s="14">
        <f>IF(AA2&lt;='Assumption for Botlling Plant'!$F$10,SUM(AA9:AA18),0)</f>
        <v>70.662558577083331</v>
      </c>
      <c r="AB19" s="14">
        <f>IF(AB2&lt;='Assumption for Botlling Plant'!$F$10,SUM(AB9:AB18),0)</f>
        <v>70.660258333333346</v>
      </c>
    </row>
    <row r="21" spans="1:28" x14ac:dyDescent="0.35">
      <c r="A21" s="10" t="s">
        <v>46</v>
      </c>
      <c r="B21" s="10" t="s">
        <v>8</v>
      </c>
      <c r="C21" s="10" t="s">
        <v>293</v>
      </c>
      <c r="D21" s="10">
        <v>1</v>
      </c>
      <c r="E21" s="10">
        <v>2</v>
      </c>
      <c r="F21" s="10">
        <v>3</v>
      </c>
      <c r="G21" s="10">
        <v>4</v>
      </c>
      <c r="H21" s="10">
        <v>5</v>
      </c>
      <c r="I21" s="10">
        <v>6</v>
      </c>
      <c r="J21" s="10">
        <v>7</v>
      </c>
      <c r="K21" s="10">
        <v>8</v>
      </c>
      <c r="L21" s="10">
        <v>9</v>
      </c>
      <c r="M21" s="10">
        <v>10</v>
      </c>
      <c r="N21" s="10">
        <v>11</v>
      </c>
      <c r="O21" s="10">
        <v>12</v>
      </c>
      <c r="P21" s="10">
        <v>13</v>
      </c>
      <c r="Q21" s="10">
        <v>14</v>
      </c>
      <c r="R21" s="10">
        <v>15</v>
      </c>
      <c r="S21" s="10">
        <v>16</v>
      </c>
      <c r="T21" s="10">
        <v>17</v>
      </c>
      <c r="U21" s="10">
        <v>18</v>
      </c>
      <c r="V21" s="10">
        <v>19</v>
      </c>
      <c r="W21" s="10">
        <v>20</v>
      </c>
      <c r="X21" s="10">
        <v>21</v>
      </c>
      <c r="Y21" s="10">
        <v>22</v>
      </c>
      <c r="Z21" s="10">
        <v>23</v>
      </c>
      <c r="AA21" s="10">
        <v>24</v>
      </c>
      <c r="AB21" s="10">
        <v>25</v>
      </c>
    </row>
    <row r="22" spans="1:28" x14ac:dyDescent="0.35">
      <c r="A22" s="11" t="s">
        <v>236</v>
      </c>
      <c r="B22" s="11" t="s">
        <v>221</v>
      </c>
      <c r="C22" s="119">
        <f>(SUMPRODUCT(D22:AB22,$D$23:$AB$23))/SUM($D$23:$AB$23)</f>
        <v>4.9084196746232847</v>
      </c>
      <c r="D22" s="14">
        <f>(D19)/D$7</f>
        <v>5.067470656025642</v>
      </c>
      <c r="E22" s="14">
        <f t="shared" ref="E22:AB22" si="29">(E19)/E$7</f>
        <v>5.0487669530769228</v>
      </c>
      <c r="F22" s="14">
        <f t="shared" si="29"/>
        <v>5.0300632501282054</v>
      </c>
      <c r="G22" s="14">
        <f t="shared" si="29"/>
        <v>5.0113595471794889</v>
      </c>
      <c r="H22" s="14">
        <f t="shared" si="29"/>
        <v>4.9926558442307698</v>
      </c>
      <c r="I22" s="14">
        <f t="shared" si="29"/>
        <v>4.9739521412820524</v>
      </c>
      <c r="J22" s="14">
        <f t="shared" si="29"/>
        <v>4.9552484383333333</v>
      </c>
      <c r="K22" s="14">
        <f t="shared" si="29"/>
        <v>4.936544735384615</v>
      </c>
      <c r="L22" s="14">
        <f t="shared" si="29"/>
        <v>4.9178410324358985</v>
      </c>
      <c r="M22" s="14">
        <f t="shared" si="29"/>
        <v>4.8991373294871803</v>
      </c>
      <c r="N22" s="14">
        <f t="shared" si="29"/>
        <v>4.9137669598717952</v>
      </c>
      <c r="O22" s="14">
        <f t="shared" si="29"/>
        <v>4.8950632569230779</v>
      </c>
      <c r="P22" s="14">
        <f t="shared" si="29"/>
        <v>4.8763595539743587</v>
      </c>
      <c r="Q22" s="14">
        <f t="shared" si="29"/>
        <v>4.7123707343055559</v>
      </c>
      <c r="R22" s="14">
        <f t="shared" si="29"/>
        <v>4.7122173847222228</v>
      </c>
      <c r="S22" s="14">
        <f t="shared" si="29"/>
        <v>4.7120640351388898</v>
      </c>
      <c r="T22" s="14">
        <f t="shared" si="29"/>
        <v>4.711910685555555</v>
      </c>
      <c r="U22" s="14">
        <f t="shared" si="29"/>
        <v>4.7117573359722229</v>
      </c>
      <c r="V22" s="14">
        <f t="shared" si="29"/>
        <v>4.711603986388889</v>
      </c>
      <c r="W22" s="14">
        <f t="shared" si="29"/>
        <v>4.711450636805556</v>
      </c>
      <c r="X22" s="14">
        <f t="shared" si="29"/>
        <v>4.711297287222223</v>
      </c>
      <c r="Y22" s="14">
        <f t="shared" si="29"/>
        <v>4.7111439376388899</v>
      </c>
      <c r="Z22" s="14">
        <f t="shared" si="29"/>
        <v>4.710990588055556</v>
      </c>
      <c r="AA22" s="14">
        <f t="shared" si="29"/>
        <v>4.7108372384722221</v>
      </c>
      <c r="AB22" s="14">
        <f t="shared" si="29"/>
        <v>4.71068388888889</v>
      </c>
    </row>
    <row r="23" spans="1:28" x14ac:dyDescent="0.35">
      <c r="A23" t="s">
        <v>47</v>
      </c>
      <c r="D23" s="13">
        <v>1</v>
      </c>
      <c r="E23" s="13">
        <f>IF(E21&lt;='Assumption for Botlling Plant'!$F$10,1/(1+$B$50)^D21,0)</f>
        <v>0.92819260664886638</v>
      </c>
      <c r="F23" s="13">
        <f>IF(F21&lt;='Assumption for Botlling Plant'!$F$10,1/(1+$B$50)^E21,0)</f>
        <v>0.86154151503761722</v>
      </c>
      <c r="G23" s="13">
        <f>IF(G21&lt;='Assumption for Botlling Plant'!$F$10,1/(1+$B$50)^F21,0)</f>
        <v>0.79967646457897945</v>
      </c>
      <c r="H23" s="13">
        <f>IF(H21&lt;='Assumption for Botlling Plant'!$F$10,1/(1+$B$50)^G21,0)</f>
        <v>0.74225378213331272</v>
      </c>
      <c r="I23" s="13">
        <f>IF(I21&lt;='Assumption for Botlling Plant'!$F$10,1/(1+$B$50)^H21,0)</f>
        <v>0.68895447283329936</v>
      </c>
      <c r="J23" s="13">
        <f>IF(J21&lt;='Assumption for Botlling Plant'!$F$10,1/(1+$B$50)^I21,0)</f>
        <v>0.63948244800153575</v>
      </c>
      <c r="K23" s="13">
        <f>IF(K21&lt;='Assumption for Botlling Plant'!$F$10,1/(1+$B$50)^J21,0)</f>
        <v>0.59356288031674365</v>
      </c>
      <c r="L23" s="13">
        <f>IF(L21&lt;='Assumption for Botlling Plant'!$F$10,1/(1+$B$50)^K21,0)</f>
        <v>0.55094067709120731</v>
      </c>
      <c r="M23" s="13">
        <f>IF(M21&lt;='Assumption for Botlling Plant'!$F$10,1/(1+$B$50)^L21,0)</f>
        <v>0.51137906317817905</v>
      </c>
      <c r="N23" s="13">
        <f>IF(N21&lt;='Assumption for Botlling Plant'!$F$10,1/(1+$B$50)^M21,0)</f>
        <v>0.47465826563700941</v>
      </c>
      <c r="O23" s="13">
        <f>IF(O21&lt;='Assumption for Botlling Plant'!$F$10,1/(1+$B$50)^N21,0)</f>
        <v>0.44057429284904576</v>
      </c>
      <c r="P23" s="13">
        <f>IF(P21&lt;='Assumption for Botlling Plant'!$F$10,1/(1+$B$50)^O21,0)</f>
        <v>0.40893780130203677</v>
      </c>
      <c r="Q23" s="13">
        <f>IF(Q21&lt;='Assumption for Botlling Plant'!$F$10,1/(1+$B$50)^P21,0)</f>
        <v>0.37957304374779377</v>
      </c>
      <c r="R23" s="13">
        <f>IF(R21&lt;='Assumption for Botlling Plant'!$F$10,1/(1+$B$50)^Q21,0)</f>
        <v>0.35231689288990892</v>
      </c>
      <c r="S23" s="13">
        <f>IF(S21&lt;='Assumption for Botlling Plant'!$F$10,1/(1+$B$50)^R21,0)</f>
        <v>0.327017935177914</v>
      </c>
      <c r="T23" s="13">
        <f>IF(T21&lt;='Assumption for Botlling Plant'!$F$10,1/(1+$B$50)^S21,0)</f>
        <v>0.30353562967371794</v>
      </c>
      <c r="U23" s="13">
        <f>IF(U21&lt;='Assumption for Botlling Plant'!$F$10,1/(1+$B$50)^T21,0)</f>
        <v>0.28173952731765328</v>
      </c>
      <c r="V23" s="13">
        <f>IF(V21&lt;='Assumption for Botlling Plant'!$F$10,1/(1+$B$50)^U21,0)</f>
        <v>0.2615085462569921</v>
      </c>
      <c r="W23" s="13">
        <f>IF(W21&lt;='Assumption for Botlling Plant'!$F$10,1/(1+$B$50)^V21,0)</f>
        <v>0.24273029921123312</v>
      </c>
      <c r="X23" s="13">
        <f>IF(X21&lt;='Assumption for Botlling Plant'!$F$10,1/(1+$B$50)^W21,0)</f>
        <v>0.22530046913753377</v>
      </c>
      <c r="Y23" s="13">
        <f>IF(Y21&lt;='Assumption for Botlling Plant'!$F$10,1/(1+$B$50)^X21,0)</f>
        <v>0.20912222972797995</v>
      </c>
      <c r="Z23" s="13">
        <f>IF(Z21&lt;='Assumption for Botlling Plant'!$F$10,1/(1+$B$50)^Y21,0)</f>
        <v>0.19410570751943676</v>
      </c>
      <c r="AA23" s="13">
        <f>IF(AA21&lt;='Assumption for Botlling Plant'!$F$10,1/(1+$B$50)^Z21,0)</f>
        <v>0.18016748262788845</v>
      </c>
      <c r="AB23" s="13">
        <f>IF(AB21&lt;='Assumption for Botlling Plant'!$F$10,1/(1+$B$50)^AA21,0)</f>
        <v>0.16723012533374415</v>
      </c>
    </row>
    <row r="24" spans="1:28" x14ac:dyDescent="0.35">
      <c r="A24" s="150"/>
      <c r="B24" s="150"/>
      <c r="C24" s="150"/>
      <c r="D24" s="191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</row>
    <row r="25" spans="1:28" x14ac:dyDescent="0.35">
      <c r="A25" s="12" t="s">
        <v>242</v>
      </c>
      <c r="B25" s="116">
        <f>C22</f>
        <v>4.9084196746232847</v>
      </c>
      <c r="C25" s="12" t="s">
        <v>221</v>
      </c>
      <c r="D25" s="199"/>
      <c r="E25" s="171"/>
      <c r="F25" s="191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</row>
    <row r="26" spans="1:28" x14ac:dyDescent="0.35">
      <c r="A26" s="150"/>
      <c r="B26" s="191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</row>
    <row r="27" spans="1:28" x14ac:dyDescent="0.35">
      <c r="A27" s="28" t="s">
        <v>290</v>
      </c>
      <c r="B27" s="117">
        <f>B25*$D$6/10^5</f>
        <v>73.626295119349265</v>
      </c>
      <c r="C27" s="28" t="s">
        <v>136</v>
      </c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</row>
    <row r="28" spans="1:28" x14ac:dyDescent="0.35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</row>
    <row r="29" spans="1:28" s="150" customFormat="1" x14ac:dyDescent="0.35">
      <c r="A29" s="200" t="s">
        <v>291</v>
      </c>
      <c r="D29" s="13">
        <f>B55-D9</f>
        <v>47.085000000000001</v>
      </c>
      <c r="E29" s="13">
        <f t="shared" ref="E29:AB29" si="30">D29-E9</f>
        <v>44.17</v>
      </c>
      <c r="F29" s="13">
        <f t="shared" si="30"/>
        <v>41.255000000000003</v>
      </c>
      <c r="G29" s="13">
        <f t="shared" si="30"/>
        <v>38.340000000000003</v>
      </c>
      <c r="H29" s="13">
        <f t="shared" si="30"/>
        <v>35.425000000000004</v>
      </c>
      <c r="I29" s="13">
        <f t="shared" si="30"/>
        <v>32.510000000000005</v>
      </c>
      <c r="J29" s="13">
        <f t="shared" si="30"/>
        <v>29.595000000000006</v>
      </c>
      <c r="K29" s="13">
        <f t="shared" si="30"/>
        <v>26.680000000000007</v>
      </c>
      <c r="L29" s="13">
        <f t="shared" si="30"/>
        <v>23.765000000000008</v>
      </c>
      <c r="M29" s="13">
        <f t="shared" si="30"/>
        <v>20.850000000000009</v>
      </c>
      <c r="N29" s="13">
        <f t="shared" si="30"/>
        <v>17.935000000000009</v>
      </c>
      <c r="O29" s="13">
        <f t="shared" si="30"/>
        <v>15.02000000000001</v>
      </c>
      <c r="P29" s="13">
        <f t="shared" si="30"/>
        <v>12.105000000000011</v>
      </c>
      <c r="Q29" s="13">
        <f t="shared" si="30"/>
        <v>11.512916666666678</v>
      </c>
      <c r="R29" s="13">
        <f t="shared" si="30"/>
        <v>10.920833333333345</v>
      </c>
      <c r="S29" s="13">
        <f t="shared" si="30"/>
        <v>10.328750000000012</v>
      </c>
      <c r="T29" s="13">
        <f t="shared" si="30"/>
        <v>9.7366666666666788</v>
      </c>
      <c r="U29" s="13">
        <f t="shared" si="30"/>
        <v>9.1445833333333457</v>
      </c>
      <c r="V29" s="13">
        <f t="shared" si="30"/>
        <v>8.5525000000000126</v>
      </c>
      <c r="W29" s="13">
        <f t="shared" si="30"/>
        <v>7.9604166666666796</v>
      </c>
      <c r="X29" s="13">
        <f t="shared" si="30"/>
        <v>7.3683333333333465</v>
      </c>
      <c r="Y29" s="13">
        <f t="shared" si="30"/>
        <v>6.7762500000000134</v>
      </c>
      <c r="Z29" s="13">
        <f t="shared" si="30"/>
        <v>6.1841666666666804</v>
      </c>
      <c r="AA29" s="13">
        <f t="shared" si="30"/>
        <v>5.5920833333333473</v>
      </c>
      <c r="AB29" s="13">
        <f t="shared" si="30"/>
        <v>5.0000000000000142</v>
      </c>
    </row>
    <row r="30" spans="1:28" s="150" customFormat="1" x14ac:dyDescent="0.35"/>
    <row r="31" spans="1:28" s="150" customFormat="1" ht="15" thickBot="1" x14ac:dyDescent="0.4">
      <c r="A31" s="25" t="s">
        <v>227</v>
      </c>
      <c r="B31" s="26">
        <v>1</v>
      </c>
      <c r="C31" s="26">
        <v>2</v>
      </c>
      <c r="D31" s="26">
        <v>3</v>
      </c>
      <c r="E31" s="26">
        <v>4</v>
      </c>
      <c r="F31" s="26">
        <v>5</v>
      </c>
      <c r="G31" s="26">
        <v>6</v>
      </c>
      <c r="H31" s="26">
        <v>7</v>
      </c>
      <c r="I31" s="26">
        <v>8</v>
      </c>
      <c r="J31" s="26">
        <v>9</v>
      </c>
      <c r="K31" s="26">
        <v>10</v>
      </c>
      <c r="L31" s="26">
        <v>11</v>
      </c>
      <c r="M31" s="26">
        <v>12</v>
      </c>
      <c r="N31" s="26">
        <v>13</v>
      </c>
      <c r="O31" s="26">
        <v>14</v>
      </c>
      <c r="P31" s="26">
        <v>15</v>
      </c>
      <c r="Q31" s="26">
        <v>16</v>
      </c>
      <c r="R31" s="26">
        <v>17</v>
      </c>
      <c r="S31" s="26">
        <v>18</v>
      </c>
      <c r="T31" s="26">
        <v>19</v>
      </c>
      <c r="U31" s="26">
        <v>20</v>
      </c>
      <c r="V31" s="26">
        <v>21</v>
      </c>
      <c r="W31" s="26">
        <v>22</v>
      </c>
      <c r="X31" s="26">
        <v>23</v>
      </c>
      <c r="Y31" s="26">
        <v>24</v>
      </c>
      <c r="Z31" s="26">
        <v>25</v>
      </c>
      <c r="AA31"/>
      <c r="AB31"/>
    </row>
    <row r="32" spans="1:28" s="150" customFormat="1" x14ac:dyDescent="0.35">
      <c r="A32" s="160" t="s">
        <v>219</v>
      </c>
      <c r="B32" s="44">
        <f>'Assumption for Botlling Plant'!$F$51*'Assumption for Botlling Plant'!$B$48</f>
        <v>26.700000000000003</v>
      </c>
      <c r="C32" s="44">
        <f>'Assumption for Botlling Plant'!$F$51*'Assumption for Botlling Plant'!$B$48</f>
        <v>26.700000000000003</v>
      </c>
      <c r="D32" s="44">
        <f>'Assumption for Botlling Plant'!$F$51*'Assumption for Botlling Plant'!$B$48</f>
        <v>26.700000000000003</v>
      </c>
      <c r="E32" s="44">
        <f>'Assumption for Botlling Plant'!$F$51*'Assumption for Botlling Plant'!$B$48</f>
        <v>26.700000000000003</v>
      </c>
      <c r="F32" s="44">
        <f>'Assumption for Botlling Plant'!$F$51*'Assumption for Botlling Plant'!$B$48</f>
        <v>26.700000000000003</v>
      </c>
      <c r="G32" s="44">
        <f>'Assumption for Botlling Plant'!$F$51*'Assumption for Botlling Plant'!$B$48</f>
        <v>26.700000000000003</v>
      </c>
      <c r="H32" s="44">
        <f>'Assumption for Botlling Plant'!$F$51*'Assumption for Botlling Plant'!$B$48</f>
        <v>26.700000000000003</v>
      </c>
      <c r="I32" s="44">
        <f>'Assumption for Botlling Plant'!$F$51*'Assumption for Botlling Plant'!$B$48</f>
        <v>26.700000000000003</v>
      </c>
      <c r="J32" s="44">
        <f>'Assumption for Botlling Plant'!$F$51*'Assumption for Botlling Plant'!$B$48</f>
        <v>26.700000000000003</v>
      </c>
      <c r="K32" s="44">
        <f>'Assumption for Botlling Plant'!$F$51*'Assumption for Botlling Plant'!$B$48</f>
        <v>26.700000000000003</v>
      </c>
      <c r="L32" s="44">
        <f>'Assumption for Botlling Plant'!$F$51*'Assumption for Botlling Plant'!$B$48</f>
        <v>26.700000000000003</v>
      </c>
      <c r="M32" s="44">
        <f>'Assumption for Botlling Plant'!$F$51*'Assumption for Botlling Plant'!$B$48</f>
        <v>26.700000000000003</v>
      </c>
      <c r="N32" s="44">
        <f>'Assumption for Botlling Plant'!$F$51*'Assumption for Botlling Plant'!$B$48</f>
        <v>26.700000000000003</v>
      </c>
      <c r="O32" s="44">
        <f>'Assumption for Botlling Plant'!$F$51*'Assumption for Botlling Plant'!$B$48</f>
        <v>26.700000000000003</v>
      </c>
      <c r="P32" s="44">
        <f>'Assumption for Botlling Plant'!$F$51*'Assumption for Botlling Plant'!$B$48</f>
        <v>26.700000000000003</v>
      </c>
      <c r="Q32" s="44">
        <f>'Assumption for Botlling Plant'!$F$51*'Assumption for Botlling Plant'!$B$48</f>
        <v>26.700000000000003</v>
      </c>
      <c r="R32" s="44">
        <f>'Assumption for Botlling Plant'!$F$51*'Assumption for Botlling Plant'!$B$48</f>
        <v>26.700000000000003</v>
      </c>
      <c r="S32" s="44">
        <f>'Assumption for Botlling Plant'!$F$51*'Assumption for Botlling Plant'!$B$48</f>
        <v>26.700000000000003</v>
      </c>
      <c r="T32" s="44">
        <f>'Assumption for Botlling Plant'!$F$51*'Assumption for Botlling Plant'!$B$48</f>
        <v>26.700000000000003</v>
      </c>
      <c r="U32" s="44">
        <f>'Assumption for Botlling Plant'!$F$51*'Assumption for Botlling Plant'!$B$48</f>
        <v>26.700000000000003</v>
      </c>
      <c r="V32" s="44">
        <f>'Assumption for Botlling Plant'!$F$51*'Assumption for Botlling Plant'!$B$48</f>
        <v>26.700000000000003</v>
      </c>
      <c r="W32" s="44">
        <f>'Assumption for Botlling Plant'!$F$51*'Assumption for Botlling Plant'!$B$48</f>
        <v>26.700000000000003</v>
      </c>
      <c r="X32" s="44">
        <f>'Assumption for Botlling Plant'!$F$51*'Assumption for Botlling Plant'!$B$48</f>
        <v>26.700000000000003</v>
      </c>
      <c r="Y32" s="44">
        <f>'Assumption for Botlling Plant'!$F$51*'Assumption for Botlling Plant'!$B$48</f>
        <v>26.700000000000003</v>
      </c>
      <c r="Z32" s="45">
        <f>'Assumption for Botlling Plant'!$F$51*'Assumption for Botlling Plant'!$B$48</f>
        <v>26.700000000000003</v>
      </c>
      <c r="AA32"/>
      <c r="AB32"/>
    </row>
    <row r="33" spans="1:28" s="150" customFormat="1" x14ac:dyDescent="0.35">
      <c r="A33" s="161" t="s">
        <v>185</v>
      </c>
      <c r="B33" s="35">
        <f>'Assumption for Botlling Plant'!$F$53*'Assumption for Botlling Plant'!$B$48</f>
        <v>5.46</v>
      </c>
      <c r="C33" s="35">
        <f>'Assumption for Botlling Plant'!$F$53*'Assumption for Botlling Plant'!$B$48</f>
        <v>5.46</v>
      </c>
      <c r="D33" s="35">
        <f>'Assumption for Botlling Plant'!$F$53*'Assumption for Botlling Plant'!$B$48</f>
        <v>5.46</v>
      </c>
      <c r="E33" s="35">
        <f>'Assumption for Botlling Plant'!$F$53*'Assumption for Botlling Plant'!$B$48</f>
        <v>5.46</v>
      </c>
      <c r="F33" s="35">
        <f>'Assumption for Botlling Plant'!$F$53*'Assumption for Botlling Plant'!$B$48</f>
        <v>5.46</v>
      </c>
      <c r="G33" s="35">
        <f>'Assumption for Botlling Plant'!$F$53*'Assumption for Botlling Plant'!$B$48</f>
        <v>5.46</v>
      </c>
      <c r="H33" s="35">
        <f>'Assumption for Botlling Plant'!$F$53*'Assumption for Botlling Plant'!$B$48</f>
        <v>5.46</v>
      </c>
      <c r="I33" s="35">
        <f>'Assumption for Botlling Plant'!$F$53*'Assumption for Botlling Plant'!$B$48</f>
        <v>5.46</v>
      </c>
      <c r="J33" s="35">
        <f>'Assumption for Botlling Plant'!$F$53*'Assumption for Botlling Plant'!$B$48</f>
        <v>5.46</v>
      </c>
      <c r="K33" s="35">
        <f>'Assumption for Botlling Plant'!$F$53*'Assumption for Botlling Plant'!$B$48</f>
        <v>5.46</v>
      </c>
      <c r="L33" s="35">
        <f>'Assumption for Botlling Plant'!$F$53*'Assumption for Botlling Plant'!$B$48</f>
        <v>5.46</v>
      </c>
      <c r="M33" s="35">
        <f>'Assumption for Botlling Plant'!$F$53*'Assumption for Botlling Plant'!$B$48</f>
        <v>5.46</v>
      </c>
      <c r="N33" s="35">
        <f>'Assumption for Botlling Plant'!$F$53*'Assumption for Botlling Plant'!$B$48</f>
        <v>5.46</v>
      </c>
      <c r="O33" s="35">
        <f>'Assumption for Botlling Plant'!$F$53*'Assumption for Botlling Plant'!$B$48</f>
        <v>5.46</v>
      </c>
      <c r="P33" s="35">
        <f>'Assumption for Botlling Plant'!$F$53*'Assumption for Botlling Plant'!$B$48</f>
        <v>5.46</v>
      </c>
      <c r="Q33" s="35">
        <f>'Assumption for Botlling Plant'!$F$53*'Assumption for Botlling Plant'!$B$48</f>
        <v>5.46</v>
      </c>
      <c r="R33" s="35">
        <f>'Assumption for Botlling Plant'!$F$53*'Assumption for Botlling Plant'!$B$48</f>
        <v>5.46</v>
      </c>
      <c r="S33" s="35">
        <f>'Assumption for Botlling Plant'!$F$53*'Assumption for Botlling Plant'!$B$48</f>
        <v>5.46</v>
      </c>
      <c r="T33" s="35">
        <f>'Assumption for Botlling Plant'!$F$53*'Assumption for Botlling Plant'!$B$48</f>
        <v>5.46</v>
      </c>
      <c r="U33" s="35">
        <f>'Assumption for Botlling Plant'!$F$53*'Assumption for Botlling Plant'!$B$48</f>
        <v>5.46</v>
      </c>
      <c r="V33" s="35">
        <f>'Assumption for Botlling Plant'!$F$53*'Assumption for Botlling Plant'!$B$48</f>
        <v>5.46</v>
      </c>
      <c r="W33" s="35">
        <f>'Assumption for Botlling Plant'!$F$53*'Assumption for Botlling Plant'!$B$48</f>
        <v>5.46</v>
      </c>
      <c r="X33" s="35">
        <f>'Assumption for Botlling Plant'!$F$53*'Assumption for Botlling Plant'!$B$48</f>
        <v>5.46</v>
      </c>
      <c r="Y33" s="35">
        <f>'Assumption for Botlling Plant'!$F$53*'Assumption for Botlling Plant'!$B$48</f>
        <v>5.46</v>
      </c>
      <c r="Z33" s="40">
        <f>'Assumption for Botlling Plant'!$F$53*'Assumption for Botlling Plant'!$B$48</f>
        <v>5.46</v>
      </c>
      <c r="AA33"/>
      <c r="AB33"/>
    </row>
    <row r="34" spans="1:28" s="150" customFormat="1" x14ac:dyDescent="0.35">
      <c r="A34" s="161" t="s">
        <v>207</v>
      </c>
      <c r="B34" s="35">
        <f>'Assumption for Botlling Plant'!$F$59*'Assumption for Botlling Plant'!$B$48</f>
        <v>25.5</v>
      </c>
      <c r="C34" s="35">
        <f>'Assumption for Botlling Plant'!$F$59*'Assumption for Botlling Plant'!$B$48</f>
        <v>25.5</v>
      </c>
      <c r="D34" s="35">
        <f>'Assumption for Botlling Plant'!$F$59*'Assumption for Botlling Plant'!$B$48</f>
        <v>25.5</v>
      </c>
      <c r="E34" s="35">
        <f>'Assumption for Botlling Plant'!$F$59*'Assumption for Botlling Plant'!$B$48</f>
        <v>25.5</v>
      </c>
      <c r="F34" s="35">
        <f>'Assumption for Botlling Plant'!$F$59*'Assumption for Botlling Plant'!$B$48</f>
        <v>25.5</v>
      </c>
      <c r="G34" s="35">
        <f>'Assumption for Botlling Plant'!$F$59*'Assumption for Botlling Plant'!$B$48</f>
        <v>25.5</v>
      </c>
      <c r="H34" s="35">
        <f>'Assumption for Botlling Plant'!$F$59*'Assumption for Botlling Plant'!$B$48</f>
        <v>25.5</v>
      </c>
      <c r="I34" s="35">
        <f>'Assumption for Botlling Plant'!$F$59*'Assumption for Botlling Plant'!$B$48</f>
        <v>25.5</v>
      </c>
      <c r="J34" s="35">
        <f>'Assumption for Botlling Plant'!$F$59*'Assumption for Botlling Plant'!$B$48</f>
        <v>25.5</v>
      </c>
      <c r="K34" s="35">
        <f>'Assumption for Botlling Plant'!$F$59*'Assumption for Botlling Plant'!$B$48</f>
        <v>25.5</v>
      </c>
      <c r="L34" s="35">
        <f>'Assumption for Botlling Plant'!$F$59*'Assumption for Botlling Plant'!$B$48</f>
        <v>25.5</v>
      </c>
      <c r="M34" s="35">
        <f>'Assumption for Botlling Plant'!$F$59*'Assumption for Botlling Plant'!$B$48</f>
        <v>25.5</v>
      </c>
      <c r="N34" s="35">
        <f>'Assumption for Botlling Plant'!$F$59*'Assumption for Botlling Plant'!$B$48</f>
        <v>25.5</v>
      </c>
      <c r="O34" s="35">
        <f>'Assumption for Botlling Plant'!$F$59*'Assumption for Botlling Plant'!$B$48</f>
        <v>25.5</v>
      </c>
      <c r="P34" s="35">
        <f>'Assumption for Botlling Plant'!$F$59*'Assumption for Botlling Plant'!$B$48</f>
        <v>25.5</v>
      </c>
      <c r="Q34" s="35">
        <f>'Assumption for Botlling Plant'!$F$59*'Assumption for Botlling Plant'!$B$48</f>
        <v>25.5</v>
      </c>
      <c r="R34" s="35">
        <f>'Assumption for Botlling Plant'!$F$59*'Assumption for Botlling Plant'!$B$48</f>
        <v>25.5</v>
      </c>
      <c r="S34" s="35">
        <f>'Assumption for Botlling Plant'!$F$59*'Assumption for Botlling Plant'!$B$48</f>
        <v>25.5</v>
      </c>
      <c r="T34" s="35">
        <f>'Assumption for Botlling Plant'!$F$59*'Assumption for Botlling Plant'!$B$48</f>
        <v>25.5</v>
      </c>
      <c r="U34" s="35">
        <f>'Assumption for Botlling Plant'!$F$59*'Assumption for Botlling Plant'!$B$48</f>
        <v>25.5</v>
      </c>
      <c r="V34" s="35">
        <f>'Assumption for Botlling Plant'!$F$59*'Assumption for Botlling Plant'!$B$48</f>
        <v>25.5</v>
      </c>
      <c r="W34" s="35">
        <f>'Assumption for Botlling Plant'!$F$59*'Assumption for Botlling Plant'!$B$48</f>
        <v>25.5</v>
      </c>
      <c r="X34" s="35">
        <f>'Assumption for Botlling Plant'!$F$59*'Assumption for Botlling Plant'!$B$48</f>
        <v>25.5</v>
      </c>
      <c r="Y34" s="35">
        <f>'Assumption for Botlling Plant'!$F$59*'Assumption for Botlling Plant'!$B$48</f>
        <v>25.5</v>
      </c>
      <c r="Z34" s="40">
        <f>'Assumption for Botlling Plant'!$F$59*'Assumption for Botlling Plant'!$B$48</f>
        <v>25.5</v>
      </c>
      <c r="AA34"/>
      <c r="AB34"/>
    </row>
    <row r="35" spans="1:28" s="150" customFormat="1" x14ac:dyDescent="0.35">
      <c r="A35" s="161" t="s">
        <v>248</v>
      </c>
      <c r="B35" s="35">
        <f>'Assumption for Botlling Plant'!$F$71*'Assumption for Botlling Plant'!$B$48</f>
        <v>3.4649999999999999</v>
      </c>
      <c r="C35" s="35">
        <f>'Assumption for Botlling Plant'!$F$71*'Assumption for Botlling Plant'!$B$48</f>
        <v>3.4649999999999999</v>
      </c>
      <c r="D35" s="35">
        <f>'Assumption for Botlling Plant'!$F$71*'Assumption for Botlling Plant'!$B$48</f>
        <v>3.4649999999999999</v>
      </c>
      <c r="E35" s="35">
        <f>'Assumption for Botlling Plant'!$F$71*'Assumption for Botlling Plant'!$B$48</f>
        <v>3.4649999999999999</v>
      </c>
      <c r="F35" s="35">
        <f>'Assumption for Botlling Plant'!$F$71*'Assumption for Botlling Plant'!$B$48</f>
        <v>3.4649999999999999</v>
      </c>
      <c r="G35" s="35">
        <f>'Assumption for Botlling Plant'!$F$71*'Assumption for Botlling Plant'!$B$48</f>
        <v>3.4649999999999999</v>
      </c>
      <c r="H35" s="35">
        <f>'Assumption for Botlling Plant'!$F$71*'Assumption for Botlling Plant'!$B$48</f>
        <v>3.4649999999999999</v>
      </c>
      <c r="I35" s="35">
        <f>'Assumption for Botlling Plant'!$F$71*'Assumption for Botlling Plant'!$B$48</f>
        <v>3.4649999999999999</v>
      </c>
      <c r="J35" s="35">
        <f>'Assumption for Botlling Plant'!$F$71*'Assumption for Botlling Plant'!$B$48</f>
        <v>3.4649999999999999</v>
      </c>
      <c r="K35" s="35">
        <f>'Assumption for Botlling Plant'!$F$71*'Assumption for Botlling Plant'!$B$48</f>
        <v>3.4649999999999999</v>
      </c>
      <c r="L35" s="35">
        <f>'Assumption for Botlling Plant'!$F$71*'Assumption for Botlling Plant'!$B$48</f>
        <v>3.4649999999999999</v>
      </c>
      <c r="M35" s="35">
        <f>'Assumption for Botlling Plant'!$F$71*'Assumption for Botlling Plant'!$B$48</f>
        <v>3.4649999999999999</v>
      </c>
      <c r="N35" s="35">
        <f>'Assumption for Botlling Plant'!$F$71*'Assumption for Botlling Plant'!$B$48</f>
        <v>3.4649999999999999</v>
      </c>
      <c r="O35" s="35">
        <f>'Assumption for Botlling Plant'!$F$71*'Assumption for Botlling Plant'!$B$48</f>
        <v>3.4649999999999999</v>
      </c>
      <c r="P35" s="35">
        <f>'Assumption for Botlling Plant'!$F$71*'Assumption for Botlling Plant'!$B$48</f>
        <v>3.4649999999999999</v>
      </c>
      <c r="Q35" s="35">
        <f>'Assumption for Botlling Plant'!$F$71*'Assumption for Botlling Plant'!$B$48</f>
        <v>3.4649999999999999</v>
      </c>
      <c r="R35" s="35">
        <f>'Assumption for Botlling Plant'!$F$71*'Assumption for Botlling Plant'!$B$48</f>
        <v>3.4649999999999999</v>
      </c>
      <c r="S35" s="35">
        <f>'Assumption for Botlling Plant'!$F$71*'Assumption for Botlling Plant'!$B$48</f>
        <v>3.4649999999999999</v>
      </c>
      <c r="T35" s="35">
        <f>'Assumption for Botlling Plant'!$F$71*'Assumption for Botlling Plant'!$B$48</f>
        <v>3.4649999999999999</v>
      </c>
      <c r="U35" s="35">
        <f>'Assumption for Botlling Plant'!$F$71*'Assumption for Botlling Plant'!$B$48</f>
        <v>3.4649999999999999</v>
      </c>
      <c r="V35" s="35">
        <f>'Assumption for Botlling Plant'!$F$71*'Assumption for Botlling Plant'!$B$48</f>
        <v>3.4649999999999999</v>
      </c>
      <c r="W35" s="35">
        <f>'Assumption for Botlling Plant'!$F$71*'Assumption for Botlling Plant'!$B$48</f>
        <v>3.4649999999999999</v>
      </c>
      <c r="X35" s="35">
        <f>'Assumption for Botlling Plant'!$F$71*'Assumption for Botlling Plant'!$B$48</f>
        <v>3.4649999999999999</v>
      </c>
      <c r="Y35" s="35">
        <f>'Assumption for Botlling Plant'!$F$71*'Assumption for Botlling Plant'!$B$48</f>
        <v>3.4649999999999999</v>
      </c>
      <c r="Z35" s="40">
        <f>'Assumption for Botlling Plant'!$F$71*'Assumption for Botlling Plant'!$B$48</f>
        <v>3.4649999999999999</v>
      </c>
      <c r="AA35"/>
      <c r="AB35"/>
    </row>
    <row r="36" spans="1:28" s="150" customFormat="1" ht="15" thickBot="1" x14ac:dyDescent="0.4">
      <c r="A36" s="250" t="s">
        <v>231</v>
      </c>
      <c r="B36" s="41">
        <f>D29*'Assumption for Botlling Plant'!$F$80</f>
        <v>0.16479750000000001</v>
      </c>
      <c r="C36" s="41">
        <f>E29*'Assumption for Botlling Plant'!$F$80</f>
        <v>0.15459500000000001</v>
      </c>
      <c r="D36" s="41">
        <f>F29*'Assumption for Botlling Plant'!$F$80</f>
        <v>0.14439250000000001</v>
      </c>
      <c r="E36" s="41">
        <f>G29*'Assumption for Botlling Plant'!$F$80</f>
        <v>0.13419</v>
      </c>
      <c r="F36" s="41">
        <f>H29*'Assumption for Botlling Plant'!$F$80</f>
        <v>0.12398750000000001</v>
      </c>
      <c r="G36" s="41">
        <f>I29*'Assumption for Botlling Plant'!$F$80</f>
        <v>0.11378500000000003</v>
      </c>
      <c r="H36" s="41">
        <f>J29*'Assumption for Botlling Plant'!$F$80</f>
        <v>0.10358250000000002</v>
      </c>
      <c r="I36" s="41">
        <f>K29*'Assumption for Botlling Plant'!$F$80</f>
        <v>9.3380000000000032E-2</v>
      </c>
      <c r="J36" s="41">
        <f>L29*'Assumption for Botlling Plant'!$F$80</f>
        <v>8.3177500000000029E-2</v>
      </c>
      <c r="K36" s="41">
        <f>M29*'Assumption for Botlling Plant'!$F$80</f>
        <v>7.2975000000000026E-2</v>
      </c>
      <c r="L36" s="41">
        <f>N29*'Assumption for Botlling Plant'!$F$80</f>
        <v>6.2772500000000037E-2</v>
      </c>
      <c r="M36" s="41">
        <f>O29*'Assumption for Botlling Plant'!$F$80</f>
        <v>5.257000000000004E-2</v>
      </c>
      <c r="N36" s="41">
        <f>P29*'Assumption for Botlling Plant'!$F$80</f>
        <v>4.2367500000000037E-2</v>
      </c>
      <c r="O36" s="41">
        <f>Q29*'Assumption for Botlling Plant'!$F$80</f>
        <v>4.0295208333333374E-2</v>
      </c>
      <c r="P36" s="41">
        <f>R29*'Assumption for Botlling Plant'!$F$80</f>
        <v>3.8222916666666711E-2</v>
      </c>
      <c r="Q36" s="41">
        <f>S29*'Assumption for Botlling Plant'!$F$80</f>
        <v>3.615062500000004E-2</v>
      </c>
      <c r="R36" s="41">
        <f>T29*'Assumption for Botlling Plant'!$F$80</f>
        <v>3.4078333333333377E-2</v>
      </c>
      <c r="S36" s="41">
        <f>U29*'Assumption for Botlling Plant'!$F$80</f>
        <v>3.2006041666666714E-2</v>
      </c>
      <c r="T36" s="41">
        <f>V29*'Assumption for Botlling Plant'!$F$80</f>
        <v>2.9933750000000044E-2</v>
      </c>
      <c r="U36" s="41">
        <f>W29*'Assumption for Botlling Plant'!$F$80</f>
        <v>2.786145833333338E-2</v>
      </c>
      <c r="V36" s="41">
        <f>X29*'Assumption for Botlling Plant'!$F$80</f>
        <v>2.5789166666666714E-2</v>
      </c>
      <c r="W36" s="41">
        <f>Y29*'Assumption for Botlling Plant'!$F$80</f>
        <v>2.3716875000000047E-2</v>
      </c>
      <c r="X36" s="41">
        <f>Z29*'Assumption for Botlling Plant'!$F$80</f>
        <v>2.164458333333338E-2</v>
      </c>
      <c r="Y36" s="41">
        <f>AA29*'Assumption for Botlling Plant'!$F$80</f>
        <v>1.9572291666666717E-2</v>
      </c>
      <c r="Z36" s="42">
        <f>AB29*'Assumption for Botlling Plant'!$F$80</f>
        <v>1.750000000000005E-2</v>
      </c>
      <c r="AA36"/>
      <c r="AB36"/>
    </row>
    <row r="37" spans="1:28" s="150" customFormat="1" ht="15" thickBot="1" x14ac:dyDescent="0.4">
      <c r="A37" s="218" t="s">
        <v>232</v>
      </c>
      <c r="B37" s="219">
        <f>'Assumption for Botlling Plant'!$F$82</f>
        <v>0</v>
      </c>
      <c r="C37" s="219">
        <f>'Assumption for Botlling Plant'!$F$82</f>
        <v>0</v>
      </c>
      <c r="D37" s="219">
        <f>'Assumption for Botlling Plant'!$F$82</f>
        <v>0</v>
      </c>
      <c r="E37" s="219">
        <f>'Assumption for Botlling Plant'!$F$82</f>
        <v>0</v>
      </c>
      <c r="F37" s="219">
        <f>'Assumption for Botlling Plant'!$F$82</f>
        <v>0</v>
      </c>
      <c r="G37" s="219">
        <f>'Assumption for Botlling Plant'!$F$82</f>
        <v>0</v>
      </c>
      <c r="H37" s="219">
        <f>'Assumption for Botlling Plant'!$F$82</f>
        <v>0</v>
      </c>
      <c r="I37" s="219">
        <f>'Assumption for Botlling Plant'!$F$82</f>
        <v>0</v>
      </c>
      <c r="J37" s="219">
        <f>'Assumption for Botlling Plant'!$F$82</f>
        <v>0</v>
      </c>
      <c r="K37" s="219">
        <f>'Assumption for Botlling Plant'!$F$82</f>
        <v>0</v>
      </c>
      <c r="L37" s="219">
        <f>'Assumption for Botlling Plant'!$F$82</f>
        <v>0</v>
      </c>
      <c r="M37" s="219">
        <f>'Assumption for Botlling Plant'!$F$82</f>
        <v>0</v>
      </c>
      <c r="N37" s="219">
        <f>'Assumption for Botlling Plant'!$F$82</f>
        <v>0</v>
      </c>
      <c r="O37" s="219">
        <f>'Assumption for Botlling Plant'!$F$82</f>
        <v>0</v>
      </c>
      <c r="P37" s="219">
        <f>'Assumption for Botlling Plant'!$F$82</f>
        <v>0</v>
      </c>
      <c r="Q37" s="219">
        <f>'Assumption for Botlling Plant'!$F$82</f>
        <v>0</v>
      </c>
      <c r="R37" s="219">
        <f>'Assumption for Botlling Plant'!$F$82</f>
        <v>0</v>
      </c>
      <c r="S37" s="219">
        <f>'Assumption for Botlling Plant'!$F$82</f>
        <v>0</v>
      </c>
      <c r="T37" s="219">
        <f>'Assumption for Botlling Plant'!$F$82</f>
        <v>0</v>
      </c>
      <c r="U37" s="219">
        <f>'Assumption for Botlling Plant'!$F$82</f>
        <v>0</v>
      </c>
      <c r="V37" s="219">
        <f>'Assumption for Botlling Plant'!$F$82</f>
        <v>0</v>
      </c>
      <c r="W37" s="219">
        <f>'Assumption for Botlling Plant'!$F$82</f>
        <v>0</v>
      </c>
      <c r="X37" s="219">
        <f>'Assumption for Botlling Plant'!$F$82</f>
        <v>0</v>
      </c>
      <c r="Y37" s="219">
        <f>'Assumption for Botlling Plant'!$F$82</f>
        <v>0</v>
      </c>
      <c r="Z37" s="219">
        <f>'Assumption for Botlling Plant'!$F$82</f>
        <v>0</v>
      </c>
      <c r="AA37"/>
      <c r="AB37"/>
    </row>
    <row r="38" spans="1:28" s="150" customFormat="1" ht="15" thickBot="1" x14ac:dyDescent="0.4">
      <c r="A38" s="27" t="s">
        <v>57</v>
      </c>
      <c r="B38" s="36">
        <f t="shared" ref="B38:Z38" si="31">SUM(B32:B37)</f>
        <v>61.289797499999999</v>
      </c>
      <c r="C38" s="36">
        <f t="shared" si="31"/>
        <v>61.279595</v>
      </c>
      <c r="D38" s="36">
        <f t="shared" si="31"/>
        <v>61.269392500000002</v>
      </c>
      <c r="E38" s="36">
        <f t="shared" si="31"/>
        <v>61.259189999999997</v>
      </c>
      <c r="F38" s="36">
        <f t="shared" si="31"/>
        <v>61.248987499999998</v>
      </c>
      <c r="G38" s="36">
        <f t="shared" si="31"/>
        <v>61.238785</v>
      </c>
      <c r="H38" s="36">
        <f t="shared" si="31"/>
        <v>61.228582500000002</v>
      </c>
      <c r="I38" s="36">
        <f t="shared" si="31"/>
        <v>61.218380000000003</v>
      </c>
      <c r="J38" s="36">
        <f t="shared" si="31"/>
        <v>61.208177499999998</v>
      </c>
      <c r="K38" s="36">
        <f t="shared" si="31"/>
        <v>61.197975</v>
      </c>
      <c r="L38" s="36">
        <f t="shared" si="31"/>
        <v>61.187772500000001</v>
      </c>
      <c r="M38" s="36">
        <f t="shared" si="31"/>
        <v>61.177570000000003</v>
      </c>
      <c r="N38" s="36">
        <f t="shared" si="31"/>
        <v>61.167367499999997</v>
      </c>
      <c r="O38" s="36">
        <f t="shared" si="31"/>
        <v>61.165295208333333</v>
      </c>
      <c r="P38" s="36">
        <f t="shared" si="31"/>
        <v>61.163222916666669</v>
      </c>
      <c r="Q38" s="36">
        <f t="shared" si="31"/>
        <v>61.161150624999998</v>
      </c>
      <c r="R38" s="36">
        <f t="shared" si="31"/>
        <v>61.159078333333333</v>
      </c>
      <c r="S38" s="36">
        <f t="shared" si="31"/>
        <v>61.157006041666669</v>
      </c>
      <c r="T38" s="36">
        <f t="shared" si="31"/>
        <v>61.154933749999998</v>
      </c>
      <c r="U38" s="36">
        <f t="shared" si="31"/>
        <v>61.152861458333334</v>
      </c>
      <c r="V38" s="36">
        <f t="shared" si="31"/>
        <v>61.150789166666669</v>
      </c>
      <c r="W38" s="36">
        <f t="shared" si="31"/>
        <v>61.148716874999998</v>
      </c>
      <c r="X38" s="36">
        <f t="shared" si="31"/>
        <v>61.146644583333334</v>
      </c>
      <c r="Y38" s="36">
        <f t="shared" si="31"/>
        <v>61.14457229166667</v>
      </c>
      <c r="Z38" s="36">
        <f t="shared" si="31"/>
        <v>61.142499999999998</v>
      </c>
      <c r="AA38"/>
      <c r="AB38"/>
    </row>
    <row r="40" spans="1:28" ht="15" thickBot="1" x14ac:dyDescent="0.4"/>
    <row r="41" spans="1:28" ht="15" thickBot="1" x14ac:dyDescent="0.4">
      <c r="A41" s="39" t="s">
        <v>58</v>
      </c>
      <c r="B41" s="17"/>
    </row>
    <row r="42" spans="1:28" x14ac:dyDescent="0.35">
      <c r="A42" s="224" t="str">
        <f>'Assumption for Botlling Plant'!G32</f>
        <v>Post TAX ROE (for 10 yrs)</v>
      </c>
      <c r="B42" s="226">
        <f>'Assumption for Botlling Plant'!I32</f>
        <v>0.13336999999999999</v>
      </c>
    </row>
    <row r="43" spans="1:28" ht="15" thickBot="1" x14ac:dyDescent="0.4">
      <c r="A43" s="225" t="str">
        <f>'Assumption for Botlling Plant'!G33</f>
        <v>Post TAX ROE (for rest yrs)</v>
      </c>
      <c r="B43" s="227">
        <f>'Assumption for Botlling Plant'!I33</f>
        <v>0.14385999999999999</v>
      </c>
    </row>
    <row r="44" spans="1:28" x14ac:dyDescent="0.35">
      <c r="A44" s="224" t="str">
        <f>'Assumption for Botlling Plant'!D39</f>
        <v>MAT Rate</v>
      </c>
      <c r="B44" s="230">
        <f>'Assumption for Botlling Plant'!F39</f>
        <v>0.2155</v>
      </c>
    </row>
    <row r="45" spans="1:28" ht="15" thickBot="1" x14ac:dyDescent="0.4">
      <c r="A45" s="204" t="s">
        <v>59</v>
      </c>
      <c r="B45" s="228">
        <f>'Assumption for Botlling Plant'!$F$38</f>
        <v>0.34610000000000002</v>
      </c>
    </row>
    <row r="46" spans="1:28" x14ac:dyDescent="0.35">
      <c r="A46" s="203" t="s">
        <v>0</v>
      </c>
      <c r="B46" s="193">
        <f>'Assumption for Botlling Plant'!$F$25/100</f>
        <v>8.7499999999999994E-2</v>
      </c>
    </row>
    <row r="47" spans="1:28" ht="15" thickBot="1" x14ac:dyDescent="0.4">
      <c r="A47" s="203" t="s">
        <v>123</v>
      </c>
      <c r="B47" s="229">
        <f>'Assumption for Botlling Plant'!$F$17/100</f>
        <v>0.8</v>
      </c>
    </row>
    <row r="48" spans="1:28" ht="15" thickBot="1" x14ac:dyDescent="0.4">
      <c r="A48" s="244" t="s">
        <v>172</v>
      </c>
      <c r="B48" s="245">
        <f>(B47*B46*(1-B44))+((1-B47)*B42)</f>
        <v>8.1588999999999981E-2</v>
      </c>
    </row>
    <row r="49" spans="1:28" ht="15" thickBot="1" x14ac:dyDescent="0.4">
      <c r="A49" s="244" t="s">
        <v>173</v>
      </c>
      <c r="B49" s="246">
        <f>(B47*B46*(1-B45))+((1-B47)*B43)</f>
        <v>7.4544999999999972E-2</v>
      </c>
    </row>
    <row r="50" spans="1:28" ht="15" thickBot="1" x14ac:dyDescent="0.4">
      <c r="A50" s="232" t="str">
        <f>'Assumption for Botlling Plant'!D34</f>
        <v>Weighted Average Discount Rate</v>
      </c>
      <c r="B50" s="223">
        <f>'Assumption for Botlling Plant'!$F$34</f>
        <v>7.7362599999999976E-2</v>
      </c>
    </row>
    <row r="51" spans="1:28" ht="15" thickBot="1" x14ac:dyDescent="0.4">
      <c r="A51" s="87"/>
      <c r="B51" s="88"/>
      <c r="C51" s="88"/>
      <c r="D51" s="88"/>
      <c r="E51" s="88"/>
      <c r="F51" s="8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17"/>
    </row>
    <row r="52" spans="1:28" x14ac:dyDescent="0.35">
      <c r="A52" s="201" t="s">
        <v>62</v>
      </c>
      <c r="B52" s="202">
        <v>0.9</v>
      </c>
      <c r="C52" s="2"/>
    </row>
    <row r="53" spans="1:28" x14ac:dyDescent="0.35">
      <c r="A53" s="203" t="s">
        <v>63</v>
      </c>
      <c r="B53" s="193">
        <v>5.28E-2</v>
      </c>
      <c r="C53" s="2"/>
    </row>
    <row r="54" spans="1:28" x14ac:dyDescent="0.35">
      <c r="A54" s="203" t="s">
        <v>64</v>
      </c>
      <c r="B54" s="193">
        <f>'Assumption for Botlling Plant'!$F$38</f>
        <v>0.34610000000000002</v>
      </c>
      <c r="C54" s="2"/>
    </row>
    <row r="55" spans="1:28" ht="15" thickBot="1" x14ac:dyDescent="0.4">
      <c r="A55" s="204" t="s">
        <v>65</v>
      </c>
      <c r="B55" s="280">
        <f>'Assumption for Botlling Plant'!$F$14</f>
        <v>50</v>
      </c>
      <c r="C55" s="2"/>
    </row>
    <row r="56" spans="1:28" x14ac:dyDescent="0.35">
      <c r="A56" t="s">
        <v>253</v>
      </c>
      <c r="B56" t="s">
        <v>254</v>
      </c>
      <c r="D56" s="32">
        <f t="shared" ref="D56:AB56" si="32">D7</f>
        <v>15</v>
      </c>
      <c r="E56" s="32">
        <f t="shared" si="32"/>
        <v>15</v>
      </c>
      <c r="F56" s="32">
        <f t="shared" si="32"/>
        <v>15</v>
      </c>
      <c r="G56" s="32">
        <f t="shared" si="32"/>
        <v>15</v>
      </c>
      <c r="H56" s="32">
        <f t="shared" si="32"/>
        <v>15</v>
      </c>
      <c r="I56" s="32">
        <f t="shared" si="32"/>
        <v>15</v>
      </c>
      <c r="J56" s="32">
        <f t="shared" si="32"/>
        <v>15</v>
      </c>
      <c r="K56" s="32">
        <f t="shared" si="32"/>
        <v>15</v>
      </c>
      <c r="L56" s="32">
        <f t="shared" si="32"/>
        <v>15</v>
      </c>
      <c r="M56" s="32">
        <f t="shared" si="32"/>
        <v>15</v>
      </c>
      <c r="N56" s="32">
        <f t="shared" si="32"/>
        <v>15</v>
      </c>
      <c r="O56" s="32">
        <f t="shared" si="32"/>
        <v>15</v>
      </c>
      <c r="P56" s="32">
        <f t="shared" si="32"/>
        <v>15</v>
      </c>
      <c r="Q56" s="32">
        <f t="shared" si="32"/>
        <v>15</v>
      </c>
      <c r="R56" s="32">
        <f t="shared" si="32"/>
        <v>15</v>
      </c>
      <c r="S56" s="32">
        <f t="shared" si="32"/>
        <v>15</v>
      </c>
      <c r="T56" s="32">
        <f t="shared" si="32"/>
        <v>15</v>
      </c>
      <c r="U56" s="32">
        <f t="shared" si="32"/>
        <v>15</v>
      </c>
      <c r="V56" s="32">
        <f t="shared" si="32"/>
        <v>15</v>
      </c>
      <c r="W56" s="32">
        <f t="shared" si="32"/>
        <v>15</v>
      </c>
      <c r="X56" s="32">
        <f t="shared" si="32"/>
        <v>15</v>
      </c>
      <c r="Y56" s="32">
        <f t="shared" si="32"/>
        <v>15</v>
      </c>
      <c r="Z56" s="32">
        <f t="shared" si="32"/>
        <v>15</v>
      </c>
      <c r="AA56" s="32">
        <f t="shared" si="32"/>
        <v>15</v>
      </c>
      <c r="AB56" s="32">
        <f t="shared" si="32"/>
        <v>15</v>
      </c>
    </row>
    <row r="57" spans="1:28" x14ac:dyDescent="0.35">
      <c r="A57" s="89" t="s">
        <v>68</v>
      </c>
      <c r="B57" s="84" t="s">
        <v>8</v>
      </c>
      <c r="C57" s="84"/>
      <c r="D57" s="84">
        <v>1</v>
      </c>
      <c r="E57" s="231">
        <v>2</v>
      </c>
      <c r="F57" s="84">
        <v>3</v>
      </c>
      <c r="G57" s="84">
        <v>4</v>
      </c>
      <c r="H57" s="84">
        <v>5</v>
      </c>
      <c r="I57" s="84">
        <v>6</v>
      </c>
      <c r="J57" s="84">
        <v>7</v>
      </c>
      <c r="K57" s="84">
        <v>8</v>
      </c>
      <c r="L57" s="84">
        <v>9</v>
      </c>
      <c r="M57" s="84">
        <v>10</v>
      </c>
      <c r="N57" s="84">
        <v>11</v>
      </c>
      <c r="O57" s="84">
        <v>12</v>
      </c>
      <c r="P57" s="84">
        <v>13</v>
      </c>
      <c r="Q57" s="84">
        <v>14</v>
      </c>
      <c r="R57" s="84">
        <v>15</v>
      </c>
      <c r="S57" s="84">
        <v>16</v>
      </c>
      <c r="T57" s="84">
        <v>17</v>
      </c>
      <c r="U57" s="84">
        <v>18</v>
      </c>
      <c r="V57" s="84">
        <v>19</v>
      </c>
      <c r="W57" s="84">
        <v>20</v>
      </c>
      <c r="X57" s="84">
        <v>21</v>
      </c>
      <c r="Y57" s="84">
        <v>22</v>
      </c>
      <c r="Z57" s="84">
        <v>23</v>
      </c>
      <c r="AA57" s="84">
        <v>24</v>
      </c>
      <c r="AB57" s="90">
        <v>25</v>
      </c>
    </row>
    <row r="58" spans="1:28" x14ac:dyDescent="0.35">
      <c r="A58" s="20" t="s">
        <v>120</v>
      </c>
      <c r="B58" s="2"/>
      <c r="C58" s="2"/>
      <c r="D58" s="21">
        <v>5.28E-2</v>
      </c>
      <c r="E58" s="21">
        <v>5.28E-2</v>
      </c>
      <c r="F58" s="21">
        <v>5.28E-2</v>
      </c>
      <c r="G58" s="21">
        <v>5.28E-2</v>
      </c>
      <c r="H58" s="21">
        <v>5.28E-2</v>
      </c>
      <c r="I58" s="21">
        <v>5.28E-2</v>
      </c>
      <c r="J58" s="21">
        <v>5.28E-2</v>
      </c>
      <c r="K58" s="21">
        <v>5.28E-2</v>
      </c>
      <c r="L58" s="21">
        <v>5.28E-2</v>
      </c>
      <c r="M58" s="21">
        <v>5.28E-2</v>
      </c>
      <c r="N58" s="21">
        <v>5.28E-2</v>
      </c>
      <c r="O58" s="21">
        <v>5.28E-2</v>
      </c>
      <c r="P58" s="21">
        <v>5.28E-2</v>
      </c>
      <c r="Q58" s="21">
        <v>5.28E-2</v>
      </c>
      <c r="R58" s="21">
        <v>5.28E-2</v>
      </c>
      <c r="S58" s="21">
        <v>5.28E-2</v>
      </c>
      <c r="T58" s="21">
        <v>5.28E-2</v>
      </c>
      <c r="U58" s="21">
        <v>2.8799999999999999E-2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91">
        <v>0</v>
      </c>
    </row>
    <row r="59" spans="1:28" x14ac:dyDescent="0.35">
      <c r="A59" s="20" t="s">
        <v>120</v>
      </c>
      <c r="B59" s="2" t="s">
        <v>49</v>
      </c>
      <c r="C59" s="2"/>
      <c r="D59" s="35">
        <f>D58*$B$55</f>
        <v>2.64</v>
      </c>
      <c r="E59" s="35">
        <f>E58*$B$55</f>
        <v>2.64</v>
      </c>
      <c r="F59" s="35">
        <f>F58*$B$55</f>
        <v>2.64</v>
      </c>
      <c r="G59" s="35">
        <f t="shared" ref="G59:U59" si="33">G58*$B$55</f>
        <v>2.64</v>
      </c>
      <c r="H59" s="35">
        <f t="shared" si="33"/>
        <v>2.64</v>
      </c>
      <c r="I59" s="35">
        <f t="shared" si="33"/>
        <v>2.64</v>
      </c>
      <c r="J59" s="35">
        <f t="shared" si="33"/>
        <v>2.64</v>
      </c>
      <c r="K59" s="35">
        <f t="shared" si="33"/>
        <v>2.64</v>
      </c>
      <c r="L59" s="35">
        <f t="shared" si="33"/>
        <v>2.64</v>
      </c>
      <c r="M59" s="35">
        <f t="shared" si="33"/>
        <v>2.64</v>
      </c>
      <c r="N59" s="35">
        <f t="shared" si="33"/>
        <v>2.64</v>
      </c>
      <c r="O59" s="35">
        <f t="shared" si="33"/>
        <v>2.64</v>
      </c>
      <c r="P59" s="35">
        <f t="shared" si="33"/>
        <v>2.64</v>
      </c>
      <c r="Q59" s="35">
        <f t="shared" si="33"/>
        <v>2.64</v>
      </c>
      <c r="R59" s="35">
        <f t="shared" si="33"/>
        <v>2.64</v>
      </c>
      <c r="S59" s="35">
        <f t="shared" si="33"/>
        <v>2.64</v>
      </c>
      <c r="T59" s="35">
        <f t="shared" si="33"/>
        <v>2.64</v>
      </c>
      <c r="U59" s="35">
        <f t="shared" si="33"/>
        <v>1.44</v>
      </c>
      <c r="V59" s="77">
        <f t="shared" ref="V59:AB59" si="34">V58*$B$55</f>
        <v>0</v>
      </c>
      <c r="W59" s="77">
        <f t="shared" si="34"/>
        <v>0</v>
      </c>
      <c r="X59" s="77">
        <f t="shared" si="34"/>
        <v>0</v>
      </c>
      <c r="Y59" s="77">
        <f t="shared" si="34"/>
        <v>0</v>
      </c>
      <c r="Z59" s="77">
        <f t="shared" si="34"/>
        <v>0</v>
      </c>
      <c r="AA59" s="77">
        <f t="shared" si="34"/>
        <v>0</v>
      </c>
      <c r="AB59" s="92">
        <f t="shared" si="34"/>
        <v>0</v>
      </c>
    </row>
    <row r="60" spans="1:28" x14ac:dyDescent="0.35">
      <c r="A60" s="20"/>
      <c r="B60" s="35"/>
      <c r="C60" s="2"/>
      <c r="D60" s="9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8"/>
    </row>
    <row r="61" spans="1:28" x14ac:dyDescent="0.35">
      <c r="A61" s="94" t="s">
        <v>96</v>
      </c>
      <c r="B61" s="95" t="s">
        <v>48</v>
      </c>
      <c r="C61" s="96"/>
      <c r="D61" s="95">
        <v>1</v>
      </c>
      <c r="E61" s="84">
        <v>2</v>
      </c>
      <c r="F61" s="84">
        <v>3</v>
      </c>
      <c r="G61" s="84">
        <v>4</v>
      </c>
      <c r="H61" s="84">
        <v>5</v>
      </c>
      <c r="I61" s="84">
        <v>6</v>
      </c>
      <c r="J61" s="84">
        <v>7</v>
      </c>
      <c r="K61" s="84">
        <v>8</v>
      </c>
      <c r="L61" s="84">
        <v>9</v>
      </c>
      <c r="M61" s="84">
        <v>10</v>
      </c>
      <c r="N61" s="84">
        <v>11</v>
      </c>
      <c r="O61" s="84">
        <v>12</v>
      </c>
      <c r="P61" s="84">
        <v>13</v>
      </c>
      <c r="Q61" s="84">
        <v>14</v>
      </c>
      <c r="R61" s="84">
        <v>15</v>
      </c>
      <c r="S61" s="84">
        <v>16</v>
      </c>
      <c r="T61" s="84">
        <v>17</v>
      </c>
      <c r="U61" s="84">
        <v>18</v>
      </c>
      <c r="V61" s="84">
        <v>19</v>
      </c>
      <c r="W61" s="84">
        <v>20</v>
      </c>
      <c r="X61" s="84">
        <v>21</v>
      </c>
      <c r="Y61" s="84">
        <v>22</v>
      </c>
      <c r="Z61" s="84">
        <v>23</v>
      </c>
      <c r="AA61" s="84">
        <v>24</v>
      </c>
      <c r="AB61" s="90">
        <v>25</v>
      </c>
    </row>
    <row r="62" spans="1:28" x14ac:dyDescent="0.35">
      <c r="A62" s="97" t="s">
        <v>145</v>
      </c>
      <c r="B62" s="2"/>
      <c r="C62" s="2"/>
      <c r="D62" s="35">
        <f>$B$55*'Assumption for Botlling Plant'!$F$45</f>
        <v>7.5</v>
      </c>
      <c r="E62" s="35">
        <f>($B$55-D63)*'Assumption for Botlling Plant'!$F$45</f>
        <v>6.375</v>
      </c>
      <c r="F62" s="35">
        <f>($B$55-E63)*'Assumption for Botlling Plant'!$F$45</f>
        <v>5.4187500000000002</v>
      </c>
      <c r="G62" s="35">
        <f>($B$55-F63)*'Assumption for Botlling Plant'!$F$45</f>
        <v>4.6059374999999996</v>
      </c>
      <c r="H62" s="35">
        <f>($B$55-G63)*'Assumption for Botlling Plant'!$F$45</f>
        <v>3.9150468749999998</v>
      </c>
      <c r="I62" s="35">
        <f>($B$55-H63)*'Assumption for Botlling Plant'!$F$45</f>
        <v>3.3277898437499998</v>
      </c>
      <c r="J62" s="35">
        <f>($B$55-I63)*'Assumption for Botlling Plant'!$F$45</f>
        <v>2.8286213671874996</v>
      </c>
      <c r="K62" s="35">
        <f>($B$55-J63)*'Assumption for Botlling Plant'!$F$45</f>
        <v>2.4043281621093748</v>
      </c>
      <c r="L62" s="35">
        <f>($B$55-K63)*'Assumption for Botlling Plant'!$F$45</f>
        <v>2.0436789377929689</v>
      </c>
      <c r="M62" s="35">
        <f>($B$55-L63)*'Assumption for Botlling Plant'!$F$45</f>
        <v>1.7371270971240238</v>
      </c>
      <c r="N62" s="35">
        <f>($B$55-M63)*'Assumption for Botlling Plant'!$F$45</f>
        <v>1.4765580325554204</v>
      </c>
      <c r="O62" s="35">
        <f>($B$55-N63)*'Assumption for Botlling Plant'!$F$45</f>
        <v>1.2550743276721079</v>
      </c>
      <c r="P62" s="35">
        <f>($B$55-O63)*'Assumption for Botlling Plant'!$F$45</f>
        <v>1.066813178521292</v>
      </c>
      <c r="Q62" s="35">
        <f>($B$55-P63)*'Assumption for Botlling Plant'!$F$45</f>
        <v>0.90679120174309802</v>
      </c>
      <c r="R62" s="35">
        <f>($B$55-Q63)*'Assumption for Botlling Plant'!$F$45</f>
        <v>0.77077252148163355</v>
      </c>
      <c r="S62" s="35">
        <f>($B$55-R63)*'Assumption for Botlling Plant'!$F$45</f>
        <v>0.65515664325938872</v>
      </c>
      <c r="T62" s="35">
        <f>($B$55-S63)*'Assumption for Botlling Plant'!$F$45</f>
        <v>0.55688314677048034</v>
      </c>
      <c r="U62" s="35">
        <f>($B$55-T63)*'Assumption for Botlling Plant'!$F$45</f>
        <v>0.47335067475490822</v>
      </c>
      <c r="V62" s="35">
        <f>($B$55-U63)*'Assumption for Botlling Plant'!$F$45</f>
        <v>0.40234807354167151</v>
      </c>
      <c r="W62" s="35">
        <f>($B$55-V63)*'Assumption for Botlling Plant'!$F$45</f>
        <v>0.34199586251042041</v>
      </c>
      <c r="X62" s="35">
        <f>($B$55-W63)*'Assumption for Botlling Plant'!$F$45</f>
        <v>0.29069648313385699</v>
      </c>
      <c r="Y62" s="35">
        <f>($B$55-X63)*'Assumption for Botlling Plant'!$F$45</f>
        <v>0.24709201066377842</v>
      </c>
      <c r="Z62" s="35">
        <f>($B$55-Y63)*'Assumption for Botlling Plant'!$F$45</f>
        <v>0.21002820906421177</v>
      </c>
      <c r="AA62" s="35">
        <f>($B$55-Z63)*'Assumption for Botlling Plant'!$F$45</f>
        <v>0.17852397770457989</v>
      </c>
      <c r="AB62" s="40">
        <f>($B$55-AA63)*'Assumption for Botlling Plant'!$F$45</f>
        <v>0.15174538104889307</v>
      </c>
    </row>
    <row r="63" spans="1:28" x14ac:dyDescent="0.35">
      <c r="A63" s="20" t="s">
        <v>95</v>
      </c>
      <c r="B63" s="2"/>
      <c r="C63" s="2"/>
      <c r="D63" s="35">
        <f>D62</f>
        <v>7.5</v>
      </c>
      <c r="E63" s="35">
        <f>D63+E62</f>
        <v>13.875</v>
      </c>
      <c r="F63" s="35">
        <f t="shared" ref="F63:AB63" si="35">E63+F62</f>
        <v>19.293749999999999</v>
      </c>
      <c r="G63" s="35">
        <f>F63+G62</f>
        <v>23.899687499999999</v>
      </c>
      <c r="H63" s="35">
        <f t="shared" si="35"/>
        <v>27.814734375</v>
      </c>
      <c r="I63" s="35">
        <f t="shared" si="35"/>
        <v>31.142524218750001</v>
      </c>
      <c r="J63" s="35">
        <f t="shared" si="35"/>
        <v>33.971145585937499</v>
      </c>
      <c r="K63" s="35">
        <f t="shared" si="35"/>
        <v>36.375473748046872</v>
      </c>
      <c r="L63" s="35">
        <f t="shared" si="35"/>
        <v>38.41915268583984</v>
      </c>
      <c r="M63" s="35">
        <f t="shared" si="35"/>
        <v>40.156279782963864</v>
      </c>
      <c r="N63" s="35">
        <f t="shared" si="35"/>
        <v>41.632837815519281</v>
      </c>
      <c r="O63" s="35">
        <f t="shared" si="35"/>
        <v>42.887912143191386</v>
      </c>
      <c r="P63" s="35">
        <f t="shared" si="35"/>
        <v>43.954725321712679</v>
      </c>
      <c r="Q63" s="35">
        <f t="shared" si="35"/>
        <v>44.861516523455776</v>
      </c>
      <c r="R63" s="35">
        <f t="shared" si="35"/>
        <v>45.632289044937409</v>
      </c>
      <c r="S63" s="35">
        <f t="shared" si="35"/>
        <v>46.287445688196797</v>
      </c>
      <c r="T63" s="35">
        <f t="shared" si="35"/>
        <v>46.844328834967278</v>
      </c>
      <c r="U63" s="35">
        <f t="shared" si="35"/>
        <v>47.31767950972219</v>
      </c>
      <c r="V63" s="35">
        <f t="shared" si="35"/>
        <v>47.720027583263864</v>
      </c>
      <c r="W63" s="35">
        <f t="shared" si="35"/>
        <v>48.062023445774287</v>
      </c>
      <c r="X63" s="35">
        <f t="shared" si="35"/>
        <v>48.352719928908144</v>
      </c>
      <c r="Y63" s="35">
        <f t="shared" si="35"/>
        <v>48.599811939571921</v>
      </c>
      <c r="Z63" s="35">
        <f t="shared" si="35"/>
        <v>48.809840148636134</v>
      </c>
      <c r="AA63" s="35">
        <f t="shared" si="35"/>
        <v>48.988364126340713</v>
      </c>
      <c r="AB63" s="40">
        <f t="shared" si="35"/>
        <v>49.140109507389603</v>
      </c>
    </row>
    <row r="64" spans="1:28" ht="15" thickBot="1" x14ac:dyDescent="0.4">
      <c r="A64" s="29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"/>
    </row>
    <row r="68" spans="4:28" x14ac:dyDescent="0.35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4:28" x14ac:dyDescent="0.35"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4:28" x14ac:dyDescent="0.35">
      <c r="D70" s="13"/>
      <c r="E70" s="13"/>
      <c r="F70" s="13"/>
      <c r="G70" s="13"/>
      <c r="H70" s="13"/>
      <c r="I70" s="13"/>
      <c r="J70" s="13"/>
    </row>
    <row r="71" spans="4:28" x14ac:dyDescent="0.35">
      <c r="D71" s="1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CDE9-D2D8-4835-AA9B-E218F42DE5AB}">
  <sheetPr>
    <tabColor theme="9"/>
  </sheetPr>
  <dimension ref="A3:Z36"/>
  <sheetViews>
    <sheetView topLeftCell="A3" zoomScale="85" zoomScaleNormal="85" workbookViewId="0">
      <selection activeCell="C8" sqref="C8"/>
    </sheetView>
  </sheetViews>
  <sheetFormatPr defaultRowHeight="14.5" x14ac:dyDescent="0.35"/>
  <cols>
    <col min="1" max="1" width="15.453125" bestFit="1" customWidth="1"/>
    <col min="2" max="2" width="13.26953125" bestFit="1" customWidth="1"/>
    <col min="3" max="3" width="10.26953125" bestFit="1" customWidth="1"/>
    <col min="4" max="4" width="17.453125" bestFit="1" customWidth="1"/>
    <col min="5" max="5" width="12.453125" bestFit="1" customWidth="1"/>
    <col min="6" max="6" width="8.36328125" bestFit="1" customWidth="1"/>
    <col min="7" max="7" width="22" bestFit="1" customWidth="1"/>
    <col min="8" max="8" width="7.81640625" bestFit="1" customWidth="1"/>
    <col min="9" max="9" width="7.36328125" bestFit="1" customWidth="1"/>
    <col min="10" max="13" width="9.36328125" bestFit="1" customWidth="1"/>
    <col min="14" max="14" width="8.81640625" bestFit="1" customWidth="1"/>
    <col min="15" max="15" width="9" bestFit="1" customWidth="1"/>
    <col min="16" max="22" width="10" bestFit="1" customWidth="1"/>
    <col min="23" max="26" width="11" bestFit="1" customWidth="1"/>
  </cols>
  <sheetData>
    <row r="3" spans="1:26" x14ac:dyDescent="0.35">
      <c r="A3" s="28" t="s">
        <v>48</v>
      </c>
      <c r="B3" s="28">
        <v>1</v>
      </c>
      <c r="C3" s="28">
        <v>2</v>
      </c>
      <c r="D3" s="28">
        <v>3</v>
      </c>
      <c r="E3" s="28">
        <v>4</v>
      </c>
      <c r="F3" s="28">
        <v>5</v>
      </c>
      <c r="G3" s="28">
        <v>6</v>
      </c>
      <c r="H3" s="28">
        <v>7</v>
      </c>
      <c r="I3" s="28">
        <v>8</v>
      </c>
      <c r="J3" s="28">
        <v>9</v>
      </c>
      <c r="K3" s="28">
        <v>10</v>
      </c>
      <c r="L3" s="28">
        <v>11</v>
      </c>
      <c r="M3" s="28">
        <v>12</v>
      </c>
      <c r="N3" s="28">
        <v>13</v>
      </c>
      <c r="O3" s="28">
        <v>14</v>
      </c>
      <c r="P3" s="28">
        <v>15</v>
      </c>
      <c r="Q3" s="28">
        <v>16</v>
      </c>
      <c r="R3" s="28">
        <v>17</v>
      </c>
      <c r="S3" s="28">
        <v>18</v>
      </c>
      <c r="T3" s="28">
        <v>19</v>
      </c>
      <c r="U3" s="28">
        <v>20</v>
      </c>
      <c r="V3" s="28">
        <v>21</v>
      </c>
      <c r="W3" s="28">
        <v>22</v>
      </c>
      <c r="X3" s="28">
        <v>23</v>
      </c>
      <c r="Y3" s="28">
        <v>24</v>
      </c>
      <c r="Z3" s="28">
        <v>25</v>
      </c>
    </row>
    <row r="4" spans="1:26" x14ac:dyDescent="0.35">
      <c r="A4" s="28" t="s">
        <v>124</v>
      </c>
      <c r="B4" s="13">
        <f>E12</f>
        <v>3.365384615384615</v>
      </c>
      <c r="C4" s="13">
        <f>E13</f>
        <v>3.0961538461538454</v>
      </c>
      <c r="D4" s="13">
        <f>E14</f>
        <v>2.8269230769230762</v>
      </c>
      <c r="E4" s="13">
        <f>E15</f>
        <v>2.557692307692307</v>
      </c>
      <c r="F4" s="13">
        <f>E16</f>
        <v>2.2884615384615374</v>
      </c>
      <c r="G4" s="13">
        <f>E17</f>
        <v>2.0192307692307687</v>
      </c>
      <c r="H4" s="13">
        <f>E18</f>
        <v>1.7499999999999993</v>
      </c>
      <c r="I4" s="13">
        <f>E19</f>
        <v>1.4807692307692304</v>
      </c>
      <c r="J4" s="13">
        <f>E20</f>
        <v>1.211538461538461</v>
      </c>
      <c r="K4" s="13">
        <f>E21</f>
        <v>0.94230769230769185</v>
      </c>
      <c r="L4" s="13">
        <f>E22</f>
        <v>0.67307692307692268</v>
      </c>
      <c r="M4" s="13">
        <f>E23</f>
        <v>0.40384615384615347</v>
      </c>
      <c r="N4" s="13">
        <f>E24</f>
        <v>0.13461538461538422</v>
      </c>
      <c r="O4" s="13">
        <f>E25</f>
        <v>-0.134615384615385</v>
      </c>
      <c r="P4" s="13">
        <f>E26</f>
        <v>-0.40384615384615424</v>
      </c>
      <c r="Q4" s="13">
        <f>E27</f>
        <v>-0.67307692307692346</v>
      </c>
      <c r="R4" s="13">
        <f>E28</f>
        <v>-0.94230769230769262</v>
      </c>
      <c r="S4" s="13">
        <f>E29</f>
        <v>-1.2115384615384619</v>
      </c>
      <c r="T4" s="13">
        <f>E30</f>
        <v>-1.4807692307692311</v>
      </c>
      <c r="U4" s="13">
        <f>E31</f>
        <v>-1.7500000000000004</v>
      </c>
      <c r="V4" s="13">
        <f>E32</f>
        <v>-2.0192307692307696</v>
      </c>
      <c r="W4" s="13">
        <f>E33</f>
        <v>-2.2884615384615388</v>
      </c>
      <c r="X4" s="13">
        <f>E34</f>
        <v>-2.5576923076923079</v>
      </c>
      <c r="Y4" s="13">
        <f>E35</f>
        <v>-2.8269230769230771</v>
      </c>
      <c r="Z4" s="13">
        <f>E36</f>
        <v>-3.0961538461538467</v>
      </c>
    </row>
    <row r="7" spans="1:26" ht="15" thickBot="1" x14ac:dyDescent="0.4"/>
    <row r="8" spans="1:26" x14ac:dyDescent="0.35">
      <c r="B8" s="19" t="s">
        <v>23</v>
      </c>
      <c r="C8" s="8">
        <f>'Assumption for Botlling Plant'!$F$22</f>
        <v>40</v>
      </c>
      <c r="D8" s="8" t="s">
        <v>55</v>
      </c>
      <c r="E8" s="17"/>
    </row>
    <row r="9" spans="1:26" x14ac:dyDescent="0.35">
      <c r="B9" s="20" t="s">
        <v>56</v>
      </c>
      <c r="C9" s="2">
        <f>'Assumption for Botlling Plant'!$F$24</f>
        <v>13</v>
      </c>
      <c r="D9" s="2" t="s">
        <v>16</v>
      </c>
      <c r="E9" s="18"/>
    </row>
    <row r="10" spans="1:26" ht="15" thickBot="1" x14ac:dyDescent="0.4">
      <c r="B10" s="20">
        <f>'Assumption for Botlling Plant'!$F$25/100</f>
        <v>8.7499999999999994E-2</v>
      </c>
      <c r="C10" s="21"/>
      <c r="D10" s="2"/>
      <c r="E10" s="18"/>
      <c r="H10" t="s">
        <v>151</v>
      </c>
    </row>
    <row r="11" spans="1:26" ht="15" thickBot="1" x14ac:dyDescent="0.4">
      <c r="B11" s="23" t="s">
        <v>53</v>
      </c>
      <c r="C11" s="23" t="s">
        <v>52</v>
      </c>
      <c r="D11" s="23" t="s">
        <v>54</v>
      </c>
      <c r="E11" s="22" t="s">
        <v>51</v>
      </c>
      <c r="H11" s="210">
        <f>-PMT(B10/12,C9*12,C8,0,0)</f>
        <v>0.43015226478151219</v>
      </c>
      <c r="I11" t="s">
        <v>155</v>
      </c>
    </row>
    <row r="12" spans="1:26" x14ac:dyDescent="0.35">
      <c r="A12">
        <v>1</v>
      </c>
      <c r="B12" s="120">
        <f>'Assumption for Botlling Plant'!$F$22</f>
        <v>40</v>
      </c>
      <c r="C12" s="121">
        <f>$B$12/$C$9</f>
        <v>3.0769230769230771</v>
      </c>
      <c r="D12" s="121">
        <f>B12-C12</f>
        <v>36.92307692307692</v>
      </c>
      <c r="E12" s="120">
        <f t="shared" ref="E12:E36" si="0">$B$10*(B12+D12)/2</f>
        <v>3.365384615384615</v>
      </c>
      <c r="H12" s="210"/>
    </row>
    <row r="13" spans="1:26" x14ac:dyDescent="0.35">
      <c r="A13">
        <v>2</v>
      </c>
      <c r="B13" s="122">
        <f>B12-C12</f>
        <v>36.92307692307692</v>
      </c>
      <c r="C13" s="121">
        <f t="shared" ref="C13:C36" si="1">$B$12/$C$9</f>
        <v>3.0769230769230771</v>
      </c>
      <c r="D13" s="121">
        <f>B13-C13</f>
        <v>33.84615384615384</v>
      </c>
      <c r="E13" s="122">
        <f t="shared" si="0"/>
        <v>3.0961538461538454</v>
      </c>
      <c r="H13" s="210"/>
    </row>
    <row r="14" spans="1:26" x14ac:dyDescent="0.35">
      <c r="A14">
        <v>3</v>
      </c>
      <c r="B14" s="122">
        <f t="shared" ref="B14:B36" si="2">B13-C13</f>
        <v>33.84615384615384</v>
      </c>
      <c r="C14" s="121">
        <f>$B$12/$C$9</f>
        <v>3.0769230769230771</v>
      </c>
      <c r="D14" s="121">
        <f t="shared" ref="D14:D24" si="3">B14-C14</f>
        <v>30.769230769230763</v>
      </c>
      <c r="E14" s="122">
        <f t="shared" si="0"/>
        <v>2.8269230769230762</v>
      </c>
      <c r="G14" t="s">
        <v>152</v>
      </c>
      <c r="H14" s="210">
        <f>B12+SUM($E$12:INDEX(E12:E36,C9))</f>
        <v>62.749999999999993</v>
      </c>
      <c r="I14" t="s">
        <v>155</v>
      </c>
      <c r="J14" s="130"/>
    </row>
    <row r="15" spans="1:26" x14ac:dyDescent="0.35">
      <c r="A15">
        <v>4</v>
      </c>
      <c r="B15" s="122">
        <f t="shared" si="2"/>
        <v>30.769230769230763</v>
      </c>
      <c r="C15" s="121">
        <f>$B$12/$C$9</f>
        <v>3.0769230769230771</v>
      </c>
      <c r="D15" s="121">
        <f t="shared" si="3"/>
        <v>27.692307692307686</v>
      </c>
      <c r="E15" s="122">
        <f t="shared" si="0"/>
        <v>2.557692307692307</v>
      </c>
      <c r="G15" t="s">
        <v>153</v>
      </c>
      <c r="H15" s="210">
        <f>H14/12</f>
        <v>5.2291666666666661</v>
      </c>
      <c r="I15" t="s">
        <v>155</v>
      </c>
      <c r="J15" s="130"/>
    </row>
    <row r="16" spans="1:26" x14ac:dyDescent="0.35">
      <c r="A16">
        <v>5</v>
      </c>
      <c r="B16" s="122">
        <f t="shared" si="2"/>
        <v>27.692307692307686</v>
      </c>
      <c r="C16" s="121">
        <f t="shared" si="1"/>
        <v>3.0769230769230771</v>
      </c>
      <c r="D16" s="121">
        <f t="shared" si="3"/>
        <v>24.61538461538461</v>
      </c>
      <c r="E16" s="122">
        <f t="shared" si="0"/>
        <v>2.2884615384615374</v>
      </c>
      <c r="G16" t="s">
        <v>154</v>
      </c>
      <c r="H16" s="210">
        <f>H15/12</f>
        <v>0.43576388888888884</v>
      </c>
      <c r="I16" t="s">
        <v>155</v>
      </c>
      <c r="J16" s="130"/>
    </row>
    <row r="17" spans="1:8" x14ac:dyDescent="0.35">
      <c r="A17">
        <v>6</v>
      </c>
      <c r="B17" s="122">
        <f t="shared" si="2"/>
        <v>24.61538461538461</v>
      </c>
      <c r="C17" s="121">
        <f t="shared" si="1"/>
        <v>3.0769230769230771</v>
      </c>
      <c r="D17" s="121">
        <f t="shared" si="3"/>
        <v>21.538461538461533</v>
      </c>
      <c r="E17" s="122">
        <f t="shared" si="0"/>
        <v>2.0192307692307687</v>
      </c>
      <c r="H17" s="210"/>
    </row>
    <row r="18" spans="1:8" x14ac:dyDescent="0.35">
      <c r="A18">
        <v>7</v>
      </c>
      <c r="B18" s="122">
        <f t="shared" si="2"/>
        <v>21.538461538461533</v>
      </c>
      <c r="C18" s="121">
        <f t="shared" si="1"/>
        <v>3.0769230769230771</v>
      </c>
      <c r="D18" s="121">
        <f t="shared" si="3"/>
        <v>18.461538461538456</v>
      </c>
      <c r="E18" s="122">
        <f t="shared" si="0"/>
        <v>1.7499999999999993</v>
      </c>
      <c r="H18" s="210"/>
    </row>
    <row r="19" spans="1:8" x14ac:dyDescent="0.35">
      <c r="A19">
        <v>8</v>
      </c>
      <c r="B19" s="122">
        <f t="shared" si="2"/>
        <v>18.461538461538456</v>
      </c>
      <c r="C19" s="121">
        <f t="shared" si="1"/>
        <v>3.0769230769230771</v>
      </c>
      <c r="D19" s="121">
        <f t="shared" si="3"/>
        <v>15.38461538461538</v>
      </c>
      <c r="E19" s="122">
        <f t="shared" si="0"/>
        <v>1.4807692307692304</v>
      </c>
      <c r="H19" s="210"/>
    </row>
    <row r="20" spans="1:8" x14ac:dyDescent="0.35">
      <c r="A20">
        <v>9</v>
      </c>
      <c r="B20" s="122">
        <f t="shared" si="2"/>
        <v>15.38461538461538</v>
      </c>
      <c r="C20" s="121">
        <f t="shared" si="1"/>
        <v>3.0769230769230771</v>
      </c>
      <c r="D20" s="121">
        <f t="shared" si="3"/>
        <v>12.307692307692303</v>
      </c>
      <c r="E20" s="122">
        <f t="shared" si="0"/>
        <v>1.211538461538461</v>
      </c>
      <c r="H20" s="210"/>
    </row>
    <row r="21" spans="1:8" x14ac:dyDescent="0.35">
      <c r="A21">
        <v>10</v>
      </c>
      <c r="B21" s="122">
        <f t="shared" si="2"/>
        <v>12.307692307692303</v>
      </c>
      <c r="C21" s="121">
        <f t="shared" si="1"/>
        <v>3.0769230769230771</v>
      </c>
      <c r="D21" s="121">
        <f t="shared" si="3"/>
        <v>9.2307692307692264</v>
      </c>
      <c r="E21" s="122">
        <f t="shared" si="0"/>
        <v>0.94230769230769185</v>
      </c>
      <c r="H21" s="210"/>
    </row>
    <row r="22" spans="1:8" x14ac:dyDescent="0.35">
      <c r="A22">
        <v>11</v>
      </c>
      <c r="B22" s="122">
        <f t="shared" si="2"/>
        <v>9.2307692307692264</v>
      </c>
      <c r="C22" s="121">
        <f t="shared" si="1"/>
        <v>3.0769230769230771</v>
      </c>
      <c r="D22" s="121">
        <f t="shared" si="3"/>
        <v>6.1538461538461497</v>
      </c>
      <c r="E22" s="122">
        <f t="shared" si="0"/>
        <v>0.67307692307692268</v>
      </c>
      <c r="H22" s="210"/>
    </row>
    <row r="23" spans="1:8" x14ac:dyDescent="0.35">
      <c r="A23">
        <v>12</v>
      </c>
      <c r="B23" s="122">
        <f t="shared" si="2"/>
        <v>6.1538461538461497</v>
      </c>
      <c r="C23" s="121">
        <f t="shared" si="1"/>
        <v>3.0769230769230771</v>
      </c>
      <c r="D23" s="121">
        <f t="shared" si="3"/>
        <v>3.0769230769230727</v>
      </c>
      <c r="E23" s="122">
        <f t="shared" si="0"/>
        <v>0.40384615384615347</v>
      </c>
      <c r="H23" s="210"/>
    </row>
    <row r="24" spans="1:8" ht="15" thickBot="1" x14ac:dyDescent="0.4">
      <c r="A24">
        <v>13</v>
      </c>
      <c r="B24" s="123">
        <f t="shared" si="2"/>
        <v>3.0769230769230727</v>
      </c>
      <c r="C24" s="124">
        <f t="shared" si="1"/>
        <v>3.0769230769230771</v>
      </c>
      <c r="D24" s="124">
        <f t="shared" si="3"/>
        <v>-4.4408920985006262E-15</v>
      </c>
      <c r="E24" s="123">
        <f t="shared" si="0"/>
        <v>0.13461538461538422</v>
      </c>
      <c r="H24" s="210"/>
    </row>
    <row r="25" spans="1:8" x14ac:dyDescent="0.35">
      <c r="A25">
        <v>14</v>
      </c>
      <c r="B25" s="120">
        <f>B24-C24</f>
        <v>-4.4408920985006262E-15</v>
      </c>
      <c r="C25" s="126">
        <f t="shared" si="1"/>
        <v>3.0769230769230771</v>
      </c>
      <c r="D25" s="126">
        <f>B25-C25</f>
        <v>-3.0769230769230815</v>
      </c>
      <c r="E25" s="120">
        <f t="shared" si="0"/>
        <v>-0.134615384615385</v>
      </c>
    </row>
    <row r="26" spans="1:8" x14ac:dyDescent="0.35">
      <c r="A26">
        <v>15</v>
      </c>
      <c r="B26" s="122">
        <f t="shared" si="2"/>
        <v>-3.0769230769230815</v>
      </c>
      <c r="C26" s="121">
        <f t="shared" si="1"/>
        <v>3.0769230769230771</v>
      </c>
      <c r="D26" s="121">
        <f>B26-C26</f>
        <v>-6.1538461538461586</v>
      </c>
      <c r="E26" s="122">
        <f t="shared" si="0"/>
        <v>-0.40384615384615424</v>
      </c>
    </row>
    <row r="27" spans="1:8" x14ac:dyDescent="0.35">
      <c r="A27">
        <v>16</v>
      </c>
      <c r="B27" s="122">
        <f t="shared" si="2"/>
        <v>-6.1538461538461586</v>
      </c>
      <c r="C27" s="121">
        <f t="shared" si="1"/>
        <v>3.0769230769230771</v>
      </c>
      <c r="D27" s="121">
        <f t="shared" ref="D27:D36" si="4">B27-C27</f>
        <v>-9.2307692307692353</v>
      </c>
      <c r="E27" s="122">
        <f t="shared" si="0"/>
        <v>-0.67307692307692346</v>
      </c>
    </row>
    <row r="28" spans="1:8" x14ac:dyDescent="0.35">
      <c r="A28">
        <v>17</v>
      </c>
      <c r="B28" s="122">
        <f t="shared" si="2"/>
        <v>-9.2307692307692353</v>
      </c>
      <c r="C28" s="121">
        <f t="shared" si="1"/>
        <v>3.0769230769230771</v>
      </c>
      <c r="D28" s="121">
        <f t="shared" si="4"/>
        <v>-12.307692307692312</v>
      </c>
      <c r="E28" s="122">
        <f t="shared" si="0"/>
        <v>-0.94230769230769262</v>
      </c>
    </row>
    <row r="29" spans="1:8" x14ac:dyDescent="0.35">
      <c r="A29">
        <v>18</v>
      </c>
      <c r="B29" s="122">
        <f t="shared" si="2"/>
        <v>-12.307692307692312</v>
      </c>
      <c r="C29" s="121">
        <f t="shared" si="1"/>
        <v>3.0769230769230771</v>
      </c>
      <c r="D29" s="121">
        <f t="shared" si="4"/>
        <v>-15.384615384615389</v>
      </c>
      <c r="E29" s="122">
        <f t="shared" si="0"/>
        <v>-1.2115384615384619</v>
      </c>
    </row>
    <row r="30" spans="1:8" x14ac:dyDescent="0.35">
      <c r="A30">
        <v>19</v>
      </c>
      <c r="B30" s="122">
        <f t="shared" si="2"/>
        <v>-15.384615384615389</v>
      </c>
      <c r="C30" s="121">
        <f t="shared" si="1"/>
        <v>3.0769230769230771</v>
      </c>
      <c r="D30" s="121">
        <f t="shared" si="4"/>
        <v>-18.461538461538467</v>
      </c>
      <c r="E30" s="122">
        <f t="shared" si="0"/>
        <v>-1.4807692307692311</v>
      </c>
    </row>
    <row r="31" spans="1:8" x14ac:dyDescent="0.35">
      <c r="A31">
        <v>20</v>
      </c>
      <c r="B31" s="122">
        <f t="shared" si="2"/>
        <v>-18.461538461538467</v>
      </c>
      <c r="C31" s="121">
        <f t="shared" si="1"/>
        <v>3.0769230769230771</v>
      </c>
      <c r="D31" s="121">
        <f t="shared" si="4"/>
        <v>-21.538461538461544</v>
      </c>
      <c r="E31" s="122">
        <f t="shared" si="0"/>
        <v>-1.7500000000000004</v>
      </c>
    </row>
    <row r="32" spans="1:8" x14ac:dyDescent="0.35">
      <c r="A32">
        <v>21</v>
      </c>
      <c r="B32" s="122">
        <f t="shared" si="2"/>
        <v>-21.538461538461544</v>
      </c>
      <c r="C32" s="121">
        <f t="shared" si="1"/>
        <v>3.0769230769230771</v>
      </c>
      <c r="D32" s="121">
        <f t="shared" si="4"/>
        <v>-24.61538461538462</v>
      </c>
      <c r="E32" s="122">
        <f t="shared" si="0"/>
        <v>-2.0192307692307696</v>
      </c>
    </row>
    <row r="33" spans="1:5" x14ac:dyDescent="0.35">
      <c r="A33">
        <v>22</v>
      </c>
      <c r="B33" s="122">
        <f t="shared" si="2"/>
        <v>-24.61538461538462</v>
      </c>
      <c r="C33" s="121">
        <f t="shared" si="1"/>
        <v>3.0769230769230771</v>
      </c>
      <c r="D33" s="121">
        <f t="shared" si="4"/>
        <v>-27.692307692307697</v>
      </c>
      <c r="E33" s="122">
        <f t="shared" si="0"/>
        <v>-2.2884615384615388</v>
      </c>
    </row>
    <row r="34" spans="1:5" x14ac:dyDescent="0.35">
      <c r="A34">
        <v>23</v>
      </c>
      <c r="B34" s="122">
        <f t="shared" si="2"/>
        <v>-27.692307692307697</v>
      </c>
      <c r="C34" s="121">
        <f t="shared" si="1"/>
        <v>3.0769230769230771</v>
      </c>
      <c r="D34" s="121">
        <f t="shared" si="4"/>
        <v>-30.769230769230774</v>
      </c>
      <c r="E34" s="122">
        <f t="shared" si="0"/>
        <v>-2.5576923076923079</v>
      </c>
    </row>
    <row r="35" spans="1:5" x14ac:dyDescent="0.35">
      <c r="A35">
        <v>24</v>
      </c>
      <c r="B35" s="122">
        <f t="shared" si="2"/>
        <v>-30.769230769230774</v>
      </c>
      <c r="C35" s="121">
        <f t="shared" si="1"/>
        <v>3.0769230769230771</v>
      </c>
      <c r="D35" s="121">
        <f t="shared" si="4"/>
        <v>-33.846153846153854</v>
      </c>
      <c r="E35" s="122">
        <f t="shared" si="0"/>
        <v>-2.8269230769230771</v>
      </c>
    </row>
    <row r="36" spans="1:5" ht="15" thickBot="1" x14ac:dyDescent="0.4">
      <c r="A36">
        <v>25</v>
      </c>
      <c r="B36" s="123">
        <f t="shared" si="2"/>
        <v>-33.846153846153854</v>
      </c>
      <c r="C36" s="124">
        <f t="shared" si="1"/>
        <v>3.0769230769230771</v>
      </c>
      <c r="D36" s="124">
        <f t="shared" si="4"/>
        <v>-36.923076923076934</v>
      </c>
      <c r="E36" s="123">
        <f t="shared" si="0"/>
        <v>-3.0961538461538467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4A33-C7E0-481B-B1A9-CDF378B0C2B2}">
  <sheetPr>
    <tabColor rgb="FF7030A0"/>
  </sheetPr>
  <dimension ref="A3:AC86"/>
  <sheetViews>
    <sheetView zoomScale="86" workbookViewId="0">
      <selection activeCell="D27" sqref="D27"/>
    </sheetView>
  </sheetViews>
  <sheetFormatPr defaultRowHeight="14.5" x14ac:dyDescent="0.35"/>
  <cols>
    <col min="1" max="1" width="12.453125" bestFit="1" customWidth="1"/>
    <col min="2" max="2" width="35.26953125" customWidth="1"/>
    <col min="3" max="3" width="7.90625" bestFit="1" customWidth="1"/>
    <col min="4" max="4" width="7.1796875" bestFit="1" customWidth="1"/>
    <col min="5" max="5" width="9.36328125" customWidth="1"/>
    <col min="6" max="6" width="9.81640625" customWidth="1"/>
    <col min="7" max="28" width="6.7265625" bestFit="1" customWidth="1"/>
  </cols>
  <sheetData>
    <row r="3" spans="2:9" ht="15" thickBot="1" x14ac:dyDescent="0.4"/>
    <row r="4" spans="2:9" ht="15" thickBot="1" x14ac:dyDescent="0.4">
      <c r="B4" s="24" t="s">
        <v>71</v>
      </c>
      <c r="C4" s="37" t="s">
        <v>73</v>
      </c>
      <c r="D4" s="37" t="s">
        <v>72</v>
      </c>
    </row>
    <row r="5" spans="2:9" x14ac:dyDescent="0.35">
      <c r="B5" s="20" t="s">
        <v>74</v>
      </c>
      <c r="C5" s="4"/>
      <c r="D5" s="4" t="s">
        <v>70</v>
      </c>
    </row>
    <row r="6" spans="2:9" x14ac:dyDescent="0.35">
      <c r="B6" s="20" t="s">
        <v>108</v>
      </c>
      <c r="C6" s="4"/>
      <c r="D6" s="4">
        <v>1</v>
      </c>
    </row>
    <row r="7" spans="2:9" x14ac:dyDescent="0.35">
      <c r="B7" s="20" t="s">
        <v>18</v>
      </c>
      <c r="C7" s="4" t="s">
        <v>49</v>
      </c>
      <c r="D7" s="4">
        <f>'Assumption for Botlling Plant'!$F$27</f>
        <v>10</v>
      </c>
    </row>
    <row r="8" spans="2:9" x14ac:dyDescent="0.35">
      <c r="B8" s="20" t="s">
        <v>86</v>
      </c>
      <c r="C8" s="4" t="s">
        <v>16</v>
      </c>
      <c r="D8" s="4">
        <f>'Assumption for Botlling Plant'!$F$10</f>
        <v>25</v>
      </c>
    </row>
    <row r="9" spans="2:9" x14ac:dyDescent="0.35">
      <c r="B9" s="20" t="s">
        <v>87</v>
      </c>
      <c r="C9" s="4" t="s">
        <v>11</v>
      </c>
      <c r="D9" s="30">
        <f>'Assumption for Botlling Plant'!$F$38</f>
        <v>0.34610000000000002</v>
      </c>
    </row>
    <row r="10" spans="2:9" x14ac:dyDescent="0.35">
      <c r="B10" s="20" t="s">
        <v>83</v>
      </c>
      <c r="C10" s="4" t="s">
        <v>11</v>
      </c>
      <c r="D10" s="30">
        <f>'Assumption for Botlling Plant'!$F$39</f>
        <v>0.2155</v>
      </c>
    </row>
    <row r="11" spans="2:9" x14ac:dyDescent="0.35">
      <c r="B11" s="70" t="s">
        <v>88</v>
      </c>
      <c r="C11" s="4" t="s">
        <v>16</v>
      </c>
      <c r="D11" s="81">
        <f>'Assumption for Botlling Plant'!F89</f>
        <v>1</v>
      </c>
    </row>
    <row r="12" spans="2:9" x14ac:dyDescent="0.35">
      <c r="B12" s="70" t="s">
        <v>89</v>
      </c>
      <c r="C12" s="4" t="s">
        <v>16</v>
      </c>
      <c r="D12" s="81">
        <f>'Assumption for Botlling Plant'!$F$90</f>
        <v>0</v>
      </c>
    </row>
    <row r="13" spans="2:9" x14ac:dyDescent="0.35">
      <c r="B13" s="70" t="s">
        <v>90</v>
      </c>
      <c r="C13" s="4" t="s">
        <v>16</v>
      </c>
      <c r="D13" s="81">
        <f>'Assumption for Botlling Plant'!F91</f>
        <v>16</v>
      </c>
      <c r="E13" s="389" t="s">
        <v>150</v>
      </c>
      <c r="F13" s="390"/>
      <c r="G13" s="390"/>
      <c r="H13" s="390"/>
      <c r="I13" s="390"/>
    </row>
    <row r="14" spans="2:9" x14ac:dyDescent="0.35">
      <c r="B14" s="70" t="s">
        <v>91</v>
      </c>
      <c r="C14" s="4" t="s">
        <v>16</v>
      </c>
      <c r="D14" s="81">
        <f>'Assumption for Botlling Plant'!F92</f>
        <v>10</v>
      </c>
      <c r="E14" s="69" t="s">
        <v>101</v>
      </c>
    </row>
    <row r="15" spans="2:9" ht="15" thickBot="1" x14ac:dyDescent="0.4">
      <c r="B15" s="71" t="s">
        <v>92</v>
      </c>
      <c r="C15" s="5" t="s">
        <v>16</v>
      </c>
      <c r="D15" s="166">
        <f>'Assumption for Botlling Plant'!F93</f>
        <v>5</v>
      </c>
      <c r="E15" s="72"/>
      <c r="F15" s="73" t="s">
        <v>102</v>
      </c>
    </row>
    <row r="16" spans="2:9" x14ac:dyDescent="0.35">
      <c r="E16" s="69"/>
      <c r="F16" s="69"/>
    </row>
    <row r="17" spans="1:29" ht="15" thickBot="1" x14ac:dyDescent="0.4"/>
    <row r="18" spans="1:29" x14ac:dyDescent="0.35">
      <c r="A18" s="85" t="s">
        <v>109</v>
      </c>
      <c r="B18" s="50" t="s">
        <v>75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2"/>
    </row>
    <row r="19" spans="1:29" x14ac:dyDescent="0.35">
      <c r="B19" s="53" t="s">
        <v>48</v>
      </c>
      <c r="C19" s="48"/>
      <c r="D19" s="48">
        <v>1</v>
      </c>
      <c r="E19" s="48">
        <v>2</v>
      </c>
      <c r="F19" s="48">
        <v>3</v>
      </c>
      <c r="G19" s="48">
        <v>4</v>
      </c>
      <c r="H19" s="48">
        <v>5</v>
      </c>
      <c r="I19" s="48">
        <v>6</v>
      </c>
      <c r="J19" s="48">
        <v>7</v>
      </c>
      <c r="K19" s="48">
        <v>8</v>
      </c>
      <c r="L19" s="48">
        <v>9</v>
      </c>
      <c r="M19" s="48">
        <v>10</v>
      </c>
      <c r="N19" s="48">
        <v>11</v>
      </c>
      <c r="O19" s="48">
        <v>12</v>
      </c>
      <c r="P19" s="48">
        <v>13</v>
      </c>
      <c r="Q19" s="48">
        <v>14</v>
      </c>
      <c r="R19" s="48">
        <v>15</v>
      </c>
      <c r="S19" s="48">
        <v>16</v>
      </c>
      <c r="T19" s="48">
        <v>17</v>
      </c>
      <c r="U19" s="48">
        <v>18</v>
      </c>
      <c r="V19" s="48">
        <v>19</v>
      </c>
      <c r="W19" s="48">
        <v>20</v>
      </c>
      <c r="X19" s="48">
        <v>21</v>
      </c>
      <c r="Y19" s="48">
        <v>22</v>
      </c>
      <c r="Z19" s="48">
        <v>23</v>
      </c>
      <c r="AA19" s="48">
        <v>24</v>
      </c>
      <c r="AB19" s="54">
        <v>25</v>
      </c>
    </row>
    <row r="20" spans="1:29" x14ac:dyDescent="0.35">
      <c r="B20" s="55" t="s">
        <v>255</v>
      </c>
      <c r="C20" s="2" t="s">
        <v>252</v>
      </c>
      <c r="D20" s="83">
        <f>Determination_of_Cost!D56</f>
        <v>15</v>
      </c>
      <c r="E20" s="83">
        <f>Determination_of_Cost!E56</f>
        <v>15</v>
      </c>
      <c r="F20" s="83">
        <f>Determination_of_Cost!F56</f>
        <v>15</v>
      </c>
      <c r="G20" s="83">
        <f>Determination_of_Cost!G56</f>
        <v>15</v>
      </c>
      <c r="H20" s="83">
        <f>Determination_of_Cost!H56</f>
        <v>15</v>
      </c>
      <c r="I20" s="83">
        <f>Determination_of_Cost!I56</f>
        <v>15</v>
      </c>
      <c r="J20" s="83">
        <f>Determination_of_Cost!J56</f>
        <v>15</v>
      </c>
      <c r="K20" s="83">
        <f>Determination_of_Cost!K56</f>
        <v>15</v>
      </c>
      <c r="L20" s="83">
        <f>Determination_of_Cost!L56</f>
        <v>15</v>
      </c>
      <c r="M20" s="83">
        <f>Determination_of_Cost!M56</f>
        <v>15</v>
      </c>
      <c r="N20" s="83">
        <f>Determination_of_Cost!N56</f>
        <v>15</v>
      </c>
      <c r="O20" s="83">
        <f>Determination_of_Cost!O56</f>
        <v>15</v>
      </c>
      <c r="P20" s="83">
        <f>Determination_of_Cost!P56</f>
        <v>15</v>
      </c>
      <c r="Q20" s="83">
        <f>Determination_of_Cost!Q56</f>
        <v>15</v>
      </c>
      <c r="R20" s="83">
        <f>Determination_of_Cost!R56</f>
        <v>15</v>
      </c>
      <c r="S20" s="83">
        <f>Determination_of_Cost!S56</f>
        <v>15</v>
      </c>
      <c r="T20" s="83">
        <f>Determination_of_Cost!T56</f>
        <v>15</v>
      </c>
      <c r="U20" s="83">
        <f>Determination_of_Cost!U56</f>
        <v>15</v>
      </c>
      <c r="V20" s="83">
        <f>Determination_of_Cost!V56</f>
        <v>15</v>
      </c>
      <c r="W20" s="83">
        <f>Determination_of_Cost!W56</f>
        <v>15</v>
      </c>
      <c r="X20" s="83">
        <f>Determination_of_Cost!X56</f>
        <v>15</v>
      </c>
      <c r="Y20" s="83">
        <f>Determination_of_Cost!Y56</f>
        <v>15</v>
      </c>
      <c r="Z20" s="83">
        <f>Determination_of_Cost!Z56</f>
        <v>15</v>
      </c>
      <c r="AA20" s="83">
        <f>Determination_of_Cost!AA56</f>
        <v>15</v>
      </c>
      <c r="AB20" s="83">
        <f>Determination_of_Cost!AB56</f>
        <v>15</v>
      </c>
    </row>
    <row r="21" spans="1:29" ht="15" thickBot="1" x14ac:dyDescent="0.4">
      <c r="B21" s="5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56"/>
    </row>
    <row r="22" spans="1:29" x14ac:dyDescent="0.35">
      <c r="B22" s="57" t="s">
        <v>239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58"/>
    </row>
    <row r="23" spans="1:29" x14ac:dyDescent="0.35">
      <c r="B23" s="55" t="s">
        <v>238</v>
      </c>
      <c r="C23" s="2" t="s">
        <v>221</v>
      </c>
      <c r="D23" s="35">
        <f>Determination_of_Cost!D22</f>
        <v>5.067470656025642</v>
      </c>
      <c r="E23" s="35">
        <f>Determination_of_Cost!E22</f>
        <v>5.0487669530769228</v>
      </c>
      <c r="F23" s="35">
        <f>Determination_of_Cost!F22</f>
        <v>5.0300632501282054</v>
      </c>
      <c r="G23" s="35">
        <f>Determination_of_Cost!G22</f>
        <v>5.0113595471794889</v>
      </c>
      <c r="H23" s="35">
        <f>Determination_of_Cost!H22</f>
        <v>4.9926558442307698</v>
      </c>
      <c r="I23" s="35">
        <f>Determination_of_Cost!I22</f>
        <v>4.9739521412820524</v>
      </c>
      <c r="J23" s="35">
        <f>Determination_of_Cost!J22</f>
        <v>4.9552484383333333</v>
      </c>
      <c r="K23" s="35">
        <f>Determination_of_Cost!K22</f>
        <v>4.936544735384615</v>
      </c>
      <c r="L23" s="35">
        <f>Determination_of_Cost!L22</f>
        <v>4.9178410324358985</v>
      </c>
      <c r="M23" s="35">
        <f>Determination_of_Cost!M22</f>
        <v>4.8991373294871803</v>
      </c>
      <c r="N23" s="35">
        <f>Determination_of_Cost!N22</f>
        <v>4.9137669598717952</v>
      </c>
      <c r="O23" s="35">
        <f>Determination_of_Cost!O22</f>
        <v>4.8950632569230779</v>
      </c>
      <c r="P23" s="35">
        <f>Determination_of_Cost!P22</f>
        <v>4.8763595539743587</v>
      </c>
      <c r="Q23" s="35">
        <f>Determination_of_Cost!Q22</f>
        <v>4.7123707343055559</v>
      </c>
      <c r="R23" s="35">
        <f>Determination_of_Cost!R22</f>
        <v>4.7122173847222228</v>
      </c>
      <c r="S23" s="35">
        <f>Determination_of_Cost!S22</f>
        <v>4.7120640351388898</v>
      </c>
      <c r="T23" s="35">
        <f>Determination_of_Cost!T22</f>
        <v>4.711910685555555</v>
      </c>
      <c r="U23" s="35">
        <f>Determination_of_Cost!U22</f>
        <v>4.7117573359722229</v>
      </c>
      <c r="V23" s="35">
        <f>Determination_of_Cost!V22</f>
        <v>4.711603986388889</v>
      </c>
      <c r="W23" s="35">
        <f>Determination_of_Cost!W22</f>
        <v>4.711450636805556</v>
      </c>
      <c r="X23" s="35">
        <f>Determination_of_Cost!X22</f>
        <v>4.711297287222223</v>
      </c>
      <c r="Y23" s="35">
        <f>Determination_of_Cost!Y22</f>
        <v>4.7111439376388899</v>
      </c>
      <c r="Z23" s="35">
        <f>Determination_of_Cost!Z22</f>
        <v>4.710990588055556</v>
      </c>
      <c r="AA23" s="35">
        <f>Determination_of_Cost!AA22</f>
        <v>4.7108372384722221</v>
      </c>
      <c r="AB23" s="35">
        <f>Determination_of_Cost!AB22</f>
        <v>4.71068388888889</v>
      </c>
    </row>
    <row r="24" spans="1:29" x14ac:dyDescent="0.35">
      <c r="B24" s="55" t="s">
        <v>237</v>
      </c>
      <c r="C24" s="2" t="s">
        <v>93</v>
      </c>
      <c r="D24" s="35">
        <f>D23*D20</f>
        <v>76.012059840384623</v>
      </c>
      <c r="E24" s="35">
        <f t="shared" ref="E24:AB24" si="0">E23*E20</f>
        <v>75.731504296153844</v>
      </c>
      <c r="F24" s="35">
        <f t="shared" si="0"/>
        <v>75.450948751923079</v>
      </c>
      <c r="G24" s="35">
        <f t="shared" si="0"/>
        <v>75.170393207692328</v>
      </c>
      <c r="H24" s="35">
        <f t="shared" si="0"/>
        <v>74.889837663461549</v>
      </c>
      <c r="I24" s="35">
        <f t="shared" si="0"/>
        <v>74.609282119230784</v>
      </c>
      <c r="J24" s="35">
        <f t="shared" si="0"/>
        <v>74.328726575000005</v>
      </c>
      <c r="K24" s="35">
        <f t="shared" si="0"/>
        <v>74.048171030769225</v>
      </c>
      <c r="L24" s="35">
        <f t="shared" si="0"/>
        <v>73.767615486538475</v>
      </c>
      <c r="M24" s="35">
        <f t="shared" si="0"/>
        <v>73.48705994230771</v>
      </c>
      <c r="N24" s="35">
        <f t="shared" si="0"/>
        <v>73.70650439807693</v>
      </c>
      <c r="O24" s="35">
        <f t="shared" si="0"/>
        <v>73.425948853846165</v>
      </c>
      <c r="P24" s="35">
        <f t="shared" si="0"/>
        <v>73.145393309615386</v>
      </c>
      <c r="Q24" s="35">
        <f t="shared" si="0"/>
        <v>70.685561014583342</v>
      </c>
      <c r="R24" s="35">
        <f t="shared" si="0"/>
        <v>70.683260770833343</v>
      </c>
      <c r="S24" s="35">
        <f t="shared" si="0"/>
        <v>70.680960527083343</v>
      </c>
      <c r="T24" s="35">
        <f t="shared" si="0"/>
        <v>70.678660283333329</v>
      </c>
      <c r="U24" s="35">
        <f t="shared" si="0"/>
        <v>70.676360039583344</v>
      </c>
      <c r="V24" s="35">
        <f t="shared" si="0"/>
        <v>70.67405979583333</v>
      </c>
      <c r="W24" s="35">
        <f t="shared" si="0"/>
        <v>70.671759552083344</v>
      </c>
      <c r="X24" s="35">
        <f t="shared" si="0"/>
        <v>70.669459308333344</v>
      </c>
      <c r="Y24" s="35">
        <f t="shared" si="0"/>
        <v>70.667159064583345</v>
      </c>
      <c r="Z24" s="35">
        <f t="shared" si="0"/>
        <v>70.664858820833345</v>
      </c>
      <c r="AA24" s="35">
        <f t="shared" si="0"/>
        <v>70.662558577083331</v>
      </c>
      <c r="AB24" s="35">
        <f t="shared" si="0"/>
        <v>70.660258333333346</v>
      </c>
    </row>
    <row r="25" spans="1:29" ht="15" thickBot="1" x14ac:dyDescent="0.4">
      <c r="B25" s="67" t="s">
        <v>76</v>
      </c>
      <c r="C25" s="61"/>
      <c r="D25" s="62">
        <f>D24</f>
        <v>76.012059840384623</v>
      </c>
      <c r="E25" s="62">
        <f t="shared" ref="E25:AB25" si="1">E24</f>
        <v>75.731504296153844</v>
      </c>
      <c r="F25" s="62">
        <f t="shared" si="1"/>
        <v>75.450948751923079</v>
      </c>
      <c r="G25" s="62">
        <f t="shared" si="1"/>
        <v>75.170393207692328</v>
      </c>
      <c r="H25" s="62">
        <f t="shared" si="1"/>
        <v>74.889837663461549</v>
      </c>
      <c r="I25" s="62">
        <f t="shared" si="1"/>
        <v>74.609282119230784</v>
      </c>
      <c r="J25" s="62">
        <f t="shared" si="1"/>
        <v>74.328726575000005</v>
      </c>
      <c r="K25" s="62">
        <f t="shared" si="1"/>
        <v>74.048171030769225</v>
      </c>
      <c r="L25" s="62">
        <f t="shared" si="1"/>
        <v>73.767615486538475</v>
      </c>
      <c r="M25" s="62">
        <f t="shared" si="1"/>
        <v>73.48705994230771</v>
      </c>
      <c r="N25" s="62">
        <f t="shared" si="1"/>
        <v>73.70650439807693</v>
      </c>
      <c r="O25" s="62">
        <f t="shared" si="1"/>
        <v>73.425948853846165</v>
      </c>
      <c r="P25" s="62">
        <f t="shared" si="1"/>
        <v>73.145393309615386</v>
      </c>
      <c r="Q25" s="62">
        <f t="shared" si="1"/>
        <v>70.685561014583342</v>
      </c>
      <c r="R25" s="62">
        <f t="shared" si="1"/>
        <v>70.683260770833343</v>
      </c>
      <c r="S25" s="62">
        <f t="shared" si="1"/>
        <v>70.680960527083343</v>
      </c>
      <c r="T25" s="62">
        <f t="shared" si="1"/>
        <v>70.678660283333329</v>
      </c>
      <c r="U25" s="62">
        <f t="shared" si="1"/>
        <v>70.676360039583344</v>
      </c>
      <c r="V25" s="62">
        <f t="shared" si="1"/>
        <v>70.67405979583333</v>
      </c>
      <c r="W25" s="62">
        <f t="shared" si="1"/>
        <v>70.671759552083344</v>
      </c>
      <c r="X25" s="62">
        <f t="shared" si="1"/>
        <v>70.669459308333344</v>
      </c>
      <c r="Y25" s="62">
        <f t="shared" si="1"/>
        <v>70.667159064583345</v>
      </c>
      <c r="Z25" s="62">
        <f t="shared" si="1"/>
        <v>70.664858820833345</v>
      </c>
      <c r="AA25" s="62">
        <f t="shared" si="1"/>
        <v>70.662558577083331</v>
      </c>
      <c r="AB25" s="68">
        <f t="shared" si="1"/>
        <v>70.660258333333346</v>
      </c>
    </row>
    <row r="26" spans="1:29" x14ac:dyDescent="0.35">
      <c r="B26" s="57" t="s">
        <v>241</v>
      </c>
      <c r="C26" s="8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59"/>
    </row>
    <row r="27" spans="1:29" x14ac:dyDescent="0.35">
      <c r="B27" s="55" t="s">
        <v>240</v>
      </c>
      <c r="C27" s="2" t="s">
        <v>221</v>
      </c>
      <c r="D27" s="35">
        <f>'Assumption for Botlling Plant'!$F$88</f>
        <v>15</v>
      </c>
      <c r="E27" s="35">
        <f>'Assumption for Botlling Plant'!$F$88</f>
        <v>15</v>
      </c>
      <c r="F27" s="35">
        <f>'Assumption for Botlling Plant'!$F$88</f>
        <v>15</v>
      </c>
      <c r="G27" s="35">
        <f>'Assumption for Botlling Plant'!$F$88</f>
        <v>15</v>
      </c>
      <c r="H27" s="35">
        <f>'Assumption for Botlling Plant'!$F$88</f>
        <v>15</v>
      </c>
      <c r="I27" s="35">
        <f>'Assumption for Botlling Plant'!$F$88</f>
        <v>15</v>
      </c>
      <c r="J27" s="35">
        <f>'Assumption for Botlling Plant'!$F$88</f>
        <v>15</v>
      </c>
      <c r="K27" s="35">
        <f>'Assumption for Botlling Plant'!$F$88</f>
        <v>15</v>
      </c>
      <c r="L27" s="35">
        <f>'Assumption for Botlling Plant'!$F$88</f>
        <v>15</v>
      </c>
      <c r="M27" s="35">
        <f>'Assumption for Botlling Plant'!$F$88</f>
        <v>15</v>
      </c>
      <c r="N27" s="35">
        <f>'Assumption for Botlling Plant'!$F$88</f>
        <v>15</v>
      </c>
      <c r="O27" s="35">
        <f>'Assumption for Botlling Plant'!$F$88</f>
        <v>15</v>
      </c>
      <c r="P27" s="35">
        <f>'Assumption for Botlling Plant'!$F$88</f>
        <v>15</v>
      </c>
      <c r="Q27" s="35">
        <f>'Assumption for Botlling Plant'!$F$88</f>
        <v>15</v>
      </c>
      <c r="R27" s="35">
        <f>'Assumption for Botlling Plant'!$F$88</f>
        <v>15</v>
      </c>
      <c r="S27" s="35">
        <f>'Assumption for Botlling Plant'!$F$88</f>
        <v>15</v>
      </c>
      <c r="T27" s="35">
        <f>'Assumption for Botlling Plant'!$F$88</f>
        <v>15</v>
      </c>
      <c r="U27" s="35">
        <f>'Assumption for Botlling Plant'!$F$88</f>
        <v>15</v>
      </c>
      <c r="V27" s="35">
        <f>'Assumption for Botlling Plant'!$F$88</f>
        <v>15</v>
      </c>
      <c r="W27" s="35">
        <f>'Assumption for Botlling Plant'!$F$88</f>
        <v>15</v>
      </c>
      <c r="X27" s="35">
        <f>'Assumption for Botlling Plant'!$F$88</f>
        <v>15</v>
      </c>
      <c r="Y27" s="35">
        <f>'Assumption for Botlling Plant'!$F$88</f>
        <v>15</v>
      </c>
      <c r="Z27" s="35">
        <f>'Assumption for Botlling Plant'!$F$88</f>
        <v>15</v>
      </c>
      <c r="AA27" s="35">
        <f>'Assumption for Botlling Plant'!$F$88</f>
        <v>15</v>
      </c>
      <c r="AB27" s="35">
        <f>'Assumption for Botlling Plant'!$F$88</f>
        <v>15</v>
      </c>
    </row>
    <row r="28" spans="1:29" x14ac:dyDescent="0.35">
      <c r="B28" s="55" t="s">
        <v>237</v>
      </c>
      <c r="C28" s="2" t="s">
        <v>93</v>
      </c>
      <c r="D28" s="35">
        <f>D27*D20</f>
        <v>225</v>
      </c>
      <c r="E28" s="35">
        <f t="shared" ref="E28:AB28" si="2">E27*E20</f>
        <v>225</v>
      </c>
      <c r="F28" s="35">
        <f t="shared" si="2"/>
        <v>225</v>
      </c>
      <c r="G28" s="35">
        <f t="shared" si="2"/>
        <v>225</v>
      </c>
      <c r="H28" s="35">
        <f t="shared" si="2"/>
        <v>225</v>
      </c>
      <c r="I28" s="35">
        <f t="shared" si="2"/>
        <v>225</v>
      </c>
      <c r="J28" s="35">
        <f t="shared" si="2"/>
        <v>225</v>
      </c>
      <c r="K28" s="35">
        <f t="shared" si="2"/>
        <v>225</v>
      </c>
      <c r="L28" s="35">
        <f t="shared" si="2"/>
        <v>225</v>
      </c>
      <c r="M28" s="35">
        <f t="shared" si="2"/>
        <v>225</v>
      </c>
      <c r="N28" s="35">
        <f t="shared" si="2"/>
        <v>225</v>
      </c>
      <c r="O28" s="35">
        <f t="shared" si="2"/>
        <v>225</v>
      </c>
      <c r="P28" s="35">
        <f t="shared" si="2"/>
        <v>225</v>
      </c>
      <c r="Q28" s="35">
        <f t="shared" si="2"/>
        <v>225</v>
      </c>
      <c r="R28" s="35">
        <f t="shared" si="2"/>
        <v>225</v>
      </c>
      <c r="S28" s="35">
        <f t="shared" si="2"/>
        <v>225</v>
      </c>
      <c r="T28" s="35">
        <f t="shared" si="2"/>
        <v>225</v>
      </c>
      <c r="U28" s="35">
        <f t="shared" si="2"/>
        <v>225</v>
      </c>
      <c r="V28" s="35">
        <f t="shared" si="2"/>
        <v>225</v>
      </c>
      <c r="W28" s="35">
        <f t="shared" si="2"/>
        <v>225</v>
      </c>
      <c r="X28" s="35">
        <f t="shared" si="2"/>
        <v>225</v>
      </c>
      <c r="Y28" s="35">
        <f t="shared" si="2"/>
        <v>225</v>
      </c>
      <c r="Z28" s="35">
        <f t="shared" si="2"/>
        <v>225</v>
      </c>
      <c r="AA28" s="35">
        <f t="shared" si="2"/>
        <v>225</v>
      </c>
      <c r="AB28" s="35">
        <f t="shared" si="2"/>
        <v>225</v>
      </c>
    </row>
    <row r="29" spans="1:29" ht="15" thickBot="1" x14ac:dyDescent="0.4">
      <c r="B29" s="63" t="s">
        <v>77</v>
      </c>
      <c r="C29" s="64"/>
      <c r="D29" s="65">
        <f>D28</f>
        <v>225</v>
      </c>
      <c r="E29" s="65">
        <f t="shared" ref="E29:AB29" si="3">E28</f>
        <v>225</v>
      </c>
      <c r="F29" s="65">
        <f t="shared" si="3"/>
        <v>225</v>
      </c>
      <c r="G29" s="65">
        <f t="shared" si="3"/>
        <v>225</v>
      </c>
      <c r="H29" s="65">
        <f t="shared" si="3"/>
        <v>225</v>
      </c>
      <c r="I29" s="65">
        <f t="shared" si="3"/>
        <v>225</v>
      </c>
      <c r="J29" s="65">
        <f t="shared" si="3"/>
        <v>225</v>
      </c>
      <c r="K29" s="65">
        <f t="shared" si="3"/>
        <v>225</v>
      </c>
      <c r="L29" s="65">
        <f t="shared" si="3"/>
        <v>225</v>
      </c>
      <c r="M29" s="65">
        <f t="shared" si="3"/>
        <v>225</v>
      </c>
      <c r="N29" s="65">
        <f t="shared" si="3"/>
        <v>225</v>
      </c>
      <c r="O29" s="65">
        <f t="shared" si="3"/>
        <v>225</v>
      </c>
      <c r="P29" s="65">
        <f t="shared" si="3"/>
        <v>225</v>
      </c>
      <c r="Q29" s="65">
        <f t="shared" si="3"/>
        <v>225</v>
      </c>
      <c r="R29" s="65">
        <f t="shared" si="3"/>
        <v>225</v>
      </c>
      <c r="S29" s="65">
        <f t="shared" si="3"/>
        <v>225</v>
      </c>
      <c r="T29" s="65">
        <f t="shared" si="3"/>
        <v>225</v>
      </c>
      <c r="U29" s="65">
        <f t="shared" si="3"/>
        <v>225</v>
      </c>
      <c r="V29" s="65">
        <f t="shared" si="3"/>
        <v>225</v>
      </c>
      <c r="W29" s="65">
        <f t="shared" si="3"/>
        <v>225</v>
      </c>
      <c r="X29" s="65">
        <f t="shared" si="3"/>
        <v>225</v>
      </c>
      <c r="Y29" s="65">
        <f t="shared" si="3"/>
        <v>225</v>
      </c>
      <c r="Z29" s="65">
        <f t="shared" si="3"/>
        <v>225</v>
      </c>
      <c r="AA29" s="65">
        <f t="shared" si="3"/>
        <v>225</v>
      </c>
      <c r="AB29" s="66">
        <f t="shared" si="3"/>
        <v>225</v>
      </c>
    </row>
    <row r="30" spans="1:29" x14ac:dyDescent="0.35">
      <c r="B30" s="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49"/>
    </row>
    <row r="31" spans="1:29" ht="15" thickBot="1" x14ac:dyDescent="0.4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9" x14ac:dyDescent="0.35">
      <c r="A32" s="85" t="s">
        <v>110</v>
      </c>
      <c r="B32" s="39" t="s">
        <v>78</v>
      </c>
      <c r="C32" s="8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5"/>
    </row>
    <row r="33" spans="1:28" x14ac:dyDescent="0.35">
      <c r="B33" s="43" t="s">
        <v>48</v>
      </c>
      <c r="C33" s="38"/>
      <c r="D33" s="46">
        <v>1</v>
      </c>
      <c r="E33" s="46">
        <v>2</v>
      </c>
      <c r="F33" s="46">
        <v>3</v>
      </c>
      <c r="G33" s="46">
        <v>4</v>
      </c>
      <c r="H33" s="46">
        <v>5</v>
      </c>
      <c r="I33" s="46">
        <v>6</v>
      </c>
      <c r="J33" s="46">
        <v>7</v>
      </c>
      <c r="K33" s="46">
        <v>8</v>
      </c>
      <c r="L33" s="46">
        <v>9</v>
      </c>
      <c r="M33" s="46">
        <v>10</v>
      </c>
      <c r="N33" s="46">
        <v>11</v>
      </c>
      <c r="O33" s="46">
        <v>12</v>
      </c>
      <c r="P33" s="46">
        <v>13</v>
      </c>
      <c r="Q33" s="46">
        <v>14</v>
      </c>
      <c r="R33" s="46">
        <v>15</v>
      </c>
      <c r="S33" s="46">
        <v>16</v>
      </c>
      <c r="T33" s="46">
        <v>17</v>
      </c>
      <c r="U33" s="46">
        <v>18</v>
      </c>
      <c r="V33" s="46">
        <v>19</v>
      </c>
      <c r="W33" s="46">
        <v>20</v>
      </c>
      <c r="X33" s="46">
        <v>21</v>
      </c>
      <c r="Y33" s="46">
        <v>22</v>
      </c>
      <c r="Z33" s="46">
        <v>23</v>
      </c>
      <c r="AA33" s="46">
        <v>24</v>
      </c>
      <c r="AB33" s="47">
        <v>25</v>
      </c>
    </row>
    <row r="34" spans="1:28" x14ac:dyDescent="0.35">
      <c r="B34" s="20" t="str">
        <f>Determination_of_Cost!A13</f>
        <v>Raw Material</v>
      </c>
      <c r="C34" s="2" t="s">
        <v>93</v>
      </c>
      <c r="D34" s="35">
        <f>Determination_of_Cost!D13</f>
        <v>26.700000000000003</v>
      </c>
      <c r="E34" s="35">
        <f>Determination_of_Cost!E13</f>
        <v>26.700000000000003</v>
      </c>
      <c r="F34" s="35">
        <f>Determination_of_Cost!F13</f>
        <v>26.700000000000003</v>
      </c>
      <c r="G34" s="35">
        <f>Determination_of_Cost!G13</f>
        <v>26.700000000000003</v>
      </c>
      <c r="H34" s="35">
        <f>Determination_of_Cost!H13</f>
        <v>26.700000000000003</v>
      </c>
      <c r="I34" s="35">
        <f>Determination_of_Cost!I13</f>
        <v>26.700000000000003</v>
      </c>
      <c r="J34" s="35">
        <f>Determination_of_Cost!J13</f>
        <v>26.700000000000003</v>
      </c>
      <c r="K34" s="35">
        <f>Determination_of_Cost!K13</f>
        <v>26.700000000000003</v>
      </c>
      <c r="L34" s="35">
        <f>Determination_of_Cost!L13</f>
        <v>26.700000000000003</v>
      </c>
      <c r="M34" s="35">
        <f>Determination_of_Cost!M13</f>
        <v>26.700000000000003</v>
      </c>
      <c r="N34" s="35">
        <f>Determination_of_Cost!N13</f>
        <v>26.700000000000003</v>
      </c>
      <c r="O34" s="35">
        <f>Determination_of_Cost!O13</f>
        <v>26.700000000000003</v>
      </c>
      <c r="P34" s="35">
        <f>Determination_of_Cost!P13</f>
        <v>26.700000000000003</v>
      </c>
      <c r="Q34" s="35">
        <f>Determination_of_Cost!Q13</f>
        <v>26.700000000000003</v>
      </c>
      <c r="R34" s="35">
        <f>Determination_of_Cost!R13</f>
        <v>26.700000000000003</v>
      </c>
      <c r="S34" s="35">
        <f>Determination_of_Cost!S13</f>
        <v>26.700000000000003</v>
      </c>
      <c r="T34" s="35">
        <f>Determination_of_Cost!T13</f>
        <v>26.700000000000003</v>
      </c>
      <c r="U34" s="35">
        <f>Determination_of_Cost!U13</f>
        <v>26.700000000000003</v>
      </c>
      <c r="V34" s="35">
        <f>Determination_of_Cost!V13</f>
        <v>26.700000000000003</v>
      </c>
      <c r="W34" s="35">
        <f>Determination_of_Cost!W13</f>
        <v>26.700000000000003</v>
      </c>
      <c r="X34" s="35">
        <f>Determination_of_Cost!X13</f>
        <v>26.700000000000003</v>
      </c>
      <c r="Y34" s="35">
        <f>Determination_of_Cost!Y13</f>
        <v>26.700000000000003</v>
      </c>
      <c r="Z34" s="35">
        <f>Determination_of_Cost!Z13</f>
        <v>26.700000000000003</v>
      </c>
      <c r="AA34" s="35">
        <f>Determination_of_Cost!AA13</f>
        <v>26.700000000000003</v>
      </c>
      <c r="AB34" s="35">
        <f>Determination_of_Cost!AB13</f>
        <v>26.700000000000003</v>
      </c>
    </row>
    <row r="35" spans="1:28" x14ac:dyDescent="0.35">
      <c r="B35" s="20" t="str">
        <f>Determination_of_Cost!A14</f>
        <v>Salary and Wages</v>
      </c>
      <c r="C35" s="2" t="s">
        <v>93</v>
      </c>
      <c r="D35" s="35">
        <f>Determination_of_Cost!D14</f>
        <v>5.46</v>
      </c>
      <c r="E35" s="35">
        <f>Determination_of_Cost!E14</f>
        <v>5.46</v>
      </c>
      <c r="F35" s="35">
        <f>Determination_of_Cost!F14</f>
        <v>5.46</v>
      </c>
      <c r="G35" s="35">
        <f>Determination_of_Cost!G14</f>
        <v>5.46</v>
      </c>
      <c r="H35" s="35">
        <f>Determination_of_Cost!H14</f>
        <v>5.46</v>
      </c>
      <c r="I35" s="35">
        <f>Determination_of_Cost!I14</f>
        <v>5.46</v>
      </c>
      <c r="J35" s="35">
        <f>Determination_of_Cost!J14</f>
        <v>5.46</v>
      </c>
      <c r="K35" s="35">
        <f>Determination_of_Cost!K14</f>
        <v>5.46</v>
      </c>
      <c r="L35" s="35">
        <f>Determination_of_Cost!L14</f>
        <v>5.46</v>
      </c>
      <c r="M35" s="35">
        <f>Determination_of_Cost!M14</f>
        <v>5.46</v>
      </c>
      <c r="N35" s="35">
        <f>Determination_of_Cost!N14</f>
        <v>5.46</v>
      </c>
      <c r="O35" s="35">
        <f>Determination_of_Cost!O14</f>
        <v>5.46</v>
      </c>
      <c r="P35" s="35">
        <f>Determination_of_Cost!P14</f>
        <v>5.46</v>
      </c>
      <c r="Q35" s="35">
        <f>Determination_of_Cost!Q14</f>
        <v>5.46</v>
      </c>
      <c r="R35" s="35">
        <f>Determination_of_Cost!R14</f>
        <v>5.46</v>
      </c>
      <c r="S35" s="35">
        <f>Determination_of_Cost!S14</f>
        <v>5.46</v>
      </c>
      <c r="T35" s="35">
        <f>Determination_of_Cost!T14</f>
        <v>5.46</v>
      </c>
      <c r="U35" s="35">
        <f>Determination_of_Cost!U14</f>
        <v>5.46</v>
      </c>
      <c r="V35" s="35">
        <f>Determination_of_Cost!V14</f>
        <v>5.46</v>
      </c>
      <c r="W35" s="35">
        <f>Determination_of_Cost!W14</f>
        <v>5.46</v>
      </c>
      <c r="X35" s="35">
        <f>Determination_of_Cost!X14</f>
        <v>5.46</v>
      </c>
      <c r="Y35" s="35">
        <f>Determination_of_Cost!Y14</f>
        <v>5.46</v>
      </c>
      <c r="Z35" s="35">
        <f>Determination_of_Cost!Z14</f>
        <v>5.46</v>
      </c>
      <c r="AA35" s="35">
        <f>Determination_of_Cost!AA14</f>
        <v>5.46</v>
      </c>
      <c r="AB35" s="35">
        <f>Determination_of_Cost!AB14</f>
        <v>5.46</v>
      </c>
    </row>
    <row r="36" spans="1:28" x14ac:dyDescent="0.35">
      <c r="B36" s="20" t="str">
        <f>Determination_of_Cost!A15</f>
        <v>Utilities</v>
      </c>
      <c r="C36" s="2" t="s">
        <v>93</v>
      </c>
      <c r="D36" s="35">
        <f>Determination_of_Cost!D15</f>
        <v>25.5</v>
      </c>
      <c r="E36" s="35">
        <f>Determination_of_Cost!E15</f>
        <v>25.5</v>
      </c>
      <c r="F36" s="35">
        <f>Determination_of_Cost!F15</f>
        <v>25.5</v>
      </c>
      <c r="G36" s="35">
        <f>Determination_of_Cost!G15</f>
        <v>25.5</v>
      </c>
      <c r="H36" s="35">
        <f>Determination_of_Cost!H15</f>
        <v>25.5</v>
      </c>
      <c r="I36" s="35">
        <f>Determination_of_Cost!I15</f>
        <v>25.5</v>
      </c>
      <c r="J36" s="35">
        <f>Determination_of_Cost!J15</f>
        <v>25.5</v>
      </c>
      <c r="K36" s="35">
        <f>Determination_of_Cost!K15</f>
        <v>25.5</v>
      </c>
      <c r="L36" s="35">
        <f>Determination_of_Cost!L15</f>
        <v>25.5</v>
      </c>
      <c r="M36" s="35">
        <f>Determination_of_Cost!M15</f>
        <v>25.5</v>
      </c>
      <c r="N36" s="35">
        <f>Determination_of_Cost!N15</f>
        <v>25.5</v>
      </c>
      <c r="O36" s="35">
        <f>Determination_of_Cost!O15</f>
        <v>25.5</v>
      </c>
      <c r="P36" s="35">
        <f>Determination_of_Cost!P15</f>
        <v>25.5</v>
      </c>
      <c r="Q36" s="35">
        <f>Determination_of_Cost!Q15</f>
        <v>25.5</v>
      </c>
      <c r="R36" s="35">
        <f>Determination_of_Cost!R15</f>
        <v>25.5</v>
      </c>
      <c r="S36" s="35">
        <f>Determination_of_Cost!S15</f>
        <v>25.5</v>
      </c>
      <c r="T36" s="35">
        <f>Determination_of_Cost!T15</f>
        <v>25.5</v>
      </c>
      <c r="U36" s="35">
        <f>Determination_of_Cost!U15</f>
        <v>25.5</v>
      </c>
      <c r="V36" s="35">
        <f>Determination_of_Cost!V15</f>
        <v>25.5</v>
      </c>
      <c r="W36" s="35">
        <f>Determination_of_Cost!W15</f>
        <v>25.5</v>
      </c>
      <c r="X36" s="35">
        <f>Determination_of_Cost!X15</f>
        <v>25.5</v>
      </c>
      <c r="Y36" s="35">
        <f>Determination_of_Cost!Y15</f>
        <v>25.5</v>
      </c>
      <c r="Z36" s="35">
        <f>Determination_of_Cost!Z15</f>
        <v>25.5</v>
      </c>
      <c r="AA36" s="35">
        <f>Determination_of_Cost!AA15</f>
        <v>25.5</v>
      </c>
      <c r="AB36" s="35">
        <f>Determination_of_Cost!AB15</f>
        <v>25.5</v>
      </c>
    </row>
    <row r="37" spans="1:28" x14ac:dyDescent="0.35">
      <c r="B37" s="20" t="str">
        <f>Determination_of_Cost!A16</f>
        <v>Other Contingent Expenses (Recurring Expenses)</v>
      </c>
      <c r="C37" s="2" t="s">
        <v>93</v>
      </c>
      <c r="D37" s="35">
        <f>Determination_of_Cost!D16</f>
        <v>3.4649999999999999</v>
      </c>
      <c r="E37" s="35">
        <f>Determination_of_Cost!E16</f>
        <v>3.4649999999999999</v>
      </c>
      <c r="F37" s="35">
        <f>Determination_of_Cost!F16</f>
        <v>3.4649999999999999</v>
      </c>
      <c r="G37" s="35">
        <f>Determination_of_Cost!G16</f>
        <v>3.4649999999999999</v>
      </c>
      <c r="H37" s="35">
        <f>Determination_of_Cost!H16</f>
        <v>3.4649999999999999</v>
      </c>
      <c r="I37" s="35">
        <f>Determination_of_Cost!I16</f>
        <v>3.4649999999999999</v>
      </c>
      <c r="J37" s="35">
        <f>Determination_of_Cost!J16</f>
        <v>3.4649999999999999</v>
      </c>
      <c r="K37" s="35">
        <f>Determination_of_Cost!K16</f>
        <v>3.4649999999999999</v>
      </c>
      <c r="L37" s="35">
        <f>Determination_of_Cost!L16</f>
        <v>3.4649999999999999</v>
      </c>
      <c r="M37" s="35">
        <f>Determination_of_Cost!M16</f>
        <v>3.4649999999999999</v>
      </c>
      <c r="N37" s="35">
        <f>Determination_of_Cost!N16</f>
        <v>3.4649999999999999</v>
      </c>
      <c r="O37" s="35">
        <f>Determination_of_Cost!O16</f>
        <v>3.4649999999999999</v>
      </c>
      <c r="P37" s="35">
        <f>Determination_of_Cost!P16</f>
        <v>3.4649999999999999</v>
      </c>
      <c r="Q37" s="35">
        <f>Determination_of_Cost!Q16</f>
        <v>3.4649999999999999</v>
      </c>
      <c r="R37" s="35">
        <f>Determination_of_Cost!R16</f>
        <v>3.4649999999999999</v>
      </c>
      <c r="S37" s="35">
        <f>Determination_of_Cost!S16</f>
        <v>3.4649999999999999</v>
      </c>
      <c r="T37" s="35">
        <f>Determination_of_Cost!T16</f>
        <v>3.4649999999999999</v>
      </c>
      <c r="U37" s="35">
        <f>Determination_of_Cost!U16</f>
        <v>3.4649999999999999</v>
      </c>
      <c r="V37" s="35">
        <f>Determination_of_Cost!V16</f>
        <v>3.4649999999999999</v>
      </c>
      <c r="W37" s="35">
        <f>Determination_of_Cost!W16</f>
        <v>3.4649999999999999</v>
      </c>
      <c r="X37" s="35">
        <f>Determination_of_Cost!X16</f>
        <v>3.4649999999999999</v>
      </c>
      <c r="Y37" s="35">
        <f>Determination_of_Cost!Y16</f>
        <v>3.4649999999999999</v>
      </c>
      <c r="Z37" s="35">
        <f>Determination_of_Cost!Z16</f>
        <v>3.4649999999999999</v>
      </c>
      <c r="AA37" s="35">
        <f>Determination_of_Cost!AA16</f>
        <v>3.4649999999999999</v>
      </c>
      <c r="AB37" s="35">
        <f>Determination_of_Cost!AB16</f>
        <v>3.4649999999999999</v>
      </c>
    </row>
    <row r="38" spans="1:28" x14ac:dyDescent="0.35">
      <c r="B38" s="70" t="str">
        <f>Determination_of_Cost!A17</f>
        <v>Insurance (/Year)</v>
      </c>
      <c r="C38" s="2" t="s">
        <v>93</v>
      </c>
      <c r="D38" s="35">
        <f>Determination_of_Cost!D17</f>
        <v>0.16479750000000001</v>
      </c>
      <c r="E38" s="35">
        <f>Determination_of_Cost!E17</f>
        <v>0.15459500000000001</v>
      </c>
      <c r="F38" s="35">
        <f>Determination_of_Cost!F17</f>
        <v>0.14439250000000001</v>
      </c>
      <c r="G38" s="35">
        <f>Determination_of_Cost!G17</f>
        <v>0.13419</v>
      </c>
      <c r="H38" s="35">
        <f>Determination_of_Cost!H17</f>
        <v>0.12398750000000001</v>
      </c>
      <c r="I38" s="35">
        <f>Determination_of_Cost!I17</f>
        <v>0.11378500000000003</v>
      </c>
      <c r="J38" s="35">
        <f>Determination_of_Cost!J17</f>
        <v>0.10358250000000002</v>
      </c>
      <c r="K38" s="35">
        <f>Determination_of_Cost!K17</f>
        <v>9.3380000000000032E-2</v>
      </c>
      <c r="L38" s="35">
        <f>Determination_of_Cost!L17</f>
        <v>8.3177500000000029E-2</v>
      </c>
      <c r="M38" s="35">
        <f>Determination_of_Cost!M17</f>
        <v>7.2975000000000026E-2</v>
      </c>
      <c r="N38" s="35">
        <f>Determination_of_Cost!N17</f>
        <v>6.2772500000000037E-2</v>
      </c>
      <c r="O38" s="35">
        <f>Determination_of_Cost!O17</f>
        <v>5.257000000000004E-2</v>
      </c>
      <c r="P38" s="35">
        <f>Determination_of_Cost!P17</f>
        <v>4.2367500000000037E-2</v>
      </c>
      <c r="Q38" s="35">
        <f>Determination_of_Cost!Q17</f>
        <v>4.0295208333333374E-2</v>
      </c>
      <c r="R38" s="35">
        <f>Determination_of_Cost!R17</f>
        <v>3.8222916666666711E-2</v>
      </c>
      <c r="S38" s="35">
        <f>Determination_of_Cost!S17</f>
        <v>3.615062500000004E-2</v>
      </c>
      <c r="T38" s="35">
        <f>Determination_of_Cost!T17</f>
        <v>3.4078333333333377E-2</v>
      </c>
      <c r="U38" s="35">
        <f>Determination_of_Cost!U17</f>
        <v>3.2006041666666714E-2</v>
      </c>
      <c r="V38" s="35">
        <f>Determination_of_Cost!V17</f>
        <v>2.9933750000000044E-2</v>
      </c>
      <c r="W38" s="35">
        <f>Determination_of_Cost!W17</f>
        <v>2.786145833333338E-2</v>
      </c>
      <c r="X38" s="35">
        <f>Determination_of_Cost!X17</f>
        <v>2.5789166666666714E-2</v>
      </c>
      <c r="Y38" s="35">
        <f>Determination_of_Cost!Y17</f>
        <v>2.3716875000000047E-2</v>
      </c>
      <c r="Z38" s="35">
        <f>Determination_of_Cost!Z17</f>
        <v>2.164458333333338E-2</v>
      </c>
      <c r="AA38" s="35">
        <f>Determination_of_Cost!AA17</f>
        <v>1.9572291666666717E-2</v>
      </c>
      <c r="AB38" s="35">
        <f>Determination_of_Cost!AB17</f>
        <v>1.750000000000005E-2</v>
      </c>
    </row>
    <row r="39" spans="1:28" x14ac:dyDescent="0.35">
      <c r="B39" s="70" t="str">
        <f>Determination_of_Cost!A18</f>
        <v>Land Lease/Year</v>
      </c>
      <c r="C39" s="2" t="s">
        <v>93</v>
      </c>
      <c r="D39" s="35">
        <f>Determination_of_Cost!D18</f>
        <v>0</v>
      </c>
      <c r="E39" s="35">
        <f>Determination_of_Cost!E18</f>
        <v>0</v>
      </c>
      <c r="F39" s="35">
        <f>Determination_of_Cost!F18</f>
        <v>0</v>
      </c>
      <c r="G39" s="35">
        <f>Determination_of_Cost!G18</f>
        <v>0</v>
      </c>
      <c r="H39" s="35">
        <f>Determination_of_Cost!H18</f>
        <v>0</v>
      </c>
      <c r="I39" s="35">
        <f>Determination_of_Cost!I18</f>
        <v>0</v>
      </c>
      <c r="J39" s="35">
        <f>Determination_of_Cost!J18</f>
        <v>0</v>
      </c>
      <c r="K39" s="35">
        <f>Determination_of_Cost!K18</f>
        <v>0</v>
      </c>
      <c r="L39" s="35">
        <f>Determination_of_Cost!L18</f>
        <v>0</v>
      </c>
      <c r="M39" s="35">
        <f>Determination_of_Cost!M18</f>
        <v>0</v>
      </c>
      <c r="N39" s="35">
        <f>Determination_of_Cost!N18</f>
        <v>0</v>
      </c>
      <c r="O39" s="35">
        <f>Determination_of_Cost!O18</f>
        <v>0</v>
      </c>
      <c r="P39" s="35">
        <f>Determination_of_Cost!P18</f>
        <v>0</v>
      </c>
      <c r="Q39" s="35">
        <f>Determination_of_Cost!Q18</f>
        <v>0</v>
      </c>
      <c r="R39" s="35">
        <f>Determination_of_Cost!R18</f>
        <v>0</v>
      </c>
      <c r="S39" s="35">
        <f>Determination_of_Cost!S18</f>
        <v>0</v>
      </c>
      <c r="T39" s="35">
        <f>Determination_of_Cost!T18</f>
        <v>0</v>
      </c>
      <c r="U39" s="35">
        <f>Determination_of_Cost!U18</f>
        <v>0</v>
      </c>
      <c r="V39" s="35">
        <f>Determination_of_Cost!V18</f>
        <v>0</v>
      </c>
      <c r="W39" s="35">
        <f>Determination_of_Cost!W18</f>
        <v>0</v>
      </c>
      <c r="X39" s="35">
        <f>Determination_of_Cost!X18</f>
        <v>0</v>
      </c>
      <c r="Y39" s="35">
        <f>Determination_of_Cost!Y18</f>
        <v>0</v>
      </c>
      <c r="Z39" s="35">
        <f>Determination_of_Cost!Z18</f>
        <v>0</v>
      </c>
      <c r="AA39" s="35">
        <f>Determination_of_Cost!AA18</f>
        <v>0</v>
      </c>
      <c r="AB39" s="35">
        <f>Determination_of_Cost!AB18</f>
        <v>0</v>
      </c>
    </row>
    <row r="40" spans="1:28" ht="15" thickBot="1" x14ac:dyDescent="0.4">
      <c r="B40" s="60" t="s">
        <v>159</v>
      </c>
      <c r="C40" s="61" t="s">
        <v>93</v>
      </c>
      <c r="D40" s="62">
        <f t="shared" ref="D40:AB40" si="4">SUM(D34:D39)</f>
        <v>61.289797499999999</v>
      </c>
      <c r="E40" s="62">
        <f t="shared" si="4"/>
        <v>61.279595</v>
      </c>
      <c r="F40" s="62">
        <f t="shared" si="4"/>
        <v>61.269392500000002</v>
      </c>
      <c r="G40" s="62">
        <f t="shared" si="4"/>
        <v>61.259189999999997</v>
      </c>
      <c r="H40" s="62">
        <f t="shared" si="4"/>
        <v>61.248987499999998</v>
      </c>
      <c r="I40" s="62">
        <f t="shared" si="4"/>
        <v>61.238785</v>
      </c>
      <c r="J40" s="62">
        <f t="shared" si="4"/>
        <v>61.228582500000002</v>
      </c>
      <c r="K40" s="62">
        <f t="shared" si="4"/>
        <v>61.218380000000003</v>
      </c>
      <c r="L40" s="62">
        <f t="shared" si="4"/>
        <v>61.208177499999998</v>
      </c>
      <c r="M40" s="62">
        <f t="shared" si="4"/>
        <v>61.197975</v>
      </c>
      <c r="N40" s="62">
        <f t="shared" si="4"/>
        <v>61.187772500000001</v>
      </c>
      <c r="O40" s="62">
        <f t="shared" si="4"/>
        <v>61.177570000000003</v>
      </c>
      <c r="P40" s="62">
        <f t="shared" si="4"/>
        <v>61.167367499999997</v>
      </c>
      <c r="Q40" s="62">
        <f t="shared" si="4"/>
        <v>61.165295208333333</v>
      </c>
      <c r="R40" s="62">
        <f t="shared" si="4"/>
        <v>61.163222916666669</v>
      </c>
      <c r="S40" s="62">
        <f t="shared" si="4"/>
        <v>61.161150624999998</v>
      </c>
      <c r="T40" s="62">
        <f t="shared" si="4"/>
        <v>61.159078333333333</v>
      </c>
      <c r="U40" s="62">
        <f t="shared" si="4"/>
        <v>61.157006041666669</v>
      </c>
      <c r="V40" s="62">
        <f t="shared" si="4"/>
        <v>61.154933749999998</v>
      </c>
      <c r="W40" s="62">
        <f t="shared" si="4"/>
        <v>61.152861458333334</v>
      </c>
      <c r="X40" s="62">
        <f t="shared" si="4"/>
        <v>61.150789166666669</v>
      </c>
      <c r="Y40" s="62">
        <f t="shared" si="4"/>
        <v>61.148716874999998</v>
      </c>
      <c r="Z40" s="62">
        <f t="shared" si="4"/>
        <v>61.146644583333334</v>
      </c>
      <c r="AA40" s="62">
        <f t="shared" si="4"/>
        <v>61.14457229166667</v>
      </c>
      <c r="AB40" s="62">
        <f t="shared" si="4"/>
        <v>61.142499999999998</v>
      </c>
    </row>
    <row r="41" spans="1:28" ht="15" thickBot="1" x14ac:dyDescent="0.4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35">
      <c r="A42" s="85" t="s">
        <v>156</v>
      </c>
      <c r="B42" s="220" t="s">
        <v>163</v>
      </c>
      <c r="C42" s="8"/>
      <c r="D42" s="44">
        <f t="shared" ref="D42:AB42" si="5">D25-D$40</f>
        <v>14.722262340384624</v>
      </c>
      <c r="E42" s="44">
        <f t="shared" si="5"/>
        <v>14.451909296153843</v>
      </c>
      <c r="F42" s="44">
        <f t="shared" si="5"/>
        <v>14.181556251923077</v>
      </c>
      <c r="G42" s="44">
        <f t="shared" si="5"/>
        <v>13.911203207692331</v>
      </c>
      <c r="H42" s="44">
        <f t="shared" si="5"/>
        <v>13.64085016346155</v>
      </c>
      <c r="I42" s="44">
        <f t="shared" si="5"/>
        <v>13.370497119230784</v>
      </c>
      <c r="J42" s="44">
        <f t="shared" si="5"/>
        <v>13.100144075000003</v>
      </c>
      <c r="K42" s="44">
        <f t="shared" si="5"/>
        <v>12.829791030769222</v>
      </c>
      <c r="L42" s="44">
        <f t="shared" si="5"/>
        <v>12.559437986538477</v>
      </c>
      <c r="M42" s="44">
        <f t="shared" si="5"/>
        <v>12.28908494230771</v>
      </c>
      <c r="N42" s="44">
        <f t="shared" si="5"/>
        <v>12.518731898076929</v>
      </c>
      <c r="O42" s="44">
        <f t="shared" si="5"/>
        <v>12.248378853846162</v>
      </c>
      <c r="P42" s="44">
        <f t="shared" si="5"/>
        <v>11.978025809615389</v>
      </c>
      <c r="Q42" s="44">
        <f t="shared" si="5"/>
        <v>9.5202658062500092</v>
      </c>
      <c r="R42" s="44">
        <f t="shared" si="5"/>
        <v>9.5200378541666737</v>
      </c>
      <c r="S42" s="44">
        <f t="shared" si="5"/>
        <v>9.5198099020833453</v>
      </c>
      <c r="T42" s="44">
        <f t="shared" si="5"/>
        <v>9.5195819499999956</v>
      </c>
      <c r="U42" s="44">
        <f t="shared" si="5"/>
        <v>9.5193539979166744</v>
      </c>
      <c r="V42" s="44">
        <f t="shared" si="5"/>
        <v>9.5191260458333318</v>
      </c>
      <c r="W42" s="44">
        <f t="shared" si="5"/>
        <v>9.5188980937500105</v>
      </c>
      <c r="X42" s="44">
        <f t="shared" si="5"/>
        <v>9.518670141666675</v>
      </c>
      <c r="Y42" s="44">
        <f t="shared" si="5"/>
        <v>9.5184421895833466</v>
      </c>
      <c r="Z42" s="44">
        <f t="shared" si="5"/>
        <v>9.5182142375000112</v>
      </c>
      <c r="AA42" s="44">
        <f t="shared" si="5"/>
        <v>9.5179862854166615</v>
      </c>
      <c r="AB42" s="44">
        <f t="shared" si="5"/>
        <v>9.5177583333333473</v>
      </c>
    </row>
    <row r="43" spans="1:28" ht="15" thickBot="1" x14ac:dyDescent="0.4">
      <c r="A43" s="216"/>
      <c r="B43" s="29"/>
      <c r="C43" s="31"/>
      <c r="D43" s="41">
        <f t="shared" ref="D43:AB43" si="6">D29-D$40</f>
        <v>163.71020250000001</v>
      </c>
      <c r="E43" s="41">
        <f t="shared" si="6"/>
        <v>163.720405</v>
      </c>
      <c r="F43" s="41">
        <f t="shared" si="6"/>
        <v>163.73060749999999</v>
      </c>
      <c r="G43" s="41">
        <f t="shared" si="6"/>
        <v>163.74081000000001</v>
      </c>
      <c r="H43" s="41">
        <f t="shared" si="6"/>
        <v>163.7510125</v>
      </c>
      <c r="I43" s="41">
        <f t="shared" si="6"/>
        <v>163.76121499999999</v>
      </c>
      <c r="J43" s="41">
        <f t="shared" si="6"/>
        <v>163.77141749999998</v>
      </c>
      <c r="K43" s="41">
        <f t="shared" si="6"/>
        <v>163.78162</v>
      </c>
      <c r="L43" s="41">
        <f t="shared" si="6"/>
        <v>163.79182249999999</v>
      </c>
      <c r="M43" s="41">
        <f t="shared" si="6"/>
        <v>163.80202500000001</v>
      </c>
      <c r="N43" s="41">
        <f t="shared" si="6"/>
        <v>163.81222750000001</v>
      </c>
      <c r="O43" s="41">
        <f t="shared" si="6"/>
        <v>163.82243</v>
      </c>
      <c r="P43" s="41">
        <f t="shared" si="6"/>
        <v>163.83263249999999</v>
      </c>
      <c r="Q43" s="41">
        <f t="shared" si="6"/>
        <v>163.83470479166667</v>
      </c>
      <c r="R43" s="41">
        <f t="shared" si="6"/>
        <v>163.83677708333335</v>
      </c>
      <c r="S43" s="41">
        <f t="shared" si="6"/>
        <v>163.838849375</v>
      </c>
      <c r="T43" s="41">
        <f t="shared" si="6"/>
        <v>163.84092166666667</v>
      </c>
      <c r="U43" s="41">
        <f t="shared" si="6"/>
        <v>163.84299395833332</v>
      </c>
      <c r="V43" s="41">
        <f t="shared" si="6"/>
        <v>163.84506625</v>
      </c>
      <c r="W43" s="41">
        <f t="shared" si="6"/>
        <v>163.84713854166665</v>
      </c>
      <c r="X43" s="41">
        <f t="shared" si="6"/>
        <v>163.84921083333333</v>
      </c>
      <c r="Y43" s="41">
        <f t="shared" si="6"/>
        <v>163.85128312500001</v>
      </c>
      <c r="Z43" s="41">
        <f t="shared" si="6"/>
        <v>163.85335541666666</v>
      </c>
      <c r="AA43" s="41">
        <f t="shared" si="6"/>
        <v>163.85542770833334</v>
      </c>
      <c r="AB43" s="41">
        <f t="shared" si="6"/>
        <v>163.85750000000002</v>
      </c>
    </row>
    <row r="44" spans="1:28" ht="15" thickBot="1" x14ac:dyDescent="0.4">
      <c r="A44" s="2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5" thickBot="1" x14ac:dyDescent="0.4">
      <c r="A45" s="216"/>
      <c r="B45" s="221" t="s">
        <v>165</v>
      </c>
      <c r="C45" s="76"/>
      <c r="D45" s="214">
        <f>Determination_of_Cost!D59</f>
        <v>2.64</v>
      </c>
      <c r="E45" s="214">
        <f>Determination_of_Cost!E59</f>
        <v>2.64</v>
      </c>
      <c r="F45" s="214">
        <f>Determination_of_Cost!F59</f>
        <v>2.64</v>
      </c>
      <c r="G45" s="214">
        <f>Determination_of_Cost!G59</f>
        <v>2.64</v>
      </c>
      <c r="H45" s="214">
        <f>Determination_of_Cost!H59</f>
        <v>2.64</v>
      </c>
      <c r="I45" s="214">
        <f>Determination_of_Cost!I59</f>
        <v>2.64</v>
      </c>
      <c r="J45" s="214">
        <f>Determination_of_Cost!J59</f>
        <v>2.64</v>
      </c>
      <c r="K45" s="214">
        <f>Determination_of_Cost!K59</f>
        <v>2.64</v>
      </c>
      <c r="L45" s="214">
        <f>Determination_of_Cost!L59</f>
        <v>2.64</v>
      </c>
      <c r="M45" s="214">
        <f>Determination_of_Cost!M59</f>
        <v>2.64</v>
      </c>
      <c r="N45" s="214">
        <f>Determination_of_Cost!N59</f>
        <v>2.64</v>
      </c>
      <c r="O45" s="214">
        <f>Determination_of_Cost!O59</f>
        <v>2.64</v>
      </c>
      <c r="P45" s="214">
        <f>Determination_of_Cost!P59</f>
        <v>2.64</v>
      </c>
      <c r="Q45" s="214">
        <f>Determination_of_Cost!Q59</f>
        <v>2.64</v>
      </c>
      <c r="R45" s="214">
        <f>Determination_of_Cost!R59</f>
        <v>2.64</v>
      </c>
      <c r="S45" s="214">
        <f>Determination_of_Cost!S59</f>
        <v>2.64</v>
      </c>
      <c r="T45" s="214">
        <f>Determination_of_Cost!T59</f>
        <v>2.64</v>
      </c>
      <c r="U45" s="214">
        <f>Determination_of_Cost!U59</f>
        <v>1.44</v>
      </c>
      <c r="V45" s="214">
        <f>Determination_of_Cost!V59</f>
        <v>0</v>
      </c>
      <c r="W45" s="214">
        <f>Determination_of_Cost!W59</f>
        <v>0</v>
      </c>
      <c r="X45" s="214">
        <f>Determination_of_Cost!X59</f>
        <v>0</v>
      </c>
      <c r="Y45" s="214">
        <f>Determination_of_Cost!Y59</f>
        <v>0</v>
      </c>
      <c r="Z45" s="214">
        <f>Determination_of_Cost!Z59</f>
        <v>0</v>
      </c>
      <c r="AA45" s="214">
        <f>Determination_of_Cost!AA59</f>
        <v>0</v>
      </c>
      <c r="AB45" s="215">
        <f>Determination_of_Cost!AB59</f>
        <v>0</v>
      </c>
    </row>
    <row r="46" spans="1:28" ht="15" thickBot="1" x14ac:dyDescent="0.4">
      <c r="A46" s="216"/>
      <c r="B46" s="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35">
      <c r="A47" s="85" t="s">
        <v>157</v>
      </c>
      <c r="B47" s="220" t="s">
        <v>160</v>
      </c>
      <c r="C47" s="8"/>
      <c r="D47" s="44">
        <f t="shared" ref="D47:AB47" si="7">D42-D$45</f>
        <v>12.082262340384624</v>
      </c>
      <c r="E47" s="44">
        <f t="shared" si="7"/>
        <v>11.811909296153843</v>
      </c>
      <c r="F47" s="44">
        <f t="shared" si="7"/>
        <v>11.541556251923076</v>
      </c>
      <c r="G47" s="44">
        <f t="shared" si="7"/>
        <v>11.271203207692331</v>
      </c>
      <c r="H47" s="44">
        <f t="shared" si="7"/>
        <v>11.00085016346155</v>
      </c>
      <c r="I47" s="44">
        <f t="shared" si="7"/>
        <v>10.730497119230783</v>
      </c>
      <c r="J47" s="44">
        <f t="shared" si="7"/>
        <v>10.460144075000002</v>
      </c>
      <c r="K47" s="44">
        <f t="shared" si="7"/>
        <v>10.189791030769221</v>
      </c>
      <c r="L47" s="44">
        <f t="shared" si="7"/>
        <v>9.9194379865384761</v>
      </c>
      <c r="M47" s="44">
        <f t="shared" si="7"/>
        <v>9.6490849423077094</v>
      </c>
      <c r="N47" s="44">
        <f t="shared" si="7"/>
        <v>9.8787318980769285</v>
      </c>
      <c r="O47" s="44">
        <f t="shared" si="7"/>
        <v>9.6083788538461619</v>
      </c>
      <c r="P47" s="44">
        <f t="shared" si="7"/>
        <v>9.3380258096153881</v>
      </c>
      <c r="Q47" s="44">
        <f t="shared" si="7"/>
        <v>6.8802658062500086</v>
      </c>
      <c r="R47" s="44">
        <f t="shared" si="7"/>
        <v>6.8800378541666731</v>
      </c>
      <c r="S47" s="44">
        <f t="shared" si="7"/>
        <v>6.8798099020833448</v>
      </c>
      <c r="T47" s="44">
        <f t="shared" si="7"/>
        <v>6.8795819499999951</v>
      </c>
      <c r="U47" s="44">
        <f t="shared" si="7"/>
        <v>8.0793539979166749</v>
      </c>
      <c r="V47" s="44">
        <f t="shared" si="7"/>
        <v>9.5191260458333318</v>
      </c>
      <c r="W47" s="44">
        <f t="shared" si="7"/>
        <v>9.5188980937500105</v>
      </c>
      <c r="X47" s="44">
        <f t="shared" si="7"/>
        <v>9.518670141666675</v>
      </c>
      <c r="Y47" s="44">
        <f t="shared" si="7"/>
        <v>9.5184421895833466</v>
      </c>
      <c r="Z47" s="44">
        <f t="shared" si="7"/>
        <v>9.5182142375000112</v>
      </c>
      <c r="AA47" s="44">
        <f t="shared" si="7"/>
        <v>9.5179862854166615</v>
      </c>
      <c r="AB47" s="44">
        <f t="shared" si="7"/>
        <v>9.5177583333333473</v>
      </c>
    </row>
    <row r="48" spans="1:28" ht="15" thickBot="1" x14ac:dyDescent="0.4">
      <c r="A48" s="216"/>
      <c r="B48" s="29"/>
      <c r="C48" s="31"/>
      <c r="D48" s="213">
        <f t="shared" ref="D48:AB48" si="8">D43-D$45</f>
        <v>161.07020250000002</v>
      </c>
      <c r="E48" s="213">
        <f t="shared" si="8"/>
        <v>161.08040500000001</v>
      </c>
      <c r="F48" s="213">
        <f t="shared" si="8"/>
        <v>161.0906075</v>
      </c>
      <c r="G48" s="213">
        <f t="shared" si="8"/>
        <v>161.10081000000002</v>
      </c>
      <c r="H48" s="213">
        <f t="shared" si="8"/>
        <v>161.11101250000002</v>
      </c>
      <c r="I48" s="213">
        <f t="shared" si="8"/>
        <v>161.12121500000001</v>
      </c>
      <c r="J48" s="213">
        <f t="shared" si="8"/>
        <v>161.1314175</v>
      </c>
      <c r="K48" s="213">
        <f t="shared" si="8"/>
        <v>161.14162000000002</v>
      </c>
      <c r="L48" s="213">
        <f t="shared" si="8"/>
        <v>161.15182250000001</v>
      </c>
      <c r="M48" s="213">
        <f t="shared" si="8"/>
        <v>161.16202500000003</v>
      </c>
      <c r="N48" s="213">
        <f t="shared" si="8"/>
        <v>161.17222750000002</v>
      </c>
      <c r="O48" s="213">
        <f t="shared" si="8"/>
        <v>161.18243000000001</v>
      </c>
      <c r="P48" s="213">
        <f t="shared" si="8"/>
        <v>161.1926325</v>
      </c>
      <c r="Q48" s="213">
        <f t="shared" si="8"/>
        <v>161.19470479166668</v>
      </c>
      <c r="R48" s="213">
        <f t="shared" si="8"/>
        <v>161.19677708333336</v>
      </c>
      <c r="S48" s="213">
        <f t="shared" si="8"/>
        <v>161.19884937500001</v>
      </c>
      <c r="T48" s="213">
        <f t="shared" si="8"/>
        <v>161.20092166666669</v>
      </c>
      <c r="U48" s="213">
        <f t="shared" si="8"/>
        <v>162.40299395833333</v>
      </c>
      <c r="V48" s="213">
        <f t="shared" si="8"/>
        <v>163.84506625</v>
      </c>
      <c r="W48" s="213">
        <f t="shared" si="8"/>
        <v>163.84713854166665</v>
      </c>
      <c r="X48" s="213">
        <f t="shared" si="8"/>
        <v>163.84921083333333</v>
      </c>
      <c r="Y48" s="213">
        <f t="shared" si="8"/>
        <v>163.85128312500001</v>
      </c>
      <c r="Z48" s="213">
        <f t="shared" si="8"/>
        <v>163.85335541666666</v>
      </c>
      <c r="AA48" s="213">
        <f t="shared" si="8"/>
        <v>163.85542770833334</v>
      </c>
      <c r="AB48" s="213">
        <f t="shared" si="8"/>
        <v>163.85750000000002</v>
      </c>
    </row>
    <row r="49" spans="1:28" ht="15" thickBot="1" x14ac:dyDescent="0.4">
      <c r="A49" s="216"/>
      <c r="B49" s="2"/>
      <c r="C49" s="2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pans="1:28" x14ac:dyDescent="0.35">
      <c r="A50" s="216"/>
      <c r="B50" s="220" t="s">
        <v>162</v>
      </c>
      <c r="C50" s="8"/>
      <c r="D50" s="44">
        <f>Determination_of_Cost!D10</f>
        <v>3.365384615384615</v>
      </c>
      <c r="E50" s="44">
        <f>Determination_of_Cost!E10</f>
        <v>3.0961538461538454</v>
      </c>
      <c r="F50" s="44">
        <f>Determination_of_Cost!F10</f>
        <v>2.8269230769230762</v>
      </c>
      <c r="G50" s="44">
        <f>Determination_of_Cost!G10</f>
        <v>2.557692307692307</v>
      </c>
      <c r="H50" s="44">
        <f>Determination_of_Cost!H10</f>
        <v>2.2884615384615374</v>
      </c>
      <c r="I50" s="44">
        <f>Determination_of_Cost!I10</f>
        <v>2.0192307692307687</v>
      </c>
      <c r="J50" s="44">
        <f>Determination_of_Cost!J10</f>
        <v>1.7499999999999993</v>
      </c>
      <c r="K50" s="44">
        <f>Determination_of_Cost!K10</f>
        <v>1.4807692307692304</v>
      </c>
      <c r="L50" s="44">
        <f>Determination_of_Cost!L10</f>
        <v>1.211538461538461</v>
      </c>
      <c r="M50" s="44">
        <f>Determination_of_Cost!M10</f>
        <v>0.94230769230769185</v>
      </c>
      <c r="N50" s="44">
        <f>Determination_of_Cost!N10</f>
        <v>0.67307692307692268</v>
      </c>
      <c r="O50" s="44">
        <f>Determination_of_Cost!O10</f>
        <v>0.40384615384615347</v>
      </c>
      <c r="P50" s="44">
        <f>Determination_of_Cost!P10</f>
        <v>0.13461538461538422</v>
      </c>
      <c r="Q50" s="44">
        <f>Determination_of_Cost!Q10</f>
        <v>0</v>
      </c>
      <c r="R50" s="44">
        <f>Determination_of_Cost!R10</f>
        <v>0</v>
      </c>
      <c r="S50" s="44">
        <f>Determination_of_Cost!S10</f>
        <v>0</v>
      </c>
      <c r="T50" s="44">
        <f>Determination_of_Cost!T10</f>
        <v>0</v>
      </c>
      <c r="U50" s="44">
        <f>Determination_of_Cost!U10</f>
        <v>0</v>
      </c>
      <c r="V50" s="44">
        <f>Determination_of_Cost!V10</f>
        <v>0</v>
      </c>
      <c r="W50" s="44">
        <f>Determination_of_Cost!W10</f>
        <v>0</v>
      </c>
      <c r="X50" s="44">
        <f>Determination_of_Cost!X10</f>
        <v>0</v>
      </c>
      <c r="Y50" s="44">
        <f>Determination_of_Cost!Y10</f>
        <v>0</v>
      </c>
      <c r="Z50" s="44">
        <f>Determination_of_Cost!Z10</f>
        <v>0</v>
      </c>
      <c r="AA50" s="44">
        <f>Determination_of_Cost!AA10</f>
        <v>0</v>
      </c>
      <c r="AB50" s="45">
        <f>Determination_of_Cost!AB10</f>
        <v>0</v>
      </c>
    </row>
    <row r="51" spans="1:28" ht="15" thickBot="1" x14ac:dyDescent="0.4">
      <c r="A51" s="216"/>
      <c r="B51" s="222" t="s">
        <v>161</v>
      </c>
      <c r="C51" s="31"/>
      <c r="D51" s="41">
        <f>Determination_of_Cost!D11</f>
        <v>6.7418777249999993</v>
      </c>
      <c r="E51" s="41">
        <f>Determination_of_Cost!E11</f>
        <v>6.74075545</v>
      </c>
      <c r="F51" s="41">
        <f>Determination_of_Cost!F11</f>
        <v>6.7396331749999998</v>
      </c>
      <c r="G51" s="41">
        <f>Determination_of_Cost!G11</f>
        <v>6.7385108999999996</v>
      </c>
      <c r="H51" s="41">
        <f>Determination_of_Cost!H11</f>
        <v>6.7373886249999995</v>
      </c>
      <c r="I51" s="41">
        <f>Determination_of_Cost!I11</f>
        <v>6.7362663499999993</v>
      </c>
      <c r="J51" s="41">
        <f>Determination_of_Cost!J11</f>
        <v>6.7351440750000009</v>
      </c>
      <c r="K51" s="41">
        <f>Determination_of_Cost!K11</f>
        <v>6.7340218000000007</v>
      </c>
      <c r="L51" s="41">
        <f>Determination_of_Cost!L11</f>
        <v>6.7328995250000006</v>
      </c>
      <c r="M51" s="41">
        <f>Determination_of_Cost!M11</f>
        <v>6.7317772500000004</v>
      </c>
      <c r="N51" s="41">
        <f>Determination_of_Cost!N11</f>
        <v>6.7306549750000002</v>
      </c>
      <c r="O51" s="41">
        <f>Determination_of_Cost!O11</f>
        <v>6.7295327</v>
      </c>
      <c r="P51" s="41">
        <f>Determination_of_Cost!P11</f>
        <v>6.7284104249999999</v>
      </c>
      <c r="Q51" s="41">
        <f>Determination_of_Cost!Q11</f>
        <v>6.728182472916667</v>
      </c>
      <c r="R51" s="41">
        <f>Determination_of_Cost!R11</f>
        <v>6.7279545208333333</v>
      </c>
      <c r="S51" s="41">
        <f>Determination_of_Cost!S11</f>
        <v>6.7277265687499996</v>
      </c>
      <c r="T51" s="41">
        <f>Determination_of_Cost!T11</f>
        <v>6.7274986166666668</v>
      </c>
      <c r="U51" s="41">
        <f>Determination_of_Cost!U11</f>
        <v>6.727270664583334</v>
      </c>
      <c r="V51" s="41">
        <f>Determination_of_Cost!V11</f>
        <v>6.7270427124999994</v>
      </c>
      <c r="W51" s="41">
        <f>Determination_of_Cost!W11</f>
        <v>6.7268147604166666</v>
      </c>
      <c r="X51" s="41">
        <f>Determination_of_Cost!X11</f>
        <v>6.7265868083333338</v>
      </c>
      <c r="Y51" s="41">
        <f>Determination_of_Cost!Y11</f>
        <v>6.7263588562500001</v>
      </c>
      <c r="Z51" s="41">
        <f>Determination_of_Cost!Z11</f>
        <v>6.7261309041666664</v>
      </c>
      <c r="AA51" s="41">
        <f>Determination_of_Cost!AA11</f>
        <v>6.7259029520833336</v>
      </c>
      <c r="AB51" s="42">
        <f>Determination_of_Cost!AB11</f>
        <v>6.7256749999999998</v>
      </c>
    </row>
    <row r="52" spans="1:28" ht="15" thickBot="1" x14ac:dyDescent="0.4">
      <c r="A52" s="216"/>
      <c r="B52" s="2"/>
      <c r="C52" s="2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spans="1:28" x14ac:dyDescent="0.35">
      <c r="A53" s="85" t="s">
        <v>158</v>
      </c>
      <c r="B53" s="220" t="s">
        <v>166</v>
      </c>
      <c r="C53" s="8"/>
      <c r="D53" s="44">
        <f t="shared" ref="D53:AB53" si="9">D47-D$50-D$51</f>
        <v>1.9750000000000094</v>
      </c>
      <c r="E53" s="44">
        <f t="shared" si="9"/>
        <v>1.9749999999999979</v>
      </c>
      <c r="F53" s="44">
        <f t="shared" si="9"/>
        <v>1.9749999999999996</v>
      </c>
      <c r="G53" s="44">
        <f t="shared" si="9"/>
        <v>1.9750000000000245</v>
      </c>
      <c r="H53" s="44">
        <f t="shared" si="9"/>
        <v>1.9750000000000139</v>
      </c>
      <c r="I53" s="44">
        <f t="shared" si="9"/>
        <v>1.9750000000000156</v>
      </c>
      <c r="J53" s="44">
        <f t="shared" si="9"/>
        <v>1.9750000000000014</v>
      </c>
      <c r="K53" s="44">
        <f t="shared" si="9"/>
        <v>1.9749999999999908</v>
      </c>
      <c r="L53" s="44">
        <f t="shared" si="9"/>
        <v>1.9750000000000139</v>
      </c>
      <c r="M53" s="44">
        <f t="shared" si="9"/>
        <v>1.9750000000000174</v>
      </c>
      <c r="N53" s="44">
        <f t="shared" si="9"/>
        <v>2.475000000000005</v>
      </c>
      <c r="O53" s="44">
        <f t="shared" si="9"/>
        <v>2.4750000000000085</v>
      </c>
      <c r="P53" s="44">
        <f t="shared" si="9"/>
        <v>2.4750000000000032</v>
      </c>
      <c r="Q53" s="44">
        <f t="shared" si="9"/>
        <v>0.15208333333334156</v>
      </c>
      <c r="R53" s="44">
        <f t="shared" si="9"/>
        <v>0.15208333333333979</v>
      </c>
      <c r="S53" s="44">
        <f t="shared" si="9"/>
        <v>0.15208333333334512</v>
      </c>
      <c r="T53" s="44">
        <f t="shared" si="9"/>
        <v>0.15208333333332824</v>
      </c>
      <c r="U53" s="44">
        <f t="shared" si="9"/>
        <v>1.3520833333333409</v>
      </c>
      <c r="V53" s="44">
        <f t="shared" si="9"/>
        <v>2.7920833333333324</v>
      </c>
      <c r="W53" s="44">
        <f t="shared" si="9"/>
        <v>2.7920833333333439</v>
      </c>
      <c r="X53" s="44">
        <f t="shared" si="9"/>
        <v>2.7920833333333412</v>
      </c>
      <c r="Y53" s="44">
        <f t="shared" si="9"/>
        <v>2.7920833333333466</v>
      </c>
      <c r="Z53" s="44">
        <f t="shared" si="9"/>
        <v>2.7920833333333448</v>
      </c>
      <c r="AA53" s="44">
        <f t="shared" si="9"/>
        <v>2.7920833333333279</v>
      </c>
      <c r="AB53" s="45">
        <f t="shared" si="9"/>
        <v>2.7920833333333475</v>
      </c>
    </row>
    <row r="54" spans="1:28" ht="15" thickBot="1" x14ac:dyDescent="0.4">
      <c r="B54" s="29"/>
      <c r="C54" s="31"/>
      <c r="D54" s="41">
        <f t="shared" ref="D54:AB54" si="10">D48-D$50-D$51</f>
        <v>150.96294015961541</v>
      </c>
      <c r="E54" s="41">
        <f t="shared" si="10"/>
        <v>151.24349570384618</v>
      </c>
      <c r="F54" s="41">
        <f t="shared" si="10"/>
        <v>151.52405124807694</v>
      </c>
      <c r="G54" s="41">
        <f t="shared" si="10"/>
        <v>151.80460679230771</v>
      </c>
      <c r="H54" s="41">
        <f t="shared" si="10"/>
        <v>152.08516233653847</v>
      </c>
      <c r="I54" s="41">
        <f t="shared" si="10"/>
        <v>152.36571788076924</v>
      </c>
      <c r="J54" s="41">
        <f t="shared" si="10"/>
        <v>152.646273425</v>
      </c>
      <c r="K54" s="41">
        <f t="shared" si="10"/>
        <v>152.9268289692308</v>
      </c>
      <c r="L54" s="41">
        <f t="shared" si="10"/>
        <v>153.20738451346156</v>
      </c>
      <c r="M54" s="41">
        <f t="shared" si="10"/>
        <v>153.48794005769236</v>
      </c>
      <c r="N54" s="41">
        <f t="shared" si="10"/>
        <v>153.76849560192309</v>
      </c>
      <c r="O54" s="41">
        <f t="shared" si="10"/>
        <v>154.04905114615386</v>
      </c>
      <c r="P54" s="41">
        <f t="shared" si="10"/>
        <v>154.32960669038462</v>
      </c>
      <c r="Q54" s="41">
        <f t="shared" si="10"/>
        <v>154.46652231875001</v>
      </c>
      <c r="R54" s="41">
        <f t="shared" si="10"/>
        <v>154.46882256250004</v>
      </c>
      <c r="S54" s="41">
        <f t="shared" si="10"/>
        <v>154.47112280625001</v>
      </c>
      <c r="T54" s="41">
        <f t="shared" si="10"/>
        <v>154.47342305000001</v>
      </c>
      <c r="U54" s="41">
        <f t="shared" si="10"/>
        <v>155.67572329375</v>
      </c>
      <c r="V54" s="41">
        <f t="shared" si="10"/>
        <v>157.11802353749999</v>
      </c>
      <c r="W54" s="41">
        <f t="shared" si="10"/>
        <v>157.12032378124999</v>
      </c>
      <c r="X54" s="41">
        <f t="shared" si="10"/>
        <v>157.12262402499999</v>
      </c>
      <c r="Y54" s="41">
        <f t="shared" si="10"/>
        <v>157.12492426875002</v>
      </c>
      <c r="Z54" s="41">
        <f t="shared" si="10"/>
        <v>157.12722451249999</v>
      </c>
      <c r="AA54" s="41">
        <f t="shared" si="10"/>
        <v>157.12952475624999</v>
      </c>
      <c r="AB54" s="42">
        <f t="shared" si="10"/>
        <v>157.13182500000002</v>
      </c>
    </row>
    <row r="55" spans="1:28" ht="15" thickBot="1" x14ac:dyDescent="0.4"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35">
      <c r="A56" s="85" t="s">
        <v>111</v>
      </c>
      <c r="B56" s="39" t="s">
        <v>79</v>
      </c>
      <c r="C56" s="8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5"/>
    </row>
    <row r="57" spans="1:28" x14ac:dyDescent="0.35">
      <c r="B57" s="43" t="s">
        <v>48</v>
      </c>
      <c r="C57" s="38"/>
      <c r="D57" s="46">
        <v>1</v>
      </c>
      <c r="E57" s="46">
        <v>2</v>
      </c>
      <c r="F57" s="46">
        <v>3</v>
      </c>
      <c r="G57" s="46">
        <v>4</v>
      </c>
      <c r="H57" s="46">
        <v>5</v>
      </c>
      <c r="I57" s="46">
        <v>6</v>
      </c>
      <c r="J57" s="46">
        <v>7</v>
      </c>
      <c r="K57" s="46">
        <v>8</v>
      </c>
      <c r="L57" s="46">
        <v>9</v>
      </c>
      <c r="M57" s="46">
        <v>10</v>
      </c>
      <c r="N57" s="46">
        <v>11</v>
      </c>
      <c r="O57" s="46">
        <v>12</v>
      </c>
      <c r="P57" s="46">
        <v>13</v>
      </c>
      <c r="Q57" s="46">
        <v>14</v>
      </c>
      <c r="R57" s="46">
        <v>15</v>
      </c>
      <c r="S57" s="46">
        <v>16</v>
      </c>
      <c r="T57" s="46">
        <v>17</v>
      </c>
      <c r="U57" s="46">
        <v>18</v>
      </c>
      <c r="V57" s="46">
        <v>19</v>
      </c>
      <c r="W57" s="46">
        <v>20</v>
      </c>
      <c r="X57" s="46">
        <v>21</v>
      </c>
      <c r="Y57" s="46">
        <v>22</v>
      </c>
      <c r="Z57" s="46">
        <v>23</v>
      </c>
      <c r="AA57" s="46">
        <v>24</v>
      </c>
      <c r="AB57" s="47">
        <v>25</v>
      </c>
    </row>
    <row r="58" spans="1:28" x14ac:dyDescent="0.35">
      <c r="B58" s="79" t="s">
        <v>80</v>
      </c>
      <c r="C58" s="2"/>
      <c r="D58" s="80" t="str">
        <f t="shared" ref="D58:AB58" si="11">IF(AND(D$57&gt;=$D$11,D$57&lt;$D$11+$D$12,D$57&lt;$D$6+$D$8),D$57-$D$11+1,"")</f>
        <v/>
      </c>
      <c r="E58" s="80" t="str">
        <f t="shared" si="11"/>
        <v/>
      </c>
      <c r="F58" s="80" t="str">
        <f t="shared" si="11"/>
        <v/>
      </c>
      <c r="G58" s="80" t="str">
        <f t="shared" si="11"/>
        <v/>
      </c>
      <c r="H58" s="80" t="str">
        <f t="shared" si="11"/>
        <v/>
      </c>
      <c r="I58" s="80" t="str">
        <f t="shared" si="11"/>
        <v/>
      </c>
      <c r="J58" s="80" t="str">
        <f t="shared" si="11"/>
        <v/>
      </c>
      <c r="K58" s="80" t="str">
        <f t="shared" si="11"/>
        <v/>
      </c>
      <c r="L58" s="80" t="str">
        <f t="shared" si="11"/>
        <v/>
      </c>
      <c r="M58" s="80" t="str">
        <f t="shared" si="11"/>
        <v/>
      </c>
      <c r="N58" s="80" t="str">
        <f t="shared" si="11"/>
        <v/>
      </c>
      <c r="O58" s="80" t="str">
        <f t="shared" si="11"/>
        <v/>
      </c>
      <c r="P58" s="80" t="str">
        <f t="shared" si="11"/>
        <v/>
      </c>
      <c r="Q58" s="80" t="str">
        <f t="shared" si="11"/>
        <v/>
      </c>
      <c r="R58" s="80" t="str">
        <f t="shared" si="11"/>
        <v/>
      </c>
      <c r="S58" s="80" t="str">
        <f t="shared" si="11"/>
        <v/>
      </c>
      <c r="T58" s="80" t="str">
        <f t="shared" si="11"/>
        <v/>
      </c>
      <c r="U58" s="80" t="str">
        <f t="shared" si="11"/>
        <v/>
      </c>
      <c r="V58" s="80" t="str">
        <f t="shared" si="11"/>
        <v/>
      </c>
      <c r="W58" s="80" t="str">
        <f t="shared" si="11"/>
        <v/>
      </c>
      <c r="X58" s="80" t="str">
        <f t="shared" si="11"/>
        <v/>
      </c>
      <c r="Y58" s="80" t="str">
        <f t="shared" si="11"/>
        <v/>
      </c>
      <c r="Z58" s="80" t="str">
        <f t="shared" si="11"/>
        <v/>
      </c>
      <c r="AA58" s="80" t="str">
        <f t="shared" si="11"/>
        <v/>
      </c>
      <c r="AB58" s="80" t="str">
        <f t="shared" si="11"/>
        <v/>
      </c>
    </row>
    <row r="59" spans="1:28" ht="15" thickBot="1" x14ac:dyDescent="0.4">
      <c r="B59" s="29" t="s">
        <v>81</v>
      </c>
      <c r="C59" s="31"/>
      <c r="D59" s="41">
        <f>Determination_of_Cost!D62</f>
        <v>7.5</v>
      </c>
      <c r="E59" s="41">
        <f>Determination_of_Cost!E62</f>
        <v>6.375</v>
      </c>
      <c r="F59" s="41">
        <f>Determination_of_Cost!F62</f>
        <v>5.4187500000000002</v>
      </c>
      <c r="G59" s="41">
        <f>Determination_of_Cost!G62</f>
        <v>4.6059374999999996</v>
      </c>
      <c r="H59" s="41">
        <f>Determination_of_Cost!H62</f>
        <v>3.9150468749999998</v>
      </c>
      <c r="I59" s="41">
        <f>Determination_of_Cost!I62</f>
        <v>3.3277898437499998</v>
      </c>
      <c r="J59" s="41">
        <f>Determination_of_Cost!J62</f>
        <v>2.8286213671874996</v>
      </c>
      <c r="K59" s="41">
        <f>Determination_of_Cost!K62</f>
        <v>2.4043281621093748</v>
      </c>
      <c r="L59" s="41">
        <f>Determination_of_Cost!L62</f>
        <v>2.0436789377929689</v>
      </c>
      <c r="M59" s="41">
        <f>Determination_of_Cost!M62</f>
        <v>1.7371270971240238</v>
      </c>
      <c r="N59" s="41">
        <f>Determination_of_Cost!N62</f>
        <v>1.4765580325554204</v>
      </c>
      <c r="O59" s="41">
        <f>Determination_of_Cost!O62</f>
        <v>1.2550743276721079</v>
      </c>
      <c r="P59" s="41">
        <f>Determination_of_Cost!P62</f>
        <v>1.066813178521292</v>
      </c>
      <c r="Q59" s="41">
        <f>Determination_of_Cost!Q62</f>
        <v>0.90679120174309802</v>
      </c>
      <c r="R59" s="41">
        <f>Determination_of_Cost!R62</f>
        <v>0.77077252148163355</v>
      </c>
      <c r="S59" s="41">
        <f>Determination_of_Cost!S62</f>
        <v>0.65515664325938872</v>
      </c>
      <c r="T59" s="41">
        <f>Determination_of_Cost!T62</f>
        <v>0.55688314677048034</v>
      </c>
      <c r="U59" s="41">
        <f>Determination_of_Cost!U62</f>
        <v>0.47335067475490822</v>
      </c>
      <c r="V59" s="41">
        <f>Determination_of_Cost!V62</f>
        <v>0.40234807354167151</v>
      </c>
      <c r="W59" s="41">
        <f>Determination_of_Cost!W62</f>
        <v>0.34199586251042041</v>
      </c>
      <c r="X59" s="41">
        <f>Determination_of_Cost!X62</f>
        <v>0.29069648313385699</v>
      </c>
      <c r="Y59" s="41">
        <f>Determination_of_Cost!Y62</f>
        <v>0.24709201066377842</v>
      </c>
      <c r="Z59" s="41">
        <f>Determination_of_Cost!Z62</f>
        <v>0.21002820906421177</v>
      </c>
      <c r="AA59" s="41">
        <f>Determination_of_Cost!AA62</f>
        <v>0.17852397770457989</v>
      </c>
      <c r="AB59" s="42">
        <f>Determination_of_Cost!AB62</f>
        <v>0.15174538104889307</v>
      </c>
    </row>
    <row r="60" spans="1:28" x14ac:dyDescent="0.35">
      <c r="B60" s="20"/>
      <c r="C60" s="2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40"/>
    </row>
    <row r="61" spans="1:28" ht="15" thickBot="1" x14ac:dyDescent="0.4">
      <c r="B61" s="20"/>
      <c r="C61" s="2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40"/>
    </row>
    <row r="62" spans="1:28" x14ac:dyDescent="0.35">
      <c r="B62" s="57" t="s">
        <v>239</v>
      </c>
      <c r="C62" s="8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5"/>
    </row>
    <row r="63" spans="1:28" x14ac:dyDescent="0.35">
      <c r="B63" s="20" t="s">
        <v>164</v>
      </c>
      <c r="C63" s="2" t="s">
        <v>93</v>
      </c>
      <c r="D63" s="35">
        <f t="shared" ref="D63:AB63" si="12">D53</f>
        <v>1.9750000000000094</v>
      </c>
      <c r="E63" s="35">
        <f t="shared" si="12"/>
        <v>1.9749999999999979</v>
      </c>
      <c r="F63" s="35">
        <f t="shared" si="12"/>
        <v>1.9749999999999996</v>
      </c>
      <c r="G63" s="35">
        <f t="shared" si="12"/>
        <v>1.9750000000000245</v>
      </c>
      <c r="H63" s="35">
        <f t="shared" si="12"/>
        <v>1.9750000000000139</v>
      </c>
      <c r="I63" s="35">
        <f t="shared" si="12"/>
        <v>1.9750000000000156</v>
      </c>
      <c r="J63" s="35">
        <f t="shared" si="12"/>
        <v>1.9750000000000014</v>
      </c>
      <c r="K63" s="35">
        <f t="shared" si="12"/>
        <v>1.9749999999999908</v>
      </c>
      <c r="L63" s="35">
        <f t="shared" si="12"/>
        <v>1.9750000000000139</v>
      </c>
      <c r="M63" s="35">
        <f t="shared" si="12"/>
        <v>1.9750000000000174</v>
      </c>
      <c r="N63" s="35">
        <f t="shared" si="12"/>
        <v>2.475000000000005</v>
      </c>
      <c r="O63" s="35">
        <f t="shared" si="12"/>
        <v>2.4750000000000085</v>
      </c>
      <c r="P63" s="35">
        <f t="shared" si="12"/>
        <v>2.4750000000000032</v>
      </c>
      <c r="Q63" s="35">
        <f t="shared" si="12"/>
        <v>0.15208333333334156</v>
      </c>
      <c r="R63" s="35">
        <f t="shared" si="12"/>
        <v>0.15208333333333979</v>
      </c>
      <c r="S63" s="35">
        <f t="shared" si="12"/>
        <v>0.15208333333334512</v>
      </c>
      <c r="T63" s="35">
        <f t="shared" si="12"/>
        <v>0.15208333333332824</v>
      </c>
      <c r="U63" s="35">
        <f t="shared" si="12"/>
        <v>1.3520833333333409</v>
      </c>
      <c r="V63" s="35">
        <f t="shared" si="12"/>
        <v>2.7920833333333324</v>
      </c>
      <c r="W63" s="35">
        <f t="shared" si="12"/>
        <v>2.7920833333333439</v>
      </c>
      <c r="X63" s="35">
        <f t="shared" si="12"/>
        <v>2.7920833333333412</v>
      </c>
      <c r="Y63" s="35">
        <f t="shared" si="12"/>
        <v>2.7920833333333466</v>
      </c>
      <c r="Z63" s="35">
        <f t="shared" si="12"/>
        <v>2.7920833333333448</v>
      </c>
      <c r="AA63" s="35">
        <f t="shared" si="12"/>
        <v>2.7920833333333279</v>
      </c>
      <c r="AB63" s="35">
        <f t="shared" si="12"/>
        <v>2.7920833333333475</v>
      </c>
    </row>
    <row r="64" spans="1:28" x14ac:dyDescent="0.35">
      <c r="B64" s="20" t="s">
        <v>97</v>
      </c>
      <c r="C64" s="2" t="s">
        <v>93</v>
      </c>
      <c r="D64" s="35">
        <f t="shared" ref="D64:AB64" si="13">D63+D45</f>
        <v>4.6150000000000091</v>
      </c>
      <c r="E64" s="35">
        <f t="shared" si="13"/>
        <v>4.6149999999999984</v>
      </c>
      <c r="F64" s="35">
        <f t="shared" si="13"/>
        <v>4.6150000000000002</v>
      </c>
      <c r="G64" s="35">
        <f t="shared" si="13"/>
        <v>4.6150000000000251</v>
      </c>
      <c r="H64" s="35">
        <f t="shared" si="13"/>
        <v>4.6150000000000144</v>
      </c>
      <c r="I64" s="35">
        <f t="shared" si="13"/>
        <v>4.6150000000000162</v>
      </c>
      <c r="J64" s="35">
        <f t="shared" si="13"/>
        <v>4.615000000000002</v>
      </c>
      <c r="K64" s="35">
        <f t="shared" si="13"/>
        <v>4.6149999999999913</v>
      </c>
      <c r="L64" s="35">
        <f t="shared" si="13"/>
        <v>4.6150000000000144</v>
      </c>
      <c r="M64" s="35">
        <f t="shared" si="13"/>
        <v>4.615000000000018</v>
      </c>
      <c r="N64" s="35">
        <f t="shared" si="13"/>
        <v>5.1150000000000055</v>
      </c>
      <c r="O64" s="35">
        <f t="shared" si="13"/>
        <v>5.1150000000000091</v>
      </c>
      <c r="P64" s="35">
        <f t="shared" si="13"/>
        <v>5.1150000000000038</v>
      </c>
      <c r="Q64" s="35">
        <f t="shared" si="13"/>
        <v>2.7920833333333417</v>
      </c>
      <c r="R64" s="35">
        <f t="shared" si="13"/>
        <v>2.7920833333333399</v>
      </c>
      <c r="S64" s="35">
        <f t="shared" si="13"/>
        <v>2.7920833333333452</v>
      </c>
      <c r="T64" s="35">
        <f t="shared" si="13"/>
        <v>2.7920833333333284</v>
      </c>
      <c r="U64" s="35">
        <f t="shared" si="13"/>
        <v>2.7920833333333408</v>
      </c>
      <c r="V64" s="35">
        <f t="shared" si="13"/>
        <v>2.7920833333333324</v>
      </c>
      <c r="W64" s="35">
        <f t="shared" si="13"/>
        <v>2.7920833333333439</v>
      </c>
      <c r="X64" s="35">
        <f t="shared" si="13"/>
        <v>2.7920833333333412</v>
      </c>
      <c r="Y64" s="35">
        <f t="shared" si="13"/>
        <v>2.7920833333333466</v>
      </c>
      <c r="Z64" s="35">
        <f t="shared" si="13"/>
        <v>2.7920833333333448</v>
      </c>
      <c r="AA64" s="35">
        <f t="shared" si="13"/>
        <v>2.7920833333333279</v>
      </c>
      <c r="AB64" s="35">
        <f t="shared" si="13"/>
        <v>2.7920833333333475</v>
      </c>
    </row>
    <row r="65" spans="2:28" x14ac:dyDescent="0.35">
      <c r="B65" s="20" t="s">
        <v>82</v>
      </c>
      <c r="C65" s="2" t="s">
        <v>93</v>
      </c>
      <c r="D65" s="35">
        <f>D64-D59</f>
        <v>-2.8849999999999909</v>
      </c>
      <c r="E65" s="35">
        <f t="shared" ref="E65:AB65" si="14">E64-E59</f>
        <v>-1.7600000000000016</v>
      </c>
      <c r="F65" s="35">
        <f t="shared" si="14"/>
        <v>-0.80374999999999996</v>
      </c>
      <c r="G65" s="35">
        <f t="shared" si="14"/>
        <v>9.0625000000255085E-3</v>
      </c>
      <c r="H65" s="35">
        <f t="shared" si="14"/>
        <v>0.69995312500001461</v>
      </c>
      <c r="I65" s="35">
        <f t="shared" si="14"/>
        <v>1.2872101562500164</v>
      </c>
      <c r="J65" s="35">
        <f t="shared" si="14"/>
        <v>1.7863786328125024</v>
      </c>
      <c r="K65" s="35">
        <f t="shared" si="14"/>
        <v>2.2106718378906165</v>
      </c>
      <c r="L65" s="35">
        <f t="shared" si="14"/>
        <v>2.5713210622070455</v>
      </c>
      <c r="M65" s="35">
        <f t="shared" si="14"/>
        <v>2.8778729028759944</v>
      </c>
      <c r="N65" s="35">
        <f t="shared" si="14"/>
        <v>3.6384419674445851</v>
      </c>
      <c r="O65" s="35">
        <f t="shared" si="14"/>
        <v>3.8599256723279014</v>
      </c>
      <c r="P65" s="35">
        <f t="shared" si="14"/>
        <v>4.048186821478712</v>
      </c>
      <c r="Q65" s="35">
        <f t="shared" si="14"/>
        <v>1.8852921315902438</v>
      </c>
      <c r="R65" s="35">
        <f t="shared" si="14"/>
        <v>2.0213108118517065</v>
      </c>
      <c r="S65" s="35">
        <f t="shared" si="14"/>
        <v>2.1369266900739565</v>
      </c>
      <c r="T65" s="35">
        <f t="shared" si="14"/>
        <v>2.2352001865628481</v>
      </c>
      <c r="U65" s="35">
        <f t="shared" si="14"/>
        <v>2.3187326585784325</v>
      </c>
      <c r="V65" s="35">
        <f t="shared" si="14"/>
        <v>2.389735259791661</v>
      </c>
      <c r="W65" s="35">
        <f t="shared" si="14"/>
        <v>2.4500874708229237</v>
      </c>
      <c r="X65" s="35">
        <f t="shared" si="14"/>
        <v>2.5013868501994843</v>
      </c>
      <c r="Y65" s="35">
        <f t="shared" si="14"/>
        <v>2.544991322669568</v>
      </c>
      <c r="Z65" s="35">
        <f t="shared" si="14"/>
        <v>2.5820551242691332</v>
      </c>
      <c r="AA65" s="35">
        <f t="shared" si="14"/>
        <v>2.6135593556287482</v>
      </c>
      <c r="AB65" s="35">
        <f t="shared" si="14"/>
        <v>2.6403379522844546</v>
      </c>
    </row>
    <row r="66" spans="2:28" x14ac:dyDescent="0.35">
      <c r="B66" s="20" t="s">
        <v>107</v>
      </c>
      <c r="C66" s="2" t="s">
        <v>93</v>
      </c>
      <c r="D66" s="75" t="str">
        <f t="shared" ref="D66:AB66" si="15">IF(D65&gt;0,IF(ISNUMBER(D$58),0,D65*$D$9),"0")</f>
        <v>0</v>
      </c>
      <c r="E66" s="75" t="str">
        <f t="shared" si="15"/>
        <v>0</v>
      </c>
      <c r="F66" s="75" t="str">
        <f t="shared" si="15"/>
        <v>0</v>
      </c>
      <c r="G66" s="75">
        <f t="shared" si="15"/>
        <v>3.1365312500088289E-3</v>
      </c>
      <c r="H66" s="75">
        <f t="shared" si="15"/>
        <v>0.24225377656250507</v>
      </c>
      <c r="I66" s="75">
        <f t="shared" si="15"/>
        <v>0.44550343507813073</v>
      </c>
      <c r="J66" s="75">
        <f t="shared" si="15"/>
        <v>0.61826564481640711</v>
      </c>
      <c r="K66" s="75">
        <f t="shared" si="15"/>
        <v>0.76511352309394243</v>
      </c>
      <c r="L66" s="75">
        <f t="shared" si="15"/>
        <v>0.88993421962985853</v>
      </c>
      <c r="M66" s="75">
        <f t="shared" si="15"/>
        <v>0.99603181168538168</v>
      </c>
      <c r="N66" s="75">
        <f t="shared" si="15"/>
        <v>1.259264764932571</v>
      </c>
      <c r="O66" s="75">
        <f t="shared" si="15"/>
        <v>1.3359202751926869</v>
      </c>
      <c r="P66" s="75">
        <f t="shared" si="15"/>
        <v>1.4010774589137822</v>
      </c>
      <c r="Q66" s="75">
        <f t="shared" si="15"/>
        <v>0.65249960674338336</v>
      </c>
      <c r="R66" s="75">
        <f t="shared" si="15"/>
        <v>0.69957567198187565</v>
      </c>
      <c r="S66" s="75">
        <f t="shared" si="15"/>
        <v>0.73959032743459641</v>
      </c>
      <c r="T66" s="75">
        <f t="shared" si="15"/>
        <v>0.77360278456940179</v>
      </c>
      <c r="U66" s="75">
        <f t="shared" si="15"/>
        <v>0.80251337313399551</v>
      </c>
      <c r="V66" s="75">
        <f t="shared" si="15"/>
        <v>0.82708737341389393</v>
      </c>
      <c r="W66" s="75">
        <f t="shared" si="15"/>
        <v>0.84797527365181391</v>
      </c>
      <c r="X66" s="75">
        <f t="shared" si="15"/>
        <v>0.86572998885404151</v>
      </c>
      <c r="Y66" s="75">
        <f t="shared" si="15"/>
        <v>0.88082149677593746</v>
      </c>
      <c r="Z66" s="75">
        <f t="shared" si="15"/>
        <v>0.89364927850954701</v>
      </c>
      <c r="AA66" s="75">
        <f t="shared" si="15"/>
        <v>0.90455289298310981</v>
      </c>
      <c r="AB66" s="75">
        <f t="shared" si="15"/>
        <v>0.91382096528564982</v>
      </c>
    </row>
    <row r="67" spans="2:28" x14ac:dyDescent="0.35">
      <c r="B67" s="20" t="s">
        <v>106</v>
      </c>
      <c r="C67" s="2" t="s">
        <v>93</v>
      </c>
      <c r="D67" s="35">
        <f>MAX(D63*$D$10,0)</f>
        <v>0.425612500000002</v>
      </c>
      <c r="E67" s="35">
        <f t="shared" ref="E67:AB67" si="16">MAX(E63*$D$10,0)</f>
        <v>0.42561249999999956</v>
      </c>
      <c r="F67" s="35">
        <f t="shared" si="16"/>
        <v>0.42561249999999989</v>
      </c>
      <c r="G67" s="35">
        <f t="shared" si="16"/>
        <v>0.42561250000000528</v>
      </c>
      <c r="H67" s="35">
        <f t="shared" si="16"/>
        <v>0.425612500000003</v>
      </c>
      <c r="I67" s="35">
        <f t="shared" si="16"/>
        <v>0.42561250000000334</v>
      </c>
      <c r="J67" s="35">
        <f t="shared" si="16"/>
        <v>0.42561250000000028</v>
      </c>
      <c r="K67" s="35">
        <f t="shared" si="16"/>
        <v>0.42561249999999801</v>
      </c>
      <c r="L67" s="35">
        <f t="shared" si="16"/>
        <v>0.425612500000003</v>
      </c>
      <c r="M67" s="35">
        <f t="shared" si="16"/>
        <v>0.42561250000000372</v>
      </c>
      <c r="N67" s="35">
        <f t="shared" si="16"/>
        <v>0.53336250000000107</v>
      </c>
      <c r="O67" s="35">
        <f t="shared" si="16"/>
        <v>0.53336250000000185</v>
      </c>
      <c r="P67" s="35">
        <f t="shared" si="16"/>
        <v>0.53336250000000063</v>
      </c>
      <c r="Q67" s="35">
        <f t="shared" si="16"/>
        <v>3.2773958333335108E-2</v>
      </c>
      <c r="R67" s="35">
        <f t="shared" si="16"/>
        <v>3.2773958333334727E-2</v>
      </c>
      <c r="S67" s="35">
        <f t="shared" si="16"/>
        <v>3.2773958333335872E-2</v>
      </c>
      <c r="T67" s="35">
        <f t="shared" si="16"/>
        <v>3.2773958333332236E-2</v>
      </c>
      <c r="U67" s="35">
        <f t="shared" si="16"/>
        <v>0.29137395833333496</v>
      </c>
      <c r="V67" s="35">
        <f t="shared" si="16"/>
        <v>0.60169395833333317</v>
      </c>
      <c r="W67" s="35">
        <f t="shared" si="16"/>
        <v>0.60169395833333561</v>
      </c>
      <c r="X67" s="35">
        <f t="shared" si="16"/>
        <v>0.60169395833333505</v>
      </c>
      <c r="Y67" s="35">
        <f t="shared" si="16"/>
        <v>0.60169395833333617</v>
      </c>
      <c r="Z67" s="35">
        <f t="shared" si="16"/>
        <v>0.60169395833333583</v>
      </c>
      <c r="AA67" s="35">
        <f t="shared" si="16"/>
        <v>0.60169395833333217</v>
      </c>
      <c r="AB67" s="40">
        <f t="shared" si="16"/>
        <v>0.60169395833333639</v>
      </c>
    </row>
    <row r="68" spans="2:28" x14ac:dyDescent="0.35">
      <c r="B68" s="79" t="s">
        <v>84</v>
      </c>
      <c r="C68" s="2" t="s">
        <v>93</v>
      </c>
      <c r="D68" s="35">
        <f t="shared" ref="D68:AB68" si="17">IF(D$57&gt;=$D$13,IF(D$57&lt;$D$13+$D$15,MAX(D66-D67,0),0),0)</f>
        <v>0</v>
      </c>
      <c r="E68" s="35">
        <f t="shared" si="17"/>
        <v>0</v>
      </c>
      <c r="F68" s="35">
        <f t="shared" si="17"/>
        <v>0</v>
      </c>
      <c r="G68" s="35">
        <f t="shared" si="17"/>
        <v>0</v>
      </c>
      <c r="H68" s="35">
        <f t="shared" si="17"/>
        <v>0</v>
      </c>
      <c r="I68" s="35">
        <f t="shared" si="17"/>
        <v>0</v>
      </c>
      <c r="J68" s="35">
        <f t="shared" si="17"/>
        <v>0</v>
      </c>
      <c r="K68" s="35">
        <f t="shared" si="17"/>
        <v>0</v>
      </c>
      <c r="L68" s="35">
        <f t="shared" si="17"/>
        <v>0</v>
      </c>
      <c r="M68" s="35">
        <f t="shared" si="17"/>
        <v>0</v>
      </c>
      <c r="N68" s="35">
        <f t="shared" si="17"/>
        <v>0</v>
      </c>
      <c r="O68" s="35">
        <f t="shared" si="17"/>
        <v>0</v>
      </c>
      <c r="P68" s="35">
        <f t="shared" si="17"/>
        <v>0</v>
      </c>
      <c r="Q68" s="35">
        <f t="shared" si="17"/>
        <v>0</v>
      </c>
      <c r="R68" s="35">
        <f t="shared" si="17"/>
        <v>0</v>
      </c>
      <c r="S68" s="165">
        <f t="shared" si="17"/>
        <v>0.70681636910126056</v>
      </c>
      <c r="T68" s="165">
        <f t="shared" si="17"/>
        <v>0.7408288262360696</v>
      </c>
      <c r="U68" s="165">
        <f t="shared" si="17"/>
        <v>0.5111394148006605</v>
      </c>
      <c r="V68" s="165">
        <f t="shared" si="17"/>
        <v>0.22539341508056077</v>
      </c>
      <c r="W68" s="165">
        <f t="shared" si="17"/>
        <v>0.2462813153184783</v>
      </c>
      <c r="X68" s="35">
        <f t="shared" si="17"/>
        <v>0</v>
      </c>
      <c r="Y68" s="35">
        <f t="shared" si="17"/>
        <v>0</v>
      </c>
      <c r="Z68" s="35">
        <f t="shared" si="17"/>
        <v>0</v>
      </c>
      <c r="AA68" s="35">
        <f t="shared" si="17"/>
        <v>0</v>
      </c>
      <c r="AB68" s="35">
        <f t="shared" si="17"/>
        <v>0</v>
      </c>
    </row>
    <row r="69" spans="2:28" x14ac:dyDescent="0.35">
      <c r="B69" s="79" t="s">
        <v>85</v>
      </c>
      <c r="C69" s="2" t="s">
        <v>93</v>
      </c>
      <c r="D69" s="2">
        <f ca="1">IF(D$57=$D$13-1,SUM(OFFSET(D67,0,-$D$14+1,1,$D$14)),0)</f>
        <v>0</v>
      </c>
      <c r="E69" s="35">
        <f t="shared" ref="E69:AB69" ca="1" si="18">IF(E$57=$D$13-1,SUM(OFFSET(E67,0,-$D$14+1,1,$D$14)),IF(AND(E$57&gt;=$D$13,E$57&lt;$D$13+$D$15),MAX(D69-E68,0),0))</f>
        <v>0</v>
      </c>
      <c r="F69" s="35">
        <f t="shared" ca="1" si="18"/>
        <v>0</v>
      </c>
      <c r="G69" s="35">
        <f t="shared" ca="1" si="18"/>
        <v>0</v>
      </c>
      <c r="H69" s="35">
        <f t="shared" ca="1" si="18"/>
        <v>0</v>
      </c>
      <c r="I69" s="35">
        <f t="shared" ca="1" si="18"/>
        <v>0</v>
      </c>
      <c r="J69" s="35">
        <f t="shared" ca="1" si="18"/>
        <v>0</v>
      </c>
      <c r="K69" s="35">
        <f t="shared" ca="1" si="18"/>
        <v>0</v>
      </c>
      <c r="L69" s="35">
        <f t="shared" ca="1" si="18"/>
        <v>0</v>
      </c>
      <c r="M69" s="35">
        <f t="shared" ca="1" si="18"/>
        <v>0</v>
      </c>
      <c r="N69" s="35">
        <f t="shared" ca="1" si="18"/>
        <v>0</v>
      </c>
      <c r="O69" s="35">
        <f t="shared" ca="1" si="18"/>
        <v>0</v>
      </c>
      <c r="P69" s="35">
        <f t="shared" ca="1" si="18"/>
        <v>0</v>
      </c>
      <c r="Q69" s="35">
        <f t="shared" ca="1" si="18"/>
        <v>0</v>
      </c>
      <c r="R69" s="167">
        <f t="shared" ca="1" si="18"/>
        <v>3.7936979166666815</v>
      </c>
      <c r="S69" s="35">
        <f t="shared" ca="1" si="18"/>
        <v>3.086881547565421</v>
      </c>
      <c r="T69" s="35">
        <f t="shared" ca="1" si="18"/>
        <v>2.3460527213293512</v>
      </c>
      <c r="U69" s="35">
        <f t="shared" ca="1" si="18"/>
        <v>1.8349133065286907</v>
      </c>
      <c r="V69" s="35">
        <f t="shared" ca="1" si="18"/>
        <v>1.6095198914481299</v>
      </c>
      <c r="W69" s="35">
        <f t="shared" ca="1" si="18"/>
        <v>1.3632385761296515</v>
      </c>
      <c r="X69" s="35">
        <f t="shared" ca="1" si="18"/>
        <v>0</v>
      </c>
      <c r="Y69" s="35">
        <f t="shared" ca="1" si="18"/>
        <v>0</v>
      </c>
      <c r="Z69" s="35">
        <f t="shared" ca="1" si="18"/>
        <v>0</v>
      </c>
      <c r="AA69" s="35">
        <f t="shared" ca="1" si="18"/>
        <v>0</v>
      </c>
      <c r="AB69" s="35">
        <f t="shared" ca="1" si="18"/>
        <v>0</v>
      </c>
    </row>
    <row r="70" spans="2:28" x14ac:dyDescent="0.35">
      <c r="B70" s="20" t="s">
        <v>105</v>
      </c>
      <c r="C70" s="2" t="s">
        <v>93</v>
      </c>
      <c r="D70" s="35">
        <f>MAX(D66-D68,D67)</f>
        <v>0.425612500000002</v>
      </c>
      <c r="E70" s="35">
        <f>MAX(E66-E68,E67)</f>
        <v>0.42561249999999956</v>
      </c>
      <c r="F70" s="35">
        <f t="shared" ref="F70:H70" si="19">MAX(F66-F68,F67)</f>
        <v>0.42561249999999989</v>
      </c>
      <c r="G70" s="35">
        <f t="shared" si="19"/>
        <v>0.42561250000000528</v>
      </c>
      <c r="H70" s="35">
        <f t="shared" si="19"/>
        <v>0.425612500000003</v>
      </c>
      <c r="I70" s="35">
        <f>MAX(I66-I68,I67)</f>
        <v>0.44550343507813073</v>
      </c>
      <c r="J70" s="35">
        <f t="shared" ref="J70:P70" si="20">MAX(J66-J68,J67)</f>
        <v>0.61826564481640711</v>
      </c>
      <c r="K70" s="35">
        <f t="shared" si="20"/>
        <v>0.76511352309394243</v>
      </c>
      <c r="L70" s="35">
        <f t="shared" si="20"/>
        <v>0.88993421962985853</v>
      </c>
      <c r="M70" s="35">
        <f t="shared" si="20"/>
        <v>0.99603181168538168</v>
      </c>
      <c r="N70" s="35">
        <f t="shared" si="20"/>
        <v>1.259264764932571</v>
      </c>
      <c r="O70" s="35">
        <f t="shared" si="20"/>
        <v>1.3359202751926869</v>
      </c>
      <c r="P70" s="35">
        <f t="shared" si="20"/>
        <v>1.4010774589137822</v>
      </c>
      <c r="Q70" s="35">
        <f>MAX(Q66-Q68,Q67)</f>
        <v>0.65249960674338336</v>
      </c>
      <c r="R70" s="35">
        <f>MAX(R66-R68,R67)</f>
        <v>0.69957567198187565</v>
      </c>
      <c r="S70" s="35">
        <f>MAX(S66-S68,S67)</f>
        <v>3.2773958333335872E-2</v>
      </c>
      <c r="T70" s="35">
        <f>MAX(T66-T68,T67)</f>
        <v>3.2773958333332236E-2</v>
      </c>
      <c r="U70" s="35">
        <f t="shared" ref="U70:W70" si="21">MAX(U66-U68,U67)</f>
        <v>0.29137395833333501</v>
      </c>
      <c r="V70" s="35">
        <f t="shared" si="21"/>
        <v>0.60169395833333317</v>
      </c>
      <c r="W70" s="35">
        <f t="shared" si="21"/>
        <v>0.60169395833333561</v>
      </c>
      <c r="X70" s="35">
        <f>MAX(X66-X68,X67)</f>
        <v>0.86572998885404151</v>
      </c>
      <c r="Y70" s="35">
        <f t="shared" ref="Y70:AB70" si="22">MAX(Y66-Y68,Y67)</f>
        <v>0.88082149677593746</v>
      </c>
      <c r="Z70" s="35">
        <f t="shared" si="22"/>
        <v>0.89364927850954701</v>
      </c>
      <c r="AA70" s="35">
        <f t="shared" si="22"/>
        <v>0.90455289298310981</v>
      </c>
      <c r="AB70" s="40">
        <f t="shared" si="22"/>
        <v>0.91382096528564982</v>
      </c>
    </row>
    <row r="71" spans="2:28" x14ac:dyDescent="0.35">
      <c r="B71" s="20" t="s">
        <v>103</v>
      </c>
      <c r="C71" s="2" t="s">
        <v>93</v>
      </c>
      <c r="D71" s="35">
        <f>D63-D70</f>
        <v>1.5493875000000075</v>
      </c>
      <c r="E71" s="35">
        <f t="shared" ref="E71:R71" si="23">E63-E70</f>
        <v>1.5493874999999984</v>
      </c>
      <c r="F71" s="35">
        <f t="shared" si="23"/>
        <v>1.5493874999999997</v>
      </c>
      <c r="G71" s="35">
        <f t="shared" si="23"/>
        <v>1.5493875000000192</v>
      </c>
      <c r="H71" s="35">
        <f t="shared" si="23"/>
        <v>1.5493875000000108</v>
      </c>
      <c r="I71" s="35">
        <f t="shared" si="23"/>
        <v>1.5294965649218848</v>
      </c>
      <c r="J71" s="35">
        <f t="shared" si="23"/>
        <v>1.3567343551835944</v>
      </c>
      <c r="K71" s="35">
        <f t="shared" si="23"/>
        <v>1.2098864769060484</v>
      </c>
      <c r="L71" s="35">
        <f t="shared" si="23"/>
        <v>1.0850657803701553</v>
      </c>
      <c r="M71" s="35">
        <f t="shared" si="23"/>
        <v>0.97896818831463572</v>
      </c>
      <c r="N71" s="35">
        <f t="shared" si="23"/>
        <v>1.215735235067434</v>
      </c>
      <c r="O71" s="35">
        <f t="shared" si="23"/>
        <v>1.1390797248073217</v>
      </c>
      <c r="P71" s="35">
        <f t="shared" si="23"/>
        <v>1.073922541086221</v>
      </c>
      <c r="Q71" s="35">
        <f t="shared" si="23"/>
        <v>-0.5004162734100418</v>
      </c>
      <c r="R71" s="35">
        <f t="shared" si="23"/>
        <v>-0.54749233864853586</v>
      </c>
      <c r="S71" s="35">
        <f>S63-S70</f>
        <v>0.11930937500000924</v>
      </c>
      <c r="T71" s="35">
        <f>T63-T70</f>
        <v>0.119309374999996</v>
      </c>
      <c r="U71" s="35">
        <f t="shared" ref="U71:AB71" si="24">U63-U70</f>
        <v>1.0607093750000058</v>
      </c>
      <c r="V71" s="35">
        <f t="shared" si="24"/>
        <v>2.1903893749999992</v>
      </c>
      <c r="W71" s="35">
        <f t="shared" si="24"/>
        <v>2.1903893750000085</v>
      </c>
      <c r="X71" s="35">
        <f t="shared" si="24"/>
        <v>1.9263533444792997</v>
      </c>
      <c r="Y71" s="35">
        <f t="shared" si="24"/>
        <v>1.9112618365574092</v>
      </c>
      <c r="Z71" s="35">
        <f t="shared" si="24"/>
        <v>1.8984340548237979</v>
      </c>
      <c r="AA71" s="35">
        <f t="shared" si="24"/>
        <v>1.887530440350218</v>
      </c>
      <c r="AB71" s="40">
        <f t="shared" si="24"/>
        <v>1.8782623680476975</v>
      </c>
    </row>
    <row r="72" spans="2:28" ht="15" thickBot="1" x14ac:dyDescent="0.4">
      <c r="B72" s="29" t="s">
        <v>104</v>
      </c>
      <c r="C72" s="31" t="s">
        <v>11</v>
      </c>
      <c r="D72" s="74">
        <f>IF(D71/$D$7&gt;0,D71/$D$7,0)</f>
        <v>0.15493875000000074</v>
      </c>
      <c r="E72" s="74">
        <f t="shared" ref="E72:AB72" si="25">IF(E71/$D$7&gt;0,E71/$D$7,0)</f>
        <v>0.15493874999999985</v>
      </c>
      <c r="F72" s="74">
        <f t="shared" si="25"/>
        <v>0.15493874999999996</v>
      </c>
      <c r="G72" s="74">
        <f t="shared" si="25"/>
        <v>0.15493875000000193</v>
      </c>
      <c r="H72" s="74">
        <f t="shared" si="25"/>
        <v>0.15493875000000107</v>
      </c>
      <c r="I72" s="74">
        <f t="shared" si="25"/>
        <v>0.15294965649218847</v>
      </c>
      <c r="J72" s="74">
        <f t="shared" si="25"/>
        <v>0.13567343551835945</v>
      </c>
      <c r="K72" s="74">
        <f t="shared" si="25"/>
        <v>0.12098864769060484</v>
      </c>
      <c r="L72" s="74">
        <f t="shared" si="25"/>
        <v>0.10850657803701554</v>
      </c>
      <c r="M72" s="74">
        <f t="shared" si="25"/>
        <v>9.7896818831463575E-2</v>
      </c>
      <c r="N72" s="74">
        <f t="shared" si="25"/>
        <v>0.1215735235067434</v>
      </c>
      <c r="O72" s="74">
        <f t="shared" si="25"/>
        <v>0.11390797248073217</v>
      </c>
      <c r="P72" s="74">
        <f t="shared" si="25"/>
        <v>0.1073922541086221</v>
      </c>
      <c r="Q72" s="74">
        <f t="shared" si="25"/>
        <v>0</v>
      </c>
      <c r="R72" s="74">
        <f t="shared" si="25"/>
        <v>0</v>
      </c>
      <c r="S72" s="74">
        <f t="shared" si="25"/>
        <v>1.1930937500000923E-2</v>
      </c>
      <c r="T72" s="74">
        <f t="shared" si="25"/>
        <v>1.19309374999996E-2</v>
      </c>
      <c r="U72" s="74">
        <f t="shared" si="25"/>
        <v>0.10607093750000059</v>
      </c>
      <c r="V72" s="74">
        <f t="shared" si="25"/>
        <v>0.21903893749999992</v>
      </c>
      <c r="W72" s="74">
        <f t="shared" si="25"/>
        <v>0.21903893750000086</v>
      </c>
      <c r="X72" s="74">
        <f t="shared" si="25"/>
        <v>0.19263533444792996</v>
      </c>
      <c r="Y72" s="74">
        <f t="shared" si="25"/>
        <v>0.19112618365574091</v>
      </c>
      <c r="Z72" s="74">
        <f t="shared" si="25"/>
        <v>0.1898434054823798</v>
      </c>
      <c r="AA72" s="74">
        <f t="shared" si="25"/>
        <v>0.1887530440350218</v>
      </c>
      <c r="AB72" s="82">
        <f t="shared" si="25"/>
        <v>0.18782623680476976</v>
      </c>
    </row>
    <row r="73" spans="2:28" ht="14.5" customHeight="1" x14ac:dyDescent="0.35">
      <c r="B73" s="70" t="s">
        <v>169</v>
      </c>
      <c r="C73" s="2"/>
      <c r="D73" s="35">
        <f>D70/D71</f>
        <v>0.27469725940089224</v>
      </c>
      <c r="E73" s="35">
        <f t="shared" ref="E73:AB73" si="26">E70/E71</f>
        <v>0.27469725940089229</v>
      </c>
      <c r="F73" s="35">
        <f t="shared" si="26"/>
        <v>0.27469725940089229</v>
      </c>
      <c r="G73" s="35">
        <f t="shared" si="26"/>
        <v>0.27469725940089229</v>
      </c>
      <c r="H73" s="35">
        <f t="shared" si="26"/>
        <v>0.27469725940089229</v>
      </c>
      <c r="I73" s="35">
        <f t="shared" si="26"/>
        <v>0.29127455745602393</v>
      </c>
      <c r="J73" s="35">
        <f t="shared" si="26"/>
        <v>0.45570132609544106</v>
      </c>
      <c r="K73" s="35">
        <f t="shared" si="26"/>
        <v>0.6323845564837699</v>
      </c>
      <c r="L73" s="35">
        <f t="shared" si="26"/>
        <v>0.8201661463568316</v>
      </c>
      <c r="M73" s="35">
        <f t="shared" si="26"/>
        <v>1.0174302123137651</v>
      </c>
      <c r="N73" s="35">
        <f t="shared" si="26"/>
        <v>1.0358051067449094</v>
      </c>
      <c r="O73" s="35">
        <f t="shared" si="26"/>
        <v>1.1728066491734468</v>
      </c>
      <c r="P73" s="35">
        <f t="shared" si="26"/>
        <v>1.3046354884186151</v>
      </c>
      <c r="Q73" s="35">
        <f t="shared" si="26"/>
        <v>-1.3039136443285173</v>
      </c>
      <c r="R73" s="35">
        <f t="shared" si="26"/>
        <v>-1.2777816648699629</v>
      </c>
      <c r="S73" s="35">
        <f t="shared" si="26"/>
        <v>0.27469725940089229</v>
      </c>
      <c r="T73" s="35">
        <f t="shared" si="26"/>
        <v>0.27469725940089229</v>
      </c>
      <c r="U73" s="35">
        <f t="shared" si="26"/>
        <v>0.27469725940089235</v>
      </c>
      <c r="V73" s="35">
        <f t="shared" si="26"/>
        <v>0.27469725940089229</v>
      </c>
      <c r="W73" s="35">
        <f t="shared" si="26"/>
        <v>0.27469725940089224</v>
      </c>
      <c r="X73" s="35">
        <f t="shared" si="26"/>
        <v>0.4494139101401729</v>
      </c>
      <c r="Y73" s="35">
        <f t="shared" si="26"/>
        <v>0.46085862226103208</v>
      </c>
      <c r="Z73" s="35">
        <f t="shared" si="26"/>
        <v>0.47072969231606548</v>
      </c>
      <c r="AA73" s="35">
        <f t="shared" si="26"/>
        <v>0.47922559215271587</v>
      </c>
      <c r="AB73" s="35">
        <f t="shared" si="26"/>
        <v>0.48652466281134787</v>
      </c>
    </row>
    <row r="74" spans="2:28" x14ac:dyDescent="0.35">
      <c r="B74" s="20"/>
      <c r="C74" s="2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143"/>
      <c r="S74" s="78"/>
      <c r="T74" s="78"/>
      <c r="U74" s="78"/>
      <c r="V74" s="78"/>
      <c r="W74" s="78"/>
      <c r="X74" s="78"/>
      <c r="Y74" s="78"/>
      <c r="Z74" s="78"/>
      <c r="AA74" s="78"/>
      <c r="AB74" s="78"/>
    </row>
    <row r="75" spans="2:28" ht="15" thickBot="1" x14ac:dyDescent="0.4">
      <c r="B75" s="20"/>
      <c r="C75" s="2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</row>
    <row r="76" spans="2:28" x14ac:dyDescent="0.35">
      <c r="B76" s="57" t="s">
        <v>241</v>
      </c>
      <c r="C76" s="8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5"/>
    </row>
    <row r="77" spans="2:28" x14ac:dyDescent="0.35">
      <c r="B77" s="20" t="s">
        <v>158</v>
      </c>
      <c r="C77" s="2" t="s">
        <v>93</v>
      </c>
      <c r="D77" s="35">
        <f t="shared" ref="D77:AB77" si="27">D54</f>
        <v>150.96294015961541</v>
      </c>
      <c r="E77" s="35">
        <f t="shared" si="27"/>
        <v>151.24349570384618</v>
      </c>
      <c r="F77" s="35">
        <f t="shared" si="27"/>
        <v>151.52405124807694</v>
      </c>
      <c r="G77" s="35">
        <f t="shared" si="27"/>
        <v>151.80460679230771</v>
      </c>
      <c r="H77" s="35">
        <f t="shared" si="27"/>
        <v>152.08516233653847</v>
      </c>
      <c r="I77" s="35">
        <f t="shared" si="27"/>
        <v>152.36571788076924</v>
      </c>
      <c r="J77" s="35">
        <f t="shared" si="27"/>
        <v>152.646273425</v>
      </c>
      <c r="K77" s="35">
        <f t="shared" si="27"/>
        <v>152.9268289692308</v>
      </c>
      <c r="L77" s="35">
        <f t="shared" si="27"/>
        <v>153.20738451346156</v>
      </c>
      <c r="M77" s="35">
        <f t="shared" si="27"/>
        <v>153.48794005769236</v>
      </c>
      <c r="N77" s="35">
        <f t="shared" si="27"/>
        <v>153.76849560192309</v>
      </c>
      <c r="O77" s="35">
        <f t="shared" si="27"/>
        <v>154.04905114615386</v>
      </c>
      <c r="P77" s="35">
        <f t="shared" si="27"/>
        <v>154.32960669038462</v>
      </c>
      <c r="Q77" s="35">
        <f t="shared" si="27"/>
        <v>154.46652231875001</v>
      </c>
      <c r="R77" s="35">
        <f t="shared" si="27"/>
        <v>154.46882256250004</v>
      </c>
      <c r="S77" s="35">
        <f t="shared" si="27"/>
        <v>154.47112280625001</v>
      </c>
      <c r="T77" s="35">
        <f t="shared" si="27"/>
        <v>154.47342305000001</v>
      </c>
      <c r="U77" s="35">
        <f t="shared" si="27"/>
        <v>155.67572329375</v>
      </c>
      <c r="V77" s="35">
        <f t="shared" si="27"/>
        <v>157.11802353749999</v>
      </c>
      <c r="W77" s="35">
        <f t="shared" si="27"/>
        <v>157.12032378124999</v>
      </c>
      <c r="X77" s="35">
        <f t="shared" si="27"/>
        <v>157.12262402499999</v>
      </c>
      <c r="Y77" s="35">
        <f t="shared" si="27"/>
        <v>157.12492426875002</v>
      </c>
      <c r="Z77" s="35">
        <f t="shared" si="27"/>
        <v>157.12722451249999</v>
      </c>
      <c r="AA77" s="35">
        <f t="shared" si="27"/>
        <v>157.12952475624999</v>
      </c>
      <c r="AB77" s="35">
        <f t="shared" si="27"/>
        <v>157.13182500000002</v>
      </c>
    </row>
    <row r="78" spans="2:28" x14ac:dyDescent="0.35">
      <c r="B78" s="20" t="s">
        <v>100</v>
      </c>
      <c r="C78" s="2" t="s">
        <v>93</v>
      </c>
      <c r="D78" s="35">
        <f t="shared" ref="D78:AB78" si="28">D77+D45</f>
        <v>153.6029401596154</v>
      </c>
      <c r="E78" s="35">
        <f t="shared" si="28"/>
        <v>153.88349570384617</v>
      </c>
      <c r="F78" s="35">
        <f t="shared" si="28"/>
        <v>154.16405124807693</v>
      </c>
      <c r="G78" s="35">
        <f t="shared" si="28"/>
        <v>154.4446067923077</v>
      </c>
      <c r="H78" s="35">
        <f t="shared" si="28"/>
        <v>154.72516233653846</v>
      </c>
      <c r="I78" s="35">
        <f t="shared" si="28"/>
        <v>155.00571788076923</v>
      </c>
      <c r="J78" s="35">
        <f t="shared" si="28"/>
        <v>155.28627342499999</v>
      </c>
      <c r="K78" s="35">
        <f t="shared" si="28"/>
        <v>155.56682896923078</v>
      </c>
      <c r="L78" s="35">
        <f t="shared" si="28"/>
        <v>155.84738451346155</v>
      </c>
      <c r="M78" s="35">
        <f t="shared" si="28"/>
        <v>156.12794005769234</v>
      </c>
      <c r="N78" s="35">
        <f t="shared" si="28"/>
        <v>156.40849560192308</v>
      </c>
      <c r="O78" s="35">
        <f t="shared" si="28"/>
        <v>156.68905114615384</v>
      </c>
      <c r="P78" s="35">
        <f t="shared" si="28"/>
        <v>156.96960669038461</v>
      </c>
      <c r="Q78" s="35">
        <f t="shared" si="28"/>
        <v>157.10652231875</v>
      </c>
      <c r="R78" s="35">
        <f t="shared" si="28"/>
        <v>157.10882256250002</v>
      </c>
      <c r="S78" s="35">
        <f t="shared" si="28"/>
        <v>157.11112280624999</v>
      </c>
      <c r="T78" s="35">
        <f t="shared" si="28"/>
        <v>157.11342304999999</v>
      </c>
      <c r="U78" s="35">
        <f t="shared" si="28"/>
        <v>157.11572329374999</v>
      </c>
      <c r="V78" s="35">
        <f t="shared" si="28"/>
        <v>157.11802353749999</v>
      </c>
      <c r="W78" s="35">
        <f t="shared" si="28"/>
        <v>157.12032378124999</v>
      </c>
      <c r="X78" s="35">
        <f t="shared" si="28"/>
        <v>157.12262402499999</v>
      </c>
      <c r="Y78" s="35">
        <f t="shared" si="28"/>
        <v>157.12492426875002</v>
      </c>
      <c r="Z78" s="35">
        <f t="shared" si="28"/>
        <v>157.12722451249999</v>
      </c>
      <c r="AA78" s="35">
        <f t="shared" si="28"/>
        <v>157.12952475624999</v>
      </c>
      <c r="AB78" s="35">
        <f t="shared" si="28"/>
        <v>157.13182500000002</v>
      </c>
    </row>
    <row r="79" spans="2:28" x14ac:dyDescent="0.35">
      <c r="B79" s="20" t="s">
        <v>82</v>
      </c>
      <c r="C79" s="2" t="s">
        <v>93</v>
      </c>
      <c r="D79" s="35">
        <f t="shared" ref="D79:AB79" si="29">D78-D59</f>
        <v>146.1029401596154</v>
      </c>
      <c r="E79" s="35">
        <f t="shared" si="29"/>
        <v>147.50849570384617</v>
      </c>
      <c r="F79" s="35">
        <f t="shared" si="29"/>
        <v>148.74530124807694</v>
      </c>
      <c r="G79" s="35">
        <f t="shared" si="29"/>
        <v>149.83866929230769</v>
      </c>
      <c r="H79" s="35">
        <f t="shared" si="29"/>
        <v>150.81011546153846</v>
      </c>
      <c r="I79" s="35">
        <f t="shared" si="29"/>
        <v>151.67792803701923</v>
      </c>
      <c r="J79" s="35">
        <f t="shared" si="29"/>
        <v>152.45765205781248</v>
      </c>
      <c r="K79" s="35">
        <f t="shared" si="29"/>
        <v>153.1625008071214</v>
      </c>
      <c r="L79" s="35">
        <f t="shared" si="29"/>
        <v>153.80370557566857</v>
      </c>
      <c r="M79" s="35">
        <f t="shared" si="29"/>
        <v>154.39081296056833</v>
      </c>
      <c r="N79" s="35">
        <f t="shared" si="29"/>
        <v>154.93193756936765</v>
      </c>
      <c r="O79" s="35">
        <f t="shared" si="29"/>
        <v>155.43397681848174</v>
      </c>
      <c r="P79" s="35">
        <f t="shared" si="29"/>
        <v>155.90279351186331</v>
      </c>
      <c r="Q79" s="35">
        <f t="shared" si="29"/>
        <v>156.19973111700691</v>
      </c>
      <c r="R79" s="35">
        <f t="shared" si="29"/>
        <v>156.33805004101839</v>
      </c>
      <c r="S79" s="35">
        <f t="shared" si="29"/>
        <v>156.45596616299059</v>
      </c>
      <c r="T79" s="35">
        <f t="shared" si="29"/>
        <v>156.55653990322952</v>
      </c>
      <c r="U79" s="35">
        <f t="shared" si="29"/>
        <v>156.6423726189951</v>
      </c>
      <c r="V79" s="35">
        <f t="shared" si="29"/>
        <v>156.71567546395832</v>
      </c>
      <c r="W79" s="35">
        <f t="shared" si="29"/>
        <v>156.77832791873956</v>
      </c>
      <c r="X79" s="35">
        <f t="shared" si="29"/>
        <v>156.83192754186615</v>
      </c>
      <c r="Y79" s="35">
        <f t="shared" si="29"/>
        <v>156.87783225808624</v>
      </c>
      <c r="Z79" s="35">
        <f t="shared" si="29"/>
        <v>156.91719630343579</v>
      </c>
      <c r="AA79" s="35">
        <f t="shared" si="29"/>
        <v>156.95100077854542</v>
      </c>
      <c r="AB79" s="40">
        <f t="shared" si="29"/>
        <v>156.98007961895112</v>
      </c>
    </row>
    <row r="80" spans="2:28" x14ac:dyDescent="0.35">
      <c r="B80" s="20" t="s">
        <v>107</v>
      </c>
      <c r="C80" s="2" t="s">
        <v>93</v>
      </c>
      <c r="D80" s="83">
        <f t="shared" ref="D80:AB80" si="30">IF(D79&gt;0,IF(ISNUMBER(D$58),0,D79*$D$9),0)</f>
        <v>50.566227589242892</v>
      </c>
      <c r="E80" s="83">
        <f t="shared" si="30"/>
        <v>51.052690363101163</v>
      </c>
      <c r="F80" s="83">
        <f t="shared" si="30"/>
        <v>51.480748761959433</v>
      </c>
      <c r="G80" s="83">
        <f t="shared" si="30"/>
        <v>51.85916344206769</v>
      </c>
      <c r="H80" s="83">
        <f t="shared" si="30"/>
        <v>52.195380961238463</v>
      </c>
      <c r="I80" s="83">
        <f t="shared" si="30"/>
        <v>52.495730893612361</v>
      </c>
      <c r="J80" s="83">
        <f t="shared" si="30"/>
        <v>52.765593377208901</v>
      </c>
      <c r="K80" s="83">
        <f t="shared" si="30"/>
        <v>53.009541529344723</v>
      </c>
      <c r="L80" s="83">
        <f t="shared" si="30"/>
        <v>53.231462499738896</v>
      </c>
      <c r="M80" s="83">
        <f t="shared" si="30"/>
        <v>53.434660365652704</v>
      </c>
      <c r="N80" s="83">
        <f t="shared" si="30"/>
        <v>53.621943592758143</v>
      </c>
      <c r="O80" s="83">
        <f t="shared" si="30"/>
        <v>53.795699376876534</v>
      </c>
      <c r="P80" s="83">
        <f t="shared" si="30"/>
        <v>53.957956834455892</v>
      </c>
      <c r="Q80" s="83">
        <f t="shared" si="30"/>
        <v>54.060726939596094</v>
      </c>
      <c r="R80" s="83">
        <f t="shared" si="30"/>
        <v>54.108599119196469</v>
      </c>
      <c r="S80" s="83">
        <f t="shared" si="30"/>
        <v>54.149409889011046</v>
      </c>
      <c r="T80" s="83">
        <f t="shared" si="30"/>
        <v>54.184218460507743</v>
      </c>
      <c r="U80" s="83">
        <f t="shared" si="30"/>
        <v>54.213925163434205</v>
      </c>
      <c r="V80" s="83">
        <f t="shared" si="30"/>
        <v>54.239295278075979</v>
      </c>
      <c r="W80" s="83">
        <f t="shared" si="30"/>
        <v>54.260979292675763</v>
      </c>
      <c r="X80" s="83">
        <f t="shared" si="30"/>
        <v>54.279530122239876</v>
      </c>
      <c r="Y80" s="83">
        <f t="shared" si="30"/>
        <v>54.295417744523654</v>
      </c>
      <c r="Z80" s="83">
        <f t="shared" si="30"/>
        <v>54.309041640619128</v>
      </c>
      <c r="AA80" s="83">
        <f t="shared" si="30"/>
        <v>54.320741369454574</v>
      </c>
      <c r="AB80" s="83">
        <f t="shared" si="30"/>
        <v>54.330805556118989</v>
      </c>
    </row>
    <row r="81" spans="2:28" x14ac:dyDescent="0.35">
      <c r="B81" s="20" t="s">
        <v>106</v>
      </c>
      <c r="C81" s="2" t="s">
        <v>93</v>
      </c>
      <c r="D81" s="35">
        <f>MAX(D77*$D$10,0)</f>
        <v>32.532513604397124</v>
      </c>
      <c r="E81" s="35">
        <f t="shared" ref="E81:AB81" si="31">MAX(E77*$D$10,0)</f>
        <v>32.59297332417885</v>
      </c>
      <c r="F81" s="35">
        <f t="shared" si="31"/>
        <v>32.653433043960582</v>
      </c>
      <c r="G81" s="35">
        <f t="shared" si="31"/>
        <v>32.713892763742308</v>
      </c>
      <c r="H81" s="35">
        <f t="shared" si="31"/>
        <v>32.774352483524041</v>
      </c>
      <c r="I81" s="35">
        <f t="shared" si="31"/>
        <v>32.834812203305773</v>
      </c>
      <c r="J81" s="35">
        <f t="shared" si="31"/>
        <v>32.895271923087499</v>
      </c>
      <c r="K81" s="35">
        <f t="shared" si="31"/>
        <v>32.955731642869239</v>
      </c>
      <c r="L81" s="35">
        <f t="shared" si="31"/>
        <v>33.016191362650964</v>
      </c>
      <c r="M81" s="35">
        <f t="shared" si="31"/>
        <v>33.076651082432704</v>
      </c>
      <c r="N81" s="35">
        <f t="shared" si="31"/>
        <v>33.137110802214423</v>
      </c>
      <c r="O81" s="35">
        <f t="shared" si="31"/>
        <v>33.197570521996155</v>
      </c>
      <c r="P81" s="35">
        <f t="shared" si="31"/>
        <v>33.258030241777888</v>
      </c>
      <c r="Q81" s="35">
        <f t="shared" si="31"/>
        <v>33.287535559690625</v>
      </c>
      <c r="R81" s="35">
        <f t="shared" si="31"/>
        <v>33.288031262218759</v>
      </c>
      <c r="S81" s="35">
        <f t="shared" si="31"/>
        <v>33.288526964746879</v>
      </c>
      <c r="T81" s="35">
        <f t="shared" si="31"/>
        <v>33.289022667274999</v>
      </c>
      <c r="U81" s="35">
        <f t="shared" si="31"/>
        <v>33.54811836980312</v>
      </c>
      <c r="V81" s="35">
        <f t="shared" si="31"/>
        <v>33.858934072331252</v>
      </c>
      <c r="W81" s="35">
        <f t="shared" si="31"/>
        <v>33.859429774859372</v>
      </c>
      <c r="X81" s="35">
        <f t="shared" si="31"/>
        <v>33.859925477387499</v>
      </c>
      <c r="Y81" s="35">
        <f t="shared" si="31"/>
        <v>33.860421179915626</v>
      </c>
      <c r="Z81" s="35">
        <f t="shared" si="31"/>
        <v>33.860916882443746</v>
      </c>
      <c r="AA81" s="35">
        <f t="shared" si="31"/>
        <v>33.861412584971873</v>
      </c>
      <c r="AB81" s="40">
        <f t="shared" si="31"/>
        <v>33.861908287500007</v>
      </c>
    </row>
    <row r="82" spans="2:28" x14ac:dyDescent="0.35">
      <c r="B82" s="20" t="s">
        <v>84</v>
      </c>
      <c r="C82" s="2" t="s">
        <v>93</v>
      </c>
      <c r="D82" s="35">
        <f t="shared" ref="D82:AB82" si="32">IF(D$57&gt;=$D$13,IF(D$57&lt;$D$13+$D$15,MAX(D80-D81,0),0),0)</f>
        <v>0</v>
      </c>
      <c r="E82" s="35">
        <f t="shared" si="32"/>
        <v>0</v>
      </c>
      <c r="F82" s="35">
        <f t="shared" si="32"/>
        <v>0</v>
      </c>
      <c r="G82" s="35">
        <f t="shared" si="32"/>
        <v>0</v>
      </c>
      <c r="H82" s="35">
        <f t="shared" si="32"/>
        <v>0</v>
      </c>
      <c r="I82" s="35">
        <f t="shared" si="32"/>
        <v>0</v>
      </c>
      <c r="J82" s="35">
        <f t="shared" si="32"/>
        <v>0</v>
      </c>
      <c r="K82" s="35">
        <f t="shared" si="32"/>
        <v>0</v>
      </c>
      <c r="L82" s="35">
        <f t="shared" si="32"/>
        <v>0</v>
      </c>
      <c r="M82" s="35">
        <f t="shared" si="32"/>
        <v>0</v>
      </c>
      <c r="N82" s="35">
        <f t="shared" si="32"/>
        <v>0</v>
      </c>
      <c r="O82" s="35">
        <f t="shared" si="32"/>
        <v>0</v>
      </c>
      <c r="P82" s="35">
        <f t="shared" si="32"/>
        <v>0</v>
      </c>
      <c r="Q82" s="35">
        <f t="shared" si="32"/>
        <v>0</v>
      </c>
      <c r="R82" s="35">
        <f t="shared" si="32"/>
        <v>0</v>
      </c>
      <c r="S82" s="165">
        <f t="shared" si="32"/>
        <v>20.860882924264168</v>
      </c>
      <c r="T82" s="165">
        <f t="shared" si="32"/>
        <v>20.895195793232745</v>
      </c>
      <c r="U82" s="165">
        <f t="shared" si="32"/>
        <v>20.665806793631084</v>
      </c>
      <c r="V82" s="165">
        <f t="shared" si="32"/>
        <v>20.380361205744727</v>
      </c>
      <c r="W82" s="165">
        <f t="shared" si="32"/>
        <v>20.401549517816392</v>
      </c>
      <c r="X82" s="35">
        <f t="shared" si="32"/>
        <v>0</v>
      </c>
      <c r="Y82" s="35">
        <f t="shared" si="32"/>
        <v>0</v>
      </c>
      <c r="Z82" s="35">
        <f t="shared" si="32"/>
        <v>0</v>
      </c>
      <c r="AA82" s="35">
        <f t="shared" si="32"/>
        <v>0</v>
      </c>
      <c r="AB82" s="35">
        <f t="shared" si="32"/>
        <v>0</v>
      </c>
    </row>
    <row r="83" spans="2:28" x14ac:dyDescent="0.35">
      <c r="B83" s="20" t="s">
        <v>85</v>
      </c>
      <c r="C83" s="2" t="s">
        <v>93</v>
      </c>
      <c r="D83" s="35">
        <f ca="1">IF(D$57=$D$13-1,SUM(OFFSET(D81,0,-$D$14+1,1,$D$14)),0)</f>
        <v>0</v>
      </c>
      <c r="E83" s="35">
        <f t="shared" ref="E83:AB83" ca="1" si="33">IF(E$57=$D$13-1,SUM(OFFSET(E81,0,-$D$14+1,1,$D$14)),IF(AND(E$57&gt;=$D$13,E$57&lt;$D$13+$D$15),MAX(D83-E82,0),0))</f>
        <v>0</v>
      </c>
      <c r="F83" s="35">
        <f t="shared" ca="1" si="33"/>
        <v>0</v>
      </c>
      <c r="G83" s="35">
        <f t="shared" ca="1" si="33"/>
        <v>0</v>
      </c>
      <c r="H83" s="35">
        <f t="shared" ca="1" si="33"/>
        <v>0</v>
      </c>
      <c r="I83" s="35">
        <f t="shared" ca="1" si="33"/>
        <v>0</v>
      </c>
      <c r="J83" s="35">
        <f t="shared" ca="1" si="33"/>
        <v>0</v>
      </c>
      <c r="K83" s="35">
        <f t="shared" ca="1" si="33"/>
        <v>0</v>
      </c>
      <c r="L83" s="35">
        <f t="shared" ca="1" si="33"/>
        <v>0</v>
      </c>
      <c r="M83" s="35">
        <f t="shared" ca="1" si="33"/>
        <v>0</v>
      </c>
      <c r="N83" s="35">
        <f t="shared" ca="1" si="33"/>
        <v>0</v>
      </c>
      <c r="O83" s="35">
        <f t="shared" ca="1" si="33"/>
        <v>0</v>
      </c>
      <c r="P83" s="35">
        <f t="shared" ca="1" si="33"/>
        <v>0</v>
      </c>
      <c r="Q83" s="35">
        <f t="shared" ca="1" si="33"/>
        <v>0</v>
      </c>
      <c r="R83" s="35">
        <f t="shared" ca="1" si="33"/>
        <v>330.94693660224402</v>
      </c>
      <c r="S83" s="35">
        <f t="shared" ca="1" si="33"/>
        <v>310.08605367797986</v>
      </c>
      <c r="T83" s="35">
        <f t="shared" ca="1" si="33"/>
        <v>289.19085788474712</v>
      </c>
      <c r="U83" s="35">
        <f t="shared" ca="1" si="33"/>
        <v>268.52505109111604</v>
      </c>
      <c r="V83" s="35">
        <f t="shared" ca="1" si="33"/>
        <v>248.14468988537132</v>
      </c>
      <c r="W83" s="35">
        <f t="shared" ca="1" si="33"/>
        <v>227.74314036755493</v>
      </c>
      <c r="X83" s="35">
        <f t="shared" ca="1" si="33"/>
        <v>0</v>
      </c>
      <c r="Y83" s="35">
        <f t="shared" ca="1" si="33"/>
        <v>0</v>
      </c>
      <c r="Z83" s="35">
        <f t="shared" ca="1" si="33"/>
        <v>0</v>
      </c>
      <c r="AA83" s="35">
        <f t="shared" ca="1" si="33"/>
        <v>0</v>
      </c>
      <c r="AB83" s="35">
        <f t="shared" ca="1" si="33"/>
        <v>0</v>
      </c>
    </row>
    <row r="84" spans="2:28" x14ac:dyDescent="0.35">
      <c r="B84" s="20" t="s">
        <v>105</v>
      </c>
      <c r="C84" s="2" t="s">
        <v>93</v>
      </c>
      <c r="D84" s="35">
        <f>MAX(D80-D82,D81)</f>
        <v>50.566227589242892</v>
      </c>
      <c r="E84" s="35">
        <f t="shared" ref="E84:AB84" si="34">MAX(E80-E82,E81)</f>
        <v>51.052690363101163</v>
      </c>
      <c r="F84" s="35">
        <f t="shared" si="34"/>
        <v>51.480748761959433</v>
      </c>
      <c r="G84" s="35">
        <f t="shared" si="34"/>
        <v>51.85916344206769</v>
      </c>
      <c r="H84" s="35">
        <f t="shared" si="34"/>
        <v>52.195380961238463</v>
      </c>
      <c r="I84" s="35">
        <f t="shared" si="34"/>
        <v>52.495730893612361</v>
      </c>
      <c r="J84" s="35">
        <f t="shared" si="34"/>
        <v>52.765593377208901</v>
      </c>
      <c r="K84" s="35">
        <f t="shared" si="34"/>
        <v>53.009541529344723</v>
      </c>
      <c r="L84" s="35">
        <f t="shared" si="34"/>
        <v>53.231462499738896</v>
      </c>
      <c r="M84" s="35">
        <f t="shared" si="34"/>
        <v>53.434660365652704</v>
      </c>
      <c r="N84" s="35">
        <f t="shared" si="34"/>
        <v>53.621943592758143</v>
      </c>
      <c r="O84" s="35">
        <f t="shared" si="34"/>
        <v>53.795699376876534</v>
      </c>
      <c r="P84" s="35">
        <f t="shared" si="34"/>
        <v>53.957956834455892</v>
      </c>
      <c r="Q84" s="35">
        <f t="shared" si="34"/>
        <v>54.060726939596094</v>
      </c>
      <c r="R84" s="35">
        <f t="shared" si="34"/>
        <v>54.108599119196469</v>
      </c>
      <c r="S84" s="35">
        <f t="shared" si="34"/>
        <v>33.288526964746879</v>
      </c>
      <c r="T84" s="35">
        <f t="shared" si="34"/>
        <v>33.289022667274999</v>
      </c>
      <c r="U84" s="35">
        <f t="shared" si="34"/>
        <v>33.54811836980312</v>
      </c>
      <c r="V84" s="35">
        <f t="shared" si="34"/>
        <v>33.858934072331252</v>
      </c>
      <c r="W84" s="35">
        <f t="shared" si="34"/>
        <v>33.859429774859372</v>
      </c>
      <c r="X84" s="35">
        <f t="shared" si="34"/>
        <v>54.279530122239876</v>
      </c>
      <c r="Y84" s="35">
        <f t="shared" si="34"/>
        <v>54.295417744523654</v>
      </c>
      <c r="Z84" s="35">
        <f t="shared" si="34"/>
        <v>54.309041640619128</v>
      </c>
      <c r="AA84" s="35">
        <f t="shared" si="34"/>
        <v>54.320741369454574</v>
      </c>
      <c r="AB84" s="40">
        <f t="shared" si="34"/>
        <v>54.330805556118989</v>
      </c>
    </row>
    <row r="85" spans="2:28" x14ac:dyDescent="0.35">
      <c r="B85" s="20" t="s">
        <v>103</v>
      </c>
      <c r="C85" s="2" t="s">
        <v>93</v>
      </c>
      <c r="D85" s="35">
        <f>D77-D84</f>
        <v>100.39671257037253</v>
      </c>
      <c r="E85" s="35">
        <f t="shared" ref="E85:AB85" si="35">E77-E84</f>
        <v>100.19080534074502</v>
      </c>
      <c r="F85" s="35">
        <f t="shared" si="35"/>
        <v>100.04330248611751</v>
      </c>
      <c r="G85" s="35">
        <f t="shared" si="35"/>
        <v>99.945443350240026</v>
      </c>
      <c r="H85" s="35">
        <f t="shared" si="35"/>
        <v>99.889781375300004</v>
      </c>
      <c r="I85" s="35">
        <f t="shared" si="35"/>
        <v>99.869986987156878</v>
      </c>
      <c r="J85" s="35">
        <f t="shared" si="35"/>
        <v>99.880680047791103</v>
      </c>
      <c r="K85" s="35">
        <f t="shared" si="35"/>
        <v>99.917287439886081</v>
      </c>
      <c r="L85" s="35">
        <f t="shared" si="35"/>
        <v>99.975922013722666</v>
      </c>
      <c r="M85" s="35">
        <f t="shared" si="35"/>
        <v>100.05327969203965</v>
      </c>
      <c r="N85" s="35">
        <f t="shared" si="35"/>
        <v>100.14655200916495</v>
      </c>
      <c r="O85" s="35">
        <f t="shared" si="35"/>
        <v>100.25335176927732</v>
      </c>
      <c r="P85" s="35">
        <f t="shared" si="35"/>
        <v>100.37164985592872</v>
      </c>
      <c r="Q85" s="35">
        <f t="shared" si="35"/>
        <v>100.40579537915391</v>
      </c>
      <c r="R85" s="35">
        <f t="shared" si="35"/>
        <v>100.36022344330357</v>
      </c>
      <c r="S85" s="35">
        <f t="shared" si="35"/>
        <v>121.18259584150313</v>
      </c>
      <c r="T85" s="35">
        <f t="shared" si="35"/>
        <v>121.18440038272502</v>
      </c>
      <c r="U85" s="35">
        <f t="shared" si="35"/>
        <v>122.12760492394688</v>
      </c>
      <c r="V85" s="35">
        <f t="shared" si="35"/>
        <v>123.25908946516874</v>
      </c>
      <c r="W85" s="35">
        <f t="shared" si="35"/>
        <v>123.26089400639063</v>
      </c>
      <c r="X85" s="35">
        <f t="shared" si="35"/>
        <v>102.84309390276012</v>
      </c>
      <c r="Y85" s="35">
        <f t="shared" si="35"/>
        <v>102.82950652422636</v>
      </c>
      <c r="Z85" s="35">
        <f t="shared" si="35"/>
        <v>102.81818287188086</v>
      </c>
      <c r="AA85" s="35">
        <f t="shared" si="35"/>
        <v>102.80878338679543</v>
      </c>
      <c r="AB85" s="40">
        <f t="shared" si="35"/>
        <v>102.80101944388103</v>
      </c>
    </row>
    <row r="86" spans="2:28" ht="15" thickBot="1" x14ac:dyDescent="0.4">
      <c r="B86" s="29" t="s">
        <v>104</v>
      </c>
      <c r="C86" s="31" t="s">
        <v>11</v>
      </c>
      <c r="D86" s="74">
        <f>IF(D85/$D$7&gt;0,D85/$D$7,0)</f>
        <v>10.039671257037252</v>
      </c>
      <c r="E86" s="74">
        <f>IF(E85/$D$7&gt;0,E85/$D$7,0)</f>
        <v>10.019080534074501</v>
      </c>
      <c r="F86" s="74">
        <f t="shared" ref="F86:AB86" si="36">IF(F85/$D$7&gt;0,F85/$D$7,0)</f>
        <v>10.004330248611751</v>
      </c>
      <c r="G86" s="74">
        <f t="shared" si="36"/>
        <v>9.9945443350240026</v>
      </c>
      <c r="H86" s="74">
        <f t="shared" si="36"/>
        <v>9.9889781375300011</v>
      </c>
      <c r="I86" s="74">
        <f t="shared" si="36"/>
        <v>9.9869986987156878</v>
      </c>
      <c r="J86" s="74">
        <f t="shared" si="36"/>
        <v>9.9880680047791106</v>
      </c>
      <c r="K86" s="74">
        <f t="shared" si="36"/>
        <v>9.9917287439886078</v>
      </c>
      <c r="L86" s="74">
        <f t="shared" si="36"/>
        <v>9.9975922013722673</v>
      </c>
      <c r="M86" s="74">
        <f t="shared" si="36"/>
        <v>10.005327969203964</v>
      </c>
      <c r="N86" s="74">
        <f t="shared" si="36"/>
        <v>10.014655200916495</v>
      </c>
      <c r="O86" s="74">
        <f t="shared" si="36"/>
        <v>10.025335176927731</v>
      </c>
      <c r="P86" s="74">
        <f t="shared" si="36"/>
        <v>10.037164985592872</v>
      </c>
      <c r="Q86" s="74">
        <f t="shared" si="36"/>
        <v>10.040579537915391</v>
      </c>
      <c r="R86" s="74">
        <f t="shared" si="36"/>
        <v>10.036022344330357</v>
      </c>
      <c r="S86" s="74">
        <f t="shared" si="36"/>
        <v>12.118259584150312</v>
      </c>
      <c r="T86" s="74">
        <f t="shared" si="36"/>
        <v>12.118440038272501</v>
      </c>
      <c r="U86" s="74">
        <f t="shared" si="36"/>
        <v>12.212760492394688</v>
      </c>
      <c r="V86" s="74">
        <f t="shared" si="36"/>
        <v>12.325908946516874</v>
      </c>
      <c r="W86" s="74">
        <f t="shared" si="36"/>
        <v>12.326089400639063</v>
      </c>
      <c r="X86" s="74">
        <f t="shared" si="36"/>
        <v>10.284309390276011</v>
      </c>
      <c r="Y86" s="74">
        <f t="shared" si="36"/>
        <v>10.282950652422636</v>
      </c>
      <c r="Z86" s="74">
        <f t="shared" si="36"/>
        <v>10.281818287188086</v>
      </c>
      <c r="AA86" s="74">
        <f t="shared" si="36"/>
        <v>10.280878338679543</v>
      </c>
      <c r="AB86" s="82">
        <f t="shared" si="36"/>
        <v>10.280101944388104</v>
      </c>
    </row>
  </sheetData>
  <mergeCells count="1">
    <mergeCell ref="E13:I13"/>
  </mergeCells>
  <hyperlinks>
    <hyperlink ref="F15" r:id="rId1" xr:uid="{2AD6A30B-3420-494A-A006-9FDA79581D5B}"/>
  </hyperlinks>
  <pageMargins left="0.7" right="0.7" top="0.75" bottom="0.75" header="0.3" footer="0.3"/>
  <pageSetup paperSize="9" orientation="landscape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A21D-DBBD-46B0-BB2A-407F85778B0F}">
  <sheetPr>
    <tabColor rgb="FF92D050"/>
  </sheetPr>
  <dimension ref="B2:AB51"/>
  <sheetViews>
    <sheetView zoomScale="89" workbookViewId="0">
      <selection activeCell="D44" sqref="D44"/>
    </sheetView>
  </sheetViews>
  <sheetFormatPr defaultRowHeight="14.5" x14ac:dyDescent="0.35"/>
  <cols>
    <col min="2" max="2" width="48.453125" customWidth="1"/>
    <col min="3" max="3" width="11.81640625" bestFit="1" customWidth="1"/>
    <col min="4" max="4" width="5.54296875" bestFit="1" customWidth="1"/>
    <col min="5" max="5" width="6.26953125" customWidth="1"/>
    <col min="6" max="6" width="7.54296875" bestFit="1" customWidth="1"/>
    <col min="7" max="13" width="5.54296875" bestFit="1" customWidth="1"/>
    <col min="14" max="28" width="6.54296875" bestFit="1" customWidth="1"/>
  </cols>
  <sheetData>
    <row r="2" spans="2:28" x14ac:dyDescent="0.35">
      <c r="B2" s="28" t="s">
        <v>32</v>
      </c>
      <c r="C2" s="118">
        <f>'Assumption for Botlling Plant'!$F$34</f>
        <v>7.7362599999999976E-2</v>
      </c>
    </row>
    <row r="4" spans="2:28" ht="15" thickBot="1" x14ac:dyDescent="0.4"/>
    <row r="5" spans="2:28" ht="15" thickBot="1" x14ac:dyDescent="0.4">
      <c r="B5" s="100" t="s">
        <v>119</v>
      </c>
      <c r="C5" s="131">
        <f>'Assumption for Botlling Plant'!$F$14</f>
        <v>50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16"/>
    </row>
    <row r="7" spans="2:28" ht="15" thickBot="1" x14ac:dyDescent="0.4"/>
    <row r="8" spans="2:28" ht="15" thickBot="1" x14ac:dyDescent="0.4">
      <c r="B8" s="101" t="s">
        <v>113</v>
      </c>
      <c r="C8" s="106">
        <v>0</v>
      </c>
      <c r="D8" s="106">
        <v>1</v>
      </c>
      <c r="E8" s="106">
        <v>2</v>
      </c>
      <c r="F8" s="106">
        <v>3</v>
      </c>
      <c r="G8" s="106">
        <v>4</v>
      </c>
      <c r="H8" s="106">
        <v>5</v>
      </c>
      <c r="I8" s="106">
        <v>6</v>
      </c>
      <c r="J8" s="106">
        <v>7</v>
      </c>
      <c r="K8" s="106">
        <v>8</v>
      </c>
      <c r="L8" s="106">
        <v>9</v>
      </c>
      <c r="M8" s="106">
        <v>10</v>
      </c>
      <c r="N8" s="106">
        <v>11</v>
      </c>
      <c r="O8" s="106">
        <v>12</v>
      </c>
      <c r="P8" s="106">
        <v>13</v>
      </c>
      <c r="Q8" s="106">
        <v>14</v>
      </c>
      <c r="R8" s="106">
        <v>15</v>
      </c>
      <c r="S8" s="106">
        <v>16</v>
      </c>
      <c r="T8" s="106">
        <v>17</v>
      </c>
      <c r="U8" s="106">
        <v>18</v>
      </c>
      <c r="V8" s="106">
        <v>19</v>
      </c>
      <c r="W8" s="106">
        <v>20</v>
      </c>
      <c r="X8" s="106">
        <v>21</v>
      </c>
      <c r="Y8" s="106">
        <v>22</v>
      </c>
      <c r="Z8" s="106">
        <v>23</v>
      </c>
      <c r="AA8" s="106">
        <v>24</v>
      </c>
      <c r="AB8" s="107">
        <v>25</v>
      </c>
    </row>
    <row r="9" spans="2:28" x14ac:dyDescent="0.35">
      <c r="B9" s="57" t="s">
        <v>239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7"/>
    </row>
    <row r="10" spans="2:28" x14ac:dyDescent="0.35">
      <c r="B10" s="20" t="s">
        <v>114</v>
      </c>
      <c r="C10" s="2"/>
      <c r="D10" s="83">
        <f>'P&amp;L'!D71</f>
        <v>1.5493875000000075</v>
      </c>
      <c r="E10" s="83">
        <f>'P&amp;L'!E71</f>
        <v>1.5493874999999984</v>
      </c>
      <c r="F10" s="83">
        <f>'P&amp;L'!F71</f>
        <v>1.5493874999999997</v>
      </c>
      <c r="G10" s="83">
        <f>'P&amp;L'!G71</f>
        <v>1.5493875000000192</v>
      </c>
      <c r="H10" s="83">
        <f>'P&amp;L'!H71</f>
        <v>1.5493875000000108</v>
      </c>
      <c r="I10" s="83">
        <f>'P&amp;L'!I71</f>
        <v>1.5294965649218848</v>
      </c>
      <c r="J10" s="83">
        <f>'P&amp;L'!J71</f>
        <v>1.3567343551835944</v>
      </c>
      <c r="K10" s="83">
        <f>'P&amp;L'!K71</f>
        <v>1.2098864769060484</v>
      </c>
      <c r="L10" s="83">
        <f>'P&amp;L'!L71</f>
        <v>1.0850657803701553</v>
      </c>
      <c r="M10" s="83">
        <f>'P&amp;L'!M71</f>
        <v>0.97896818831463572</v>
      </c>
      <c r="N10" s="83">
        <f>'P&amp;L'!N71</f>
        <v>1.215735235067434</v>
      </c>
      <c r="O10" s="83">
        <f>'P&amp;L'!O71</f>
        <v>1.1390797248073217</v>
      </c>
      <c r="P10" s="83">
        <f>'P&amp;L'!P71</f>
        <v>1.073922541086221</v>
      </c>
      <c r="Q10" s="83">
        <f>'P&amp;L'!Q71</f>
        <v>-0.5004162734100418</v>
      </c>
      <c r="R10" s="83">
        <f>'P&amp;L'!R71</f>
        <v>-0.54749233864853586</v>
      </c>
      <c r="S10" s="83">
        <f>'P&amp;L'!S71</f>
        <v>0.11930937500000924</v>
      </c>
      <c r="T10" s="83">
        <f>'P&amp;L'!T71</f>
        <v>0.119309374999996</v>
      </c>
      <c r="U10" s="83">
        <f>'P&amp;L'!U71</f>
        <v>1.0607093750000058</v>
      </c>
      <c r="V10" s="83">
        <f>'P&amp;L'!V71</f>
        <v>2.1903893749999992</v>
      </c>
      <c r="W10" s="83">
        <f>'P&amp;L'!W71</f>
        <v>2.1903893750000085</v>
      </c>
      <c r="X10" s="83">
        <f>'P&amp;L'!X71</f>
        <v>1.9263533444792997</v>
      </c>
      <c r="Y10" s="83">
        <f>'P&amp;L'!Y71</f>
        <v>1.9112618365574092</v>
      </c>
      <c r="Z10" s="83">
        <f>'P&amp;L'!Z71</f>
        <v>1.8984340548237979</v>
      </c>
      <c r="AA10" s="83">
        <f>'P&amp;L'!AA71</f>
        <v>1.887530440350218</v>
      </c>
      <c r="AB10" s="83">
        <f>'P&amp;L'!AB71</f>
        <v>1.8782623680476975</v>
      </c>
    </row>
    <row r="11" spans="2:28" x14ac:dyDescent="0.35">
      <c r="B11" s="20" t="s">
        <v>167</v>
      </c>
      <c r="C11" s="2"/>
      <c r="D11" s="83">
        <f>D10+'P&amp;L'!D45</f>
        <v>4.1893875000000076</v>
      </c>
      <c r="E11" s="83">
        <f>E10+'P&amp;L'!E45</f>
        <v>4.1893874999999987</v>
      </c>
      <c r="F11" s="83">
        <f>F10+'P&amp;L'!F45</f>
        <v>4.1893874999999996</v>
      </c>
      <c r="G11" s="83">
        <f>G10+'P&amp;L'!G45</f>
        <v>4.1893875000000191</v>
      </c>
      <c r="H11" s="83">
        <f>H10+'P&amp;L'!H45</f>
        <v>4.1893875000000111</v>
      </c>
      <c r="I11" s="83">
        <f>I10+'P&amp;L'!I45</f>
        <v>4.1694965649218849</v>
      </c>
      <c r="J11" s="83">
        <f>J10+'P&amp;L'!J45</f>
        <v>3.9967343551835945</v>
      </c>
      <c r="K11" s="83">
        <f>K10+'P&amp;L'!K45</f>
        <v>3.8498864769060486</v>
      </c>
      <c r="L11" s="83">
        <f>L10+'P&amp;L'!L45</f>
        <v>3.7250657803701555</v>
      </c>
      <c r="M11" s="83">
        <f>M10+'P&amp;L'!M45</f>
        <v>3.6189681883146356</v>
      </c>
      <c r="N11" s="83">
        <f>N10+'P&amp;L'!N45</f>
        <v>3.8557352350674341</v>
      </c>
      <c r="O11" s="83">
        <f>O10+'P&amp;L'!O45</f>
        <v>3.779079724807322</v>
      </c>
      <c r="P11" s="83">
        <f>P10+'P&amp;L'!P45</f>
        <v>3.7139225410862213</v>
      </c>
      <c r="Q11" s="83">
        <f>Q10+'P&amp;L'!Q45</f>
        <v>2.1395837265899584</v>
      </c>
      <c r="R11" s="83">
        <f>R10+'P&amp;L'!R45</f>
        <v>2.0925076613514642</v>
      </c>
      <c r="S11" s="83">
        <f>S10+'P&amp;L'!S45</f>
        <v>2.7593093750000093</v>
      </c>
      <c r="T11" s="83">
        <f>T10+'P&amp;L'!T45</f>
        <v>2.759309374999996</v>
      </c>
      <c r="U11" s="83">
        <f>U10+'P&amp;L'!U45</f>
        <v>2.5007093750000058</v>
      </c>
      <c r="V11" s="83">
        <f>V10+'P&amp;L'!V45</f>
        <v>2.1903893749999992</v>
      </c>
      <c r="W11" s="83">
        <f>W10+'P&amp;L'!W45</f>
        <v>2.1903893750000085</v>
      </c>
      <c r="X11" s="83">
        <f>X10+'P&amp;L'!X45</f>
        <v>1.9263533444792997</v>
      </c>
      <c r="Y11" s="83">
        <f>Y10+'P&amp;L'!Y45</f>
        <v>1.9112618365574092</v>
      </c>
      <c r="Z11" s="83">
        <f>Z10+'P&amp;L'!Z45</f>
        <v>1.8984340548237979</v>
      </c>
      <c r="AA11" s="83">
        <f>AA10+'P&amp;L'!AA45</f>
        <v>1.887530440350218</v>
      </c>
      <c r="AB11" s="83">
        <f>AB10+'P&amp;L'!AB45</f>
        <v>1.8782623680476975</v>
      </c>
    </row>
    <row r="12" spans="2:28" x14ac:dyDescent="0.35">
      <c r="B12" s="20" t="s">
        <v>168</v>
      </c>
      <c r="C12" s="2"/>
      <c r="D12" s="83">
        <f>D11+Determination_of_Cost!D10</f>
        <v>7.5547721153846226</v>
      </c>
      <c r="E12" s="83">
        <f>E11+Determination_of_Cost!E10</f>
        <v>7.2855413461538436</v>
      </c>
      <c r="F12" s="83">
        <f>F11+Determination_of_Cost!F10</f>
        <v>7.0163105769230754</v>
      </c>
      <c r="G12" s="83">
        <f>G11+Determination_of_Cost!G10</f>
        <v>6.7470798076923266</v>
      </c>
      <c r="H12" s="83">
        <f>H11+Determination_of_Cost!H10</f>
        <v>6.4778490384615486</v>
      </c>
      <c r="I12" s="83">
        <f>I11+Determination_of_Cost!I10</f>
        <v>6.1887273341526541</v>
      </c>
      <c r="J12" s="83">
        <f>J11+Determination_of_Cost!J10</f>
        <v>5.7467343551835937</v>
      </c>
      <c r="K12" s="83">
        <f>K11+Determination_of_Cost!K10</f>
        <v>5.3306557076752785</v>
      </c>
      <c r="L12" s="83">
        <f>L11+Determination_of_Cost!L10</f>
        <v>4.9366042419086167</v>
      </c>
      <c r="M12" s="83">
        <f>M11+Determination_of_Cost!M10</f>
        <v>4.5612758806223273</v>
      </c>
      <c r="N12" s="83">
        <f>N11+Determination_of_Cost!N10</f>
        <v>4.5288121581443566</v>
      </c>
      <c r="O12" s="83">
        <f>O11+Determination_of_Cost!O10</f>
        <v>4.1829258786534753</v>
      </c>
      <c r="P12" s="83">
        <f>P11+Determination_of_Cost!P10</f>
        <v>3.8485379257016055</v>
      </c>
      <c r="Q12" s="83">
        <f>Q11+Determination_of_Cost!Q10</f>
        <v>2.1395837265899584</v>
      </c>
      <c r="R12" s="83">
        <f>R11+Determination_of_Cost!R10</f>
        <v>2.0925076613514642</v>
      </c>
      <c r="S12" s="83">
        <f>S11+Determination_of_Cost!S10</f>
        <v>2.7593093750000093</v>
      </c>
      <c r="T12" s="83">
        <f>T11+Determination_of_Cost!T10</f>
        <v>2.759309374999996</v>
      </c>
      <c r="U12" s="83">
        <f>U11+Determination_of_Cost!U10</f>
        <v>2.5007093750000058</v>
      </c>
      <c r="V12" s="83">
        <f>V11+Determination_of_Cost!V10</f>
        <v>2.1903893749999992</v>
      </c>
      <c r="W12" s="83">
        <f>W11+Determination_of_Cost!W10</f>
        <v>2.1903893750000085</v>
      </c>
      <c r="X12" s="83">
        <f>X11+Determination_of_Cost!X10</f>
        <v>1.9263533444792997</v>
      </c>
      <c r="Y12" s="83">
        <f>Y11+Determination_of_Cost!Y10</f>
        <v>1.9112618365574092</v>
      </c>
      <c r="Z12" s="83">
        <f>Z11+Determination_of_Cost!Z10</f>
        <v>1.8984340548237979</v>
      </c>
      <c r="AA12" s="83">
        <f>AA11+Determination_of_Cost!AA10</f>
        <v>1.887530440350218</v>
      </c>
      <c r="AB12" s="128">
        <f>AB11+Determination_of_Cost!AB10</f>
        <v>1.8782623680476975</v>
      </c>
    </row>
    <row r="13" spans="2:28" x14ac:dyDescent="0.35">
      <c r="B13" s="20" t="s">
        <v>117</v>
      </c>
      <c r="C13" s="114">
        <f>-C5</f>
        <v>-50</v>
      </c>
      <c r="D13" s="83">
        <f t="shared" ref="D13:AB13" si="0">D12-D5</f>
        <v>7.5547721153846226</v>
      </c>
      <c r="E13" s="83">
        <f t="shared" si="0"/>
        <v>7.2855413461538436</v>
      </c>
      <c r="F13" s="83">
        <f t="shared" si="0"/>
        <v>7.0163105769230754</v>
      </c>
      <c r="G13" s="83">
        <f t="shared" si="0"/>
        <v>6.7470798076923266</v>
      </c>
      <c r="H13" s="83">
        <f t="shared" si="0"/>
        <v>6.4778490384615486</v>
      </c>
      <c r="I13" s="83">
        <f t="shared" si="0"/>
        <v>6.1887273341526541</v>
      </c>
      <c r="J13" s="83">
        <f t="shared" si="0"/>
        <v>5.7467343551835937</v>
      </c>
      <c r="K13" s="83">
        <f t="shared" si="0"/>
        <v>5.3306557076752785</v>
      </c>
      <c r="L13" s="83">
        <f t="shared" si="0"/>
        <v>4.9366042419086167</v>
      </c>
      <c r="M13" s="83">
        <f t="shared" si="0"/>
        <v>4.5612758806223273</v>
      </c>
      <c r="N13" s="83">
        <f t="shared" si="0"/>
        <v>4.5288121581443566</v>
      </c>
      <c r="O13" s="83">
        <f t="shared" si="0"/>
        <v>4.1829258786534753</v>
      </c>
      <c r="P13" s="83">
        <f t="shared" si="0"/>
        <v>3.8485379257016055</v>
      </c>
      <c r="Q13" s="83">
        <f t="shared" si="0"/>
        <v>2.1395837265899584</v>
      </c>
      <c r="R13" s="83">
        <f t="shared" si="0"/>
        <v>2.0925076613514642</v>
      </c>
      <c r="S13" s="83">
        <f t="shared" si="0"/>
        <v>2.7593093750000093</v>
      </c>
      <c r="T13" s="83">
        <f t="shared" si="0"/>
        <v>2.759309374999996</v>
      </c>
      <c r="U13" s="83">
        <f t="shared" si="0"/>
        <v>2.5007093750000058</v>
      </c>
      <c r="V13" s="83">
        <f t="shared" si="0"/>
        <v>2.1903893749999992</v>
      </c>
      <c r="W13" s="83">
        <f t="shared" si="0"/>
        <v>2.1903893750000085</v>
      </c>
      <c r="X13" s="83">
        <f t="shared" si="0"/>
        <v>1.9263533444792997</v>
      </c>
      <c r="Y13" s="83">
        <f t="shared" si="0"/>
        <v>1.9112618365574092</v>
      </c>
      <c r="Z13" s="83">
        <f t="shared" si="0"/>
        <v>1.8984340548237979</v>
      </c>
      <c r="AA13" s="83">
        <f t="shared" si="0"/>
        <v>1.887530440350218</v>
      </c>
      <c r="AB13" s="128">
        <f t="shared" si="0"/>
        <v>1.8782623680476975</v>
      </c>
    </row>
    <row r="14" spans="2:28" x14ac:dyDescent="0.35">
      <c r="B14" s="20" t="s">
        <v>122</v>
      </c>
      <c r="C14" s="114">
        <f>C13</f>
        <v>-50</v>
      </c>
      <c r="D14" s="83">
        <f>C14+D13</f>
        <v>-42.445227884615377</v>
      </c>
      <c r="E14" s="83">
        <f t="shared" ref="E14:AB14" si="1">D14+E13</f>
        <v>-35.159686538461536</v>
      </c>
      <c r="F14" s="83">
        <f t="shared" si="1"/>
        <v>-28.14337596153846</v>
      </c>
      <c r="G14" s="83">
        <f t="shared" si="1"/>
        <v>-21.396296153846134</v>
      </c>
      <c r="H14" s="83">
        <f t="shared" si="1"/>
        <v>-14.918447115384584</v>
      </c>
      <c r="I14" s="83">
        <f t="shared" si="1"/>
        <v>-8.72971978123193</v>
      </c>
      <c r="J14" s="83">
        <f t="shared" si="1"/>
        <v>-2.9829854260483364</v>
      </c>
      <c r="K14" s="83">
        <f t="shared" si="1"/>
        <v>2.3476702816269421</v>
      </c>
      <c r="L14" s="83">
        <f t="shared" si="1"/>
        <v>7.2842745235355588</v>
      </c>
      <c r="M14" s="83">
        <f t="shared" si="1"/>
        <v>11.845550404157887</v>
      </c>
      <c r="N14" s="83">
        <f t="shared" si="1"/>
        <v>16.374362562302245</v>
      </c>
      <c r="O14" s="83">
        <f t="shared" si="1"/>
        <v>20.55728844095572</v>
      </c>
      <c r="P14" s="83">
        <f t="shared" si="1"/>
        <v>24.405826366657326</v>
      </c>
      <c r="Q14" s="83">
        <f t="shared" si="1"/>
        <v>26.545410093247284</v>
      </c>
      <c r="R14" s="83">
        <f t="shared" si="1"/>
        <v>28.63791775459875</v>
      </c>
      <c r="S14" s="83">
        <f t="shared" si="1"/>
        <v>31.397227129598758</v>
      </c>
      <c r="T14" s="83">
        <f t="shared" si="1"/>
        <v>34.156536504598755</v>
      </c>
      <c r="U14" s="83">
        <f t="shared" si="1"/>
        <v>36.657245879598761</v>
      </c>
      <c r="V14" s="83">
        <f t="shared" si="1"/>
        <v>38.847635254598764</v>
      </c>
      <c r="W14" s="83">
        <f t="shared" si="1"/>
        <v>41.038024629598773</v>
      </c>
      <c r="X14" s="83">
        <f t="shared" si="1"/>
        <v>42.964377974078076</v>
      </c>
      <c r="Y14" s="83">
        <f t="shared" si="1"/>
        <v>44.875639810635484</v>
      </c>
      <c r="Z14" s="83">
        <f t="shared" si="1"/>
        <v>46.774073865459279</v>
      </c>
      <c r="AA14" s="83">
        <f t="shared" si="1"/>
        <v>48.661604305809497</v>
      </c>
      <c r="AB14" s="83">
        <f t="shared" si="1"/>
        <v>50.539866673857198</v>
      </c>
    </row>
    <row r="15" spans="2:28" x14ac:dyDescent="0.35">
      <c r="B15" s="20"/>
      <c r="C15" s="77" t="str">
        <f>IF(AND(D14&gt;0,C14&lt;=0),C$8,"")</f>
        <v/>
      </c>
      <c r="D15" s="77" t="str">
        <f t="shared" ref="D15:AA15" si="2">IF(AND(E14&gt;0,D14&lt;=0),D$8,"")</f>
        <v/>
      </c>
      <c r="E15" s="77" t="str">
        <f t="shared" si="2"/>
        <v/>
      </c>
      <c r="F15" s="77" t="str">
        <f t="shared" si="2"/>
        <v/>
      </c>
      <c r="G15" s="77" t="str">
        <f t="shared" si="2"/>
        <v/>
      </c>
      <c r="H15" s="77" t="str">
        <f t="shared" si="2"/>
        <v/>
      </c>
      <c r="I15" s="77" t="str">
        <f t="shared" si="2"/>
        <v/>
      </c>
      <c r="J15" s="77">
        <f t="shared" si="2"/>
        <v>7</v>
      </c>
      <c r="K15" s="77" t="str">
        <f t="shared" si="2"/>
        <v/>
      </c>
      <c r="L15" s="77" t="str">
        <f t="shared" si="2"/>
        <v/>
      </c>
      <c r="M15" s="77" t="str">
        <f t="shared" si="2"/>
        <v/>
      </c>
      <c r="N15" s="77" t="str">
        <f t="shared" si="2"/>
        <v/>
      </c>
      <c r="O15" s="77" t="str">
        <f t="shared" si="2"/>
        <v/>
      </c>
      <c r="P15" s="77" t="str">
        <f t="shared" si="2"/>
        <v/>
      </c>
      <c r="Q15" s="77" t="str">
        <f t="shared" si="2"/>
        <v/>
      </c>
      <c r="R15" s="77" t="str">
        <f t="shared" si="2"/>
        <v/>
      </c>
      <c r="S15" s="77" t="str">
        <f t="shared" si="2"/>
        <v/>
      </c>
      <c r="T15" s="77" t="str">
        <f t="shared" si="2"/>
        <v/>
      </c>
      <c r="U15" s="77" t="str">
        <f t="shared" si="2"/>
        <v/>
      </c>
      <c r="V15" s="77" t="str">
        <f t="shared" si="2"/>
        <v/>
      </c>
      <c r="W15" s="77" t="str">
        <f t="shared" si="2"/>
        <v/>
      </c>
      <c r="X15" s="77" t="str">
        <f t="shared" si="2"/>
        <v/>
      </c>
      <c r="Y15" s="77" t="str">
        <f t="shared" si="2"/>
        <v/>
      </c>
      <c r="Z15" s="77" t="str">
        <f t="shared" si="2"/>
        <v/>
      </c>
      <c r="AA15" s="77" t="str">
        <f t="shared" si="2"/>
        <v/>
      </c>
      <c r="AB15" s="77"/>
    </row>
    <row r="16" spans="2:28" x14ac:dyDescent="0.35">
      <c r="B16" s="138" t="s">
        <v>113</v>
      </c>
      <c r="C16" s="135">
        <f>IRR(C13:AB13,$C$2)</f>
        <v>9.299808093128914E-2</v>
      </c>
      <c r="D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8"/>
    </row>
    <row r="17" spans="2:28" ht="15" thickBot="1" x14ac:dyDescent="0.4">
      <c r="B17" s="139" t="s">
        <v>118</v>
      </c>
      <c r="C17" s="109">
        <f>NPV($C$2,D13:AB13)+C13</f>
        <v>4.9877581859595779</v>
      </c>
      <c r="D17" s="2"/>
      <c r="E17" s="105" t="str">
        <f>IF(AND(C16&gt;$C$2,C17&gt;0),"Accept The Project","Reject The Project")</f>
        <v>Accept The Project</v>
      </c>
      <c r="F17" s="2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"/>
    </row>
    <row r="18" spans="2:28" ht="15" thickBot="1" x14ac:dyDescent="0.4">
      <c r="B18" s="138" t="s">
        <v>121</v>
      </c>
      <c r="C18" s="111">
        <f>MIN(C15:AB15)</f>
        <v>7</v>
      </c>
      <c r="D18" s="112" t="s">
        <v>16</v>
      </c>
      <c r="E18" s="110">
        <f>(ABS(INDEX(C14:AB14,,MATCH(C18,C15:AB15,0))))/(ABS(INDEX(C13:AB13,,(MATCH(C18,C15:AB15,0))+1)))*10</f>
        <v>5.595907125934473</v>
      </c>
      <c r="F18" s="113" t="s">
        <v>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8"/>
    </row>
    <row r="19" spans="2:28" x14ac:dyDescent="0.35">
      <c r="B19" s="57" t="s">
        <v>241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7"/>
    </row>
    <row r="20" spans="2:28" x14ac:dyDescent="0.35">
      <c r="B20" s="20" t="s">
        <v>114</v>
      </c>
      <c r="C20" s="2"/>
      <c r="D20" s="83">
        <f>'P&amp;L'!D85</f>
        <v>100.39671257037253</v>
      </c>
      <c r="E20" s="83">
        <f>'P&amp;L'!E85</f>
        <v>100.19080534074502</v>
      </c>
      <c r="F20" s="83">
        <f>'P&amp;L'!F85</f>
        <v>100.04330248611751</v>
      </c>
      <c r="G20" s="83">
        <f>'P&amp;L'!G85</f>
        <v>99.945443350240026</v>
      </c>
      <c r="H20" s="83">
        <f>'P&amp;L'!H85</f>
        <v>99.889781375300004</v>
      </c>
      <c r="I20" s="83">
        <f>'P&amp;L'!I85</f>
        <v>99.869986987156878</v>
      </c>
      <c r="J20" s="83">
        <f>'P&amp;L'!J85</f>
        <v>99.880680047791103</v>
      </c>
      <c r="K20" s="83">
        <f>'P&amp;L'!K85</f>
        <v>99.917287439886081</v>
      </c>
      <c r="L20" s="83">
        <f>'P&amp;L'!L85</f>
        <v>99.975922013722666</v>
      </c>
      <c r="M20" s="83">
        <f>'P&amp;L'!M85</f>
        <v>100.05327969203965</v>
      </c>
      <c r="N20" s="83">
        <f>'P&amp;L'!N85</f>
        <v>100.14655200916495</v>
      </c>
      <c r="O20" s="83">
        <f>'P&amp;L'!O85</f>
        <v>100.25335176927732</v>
      </c>
      <c r="P20" s="83">
        <f>'P&amp;L'!P85</f>
        <v>100.37164985592872</v>
      </c>
      <c r="Q20" s="83">
        <f>'P&amp;L'!Q85</f>
        <v>100.40579537915391</v>
      </c>
      <c r="R20" s="83">
        <f>'P&amp;L'!R85</f>
        <v>100.36022344330357</v>
      </c>
      <c r="S20" s="83">
        <f>'P&amp;L'!S85</f>
        <v>121.18259584150313</v>
      </c>
      <c r="T20" s="83">
        <f>'P&amp;L'!T85</f>
        <v>121.18440038272502</v>
      </c>
      <c r="U20" s="83">
        <f>'P&amp;L'!U85</f>
        <v>122.12760492394688</v>
      </c>
      <c r="V20" s="83">
        <f>'P&amp;L'!V85</f>
        <v>123.25908946516874</v>
      </c>
      <c r="W20" s="83">
        <f>'P&amp;L'!W85</f>
        <v>123.26089400639063</v>
      </c>
      <c r="X20" s="83">
        <f>'P&amp;L'!X85</f>
        <v>102.84309390276012</v>
      </c>
      <c r="Y20" s="83">
        <f>'P&amp;L'!Y85</f>
        <v>102.82950652422636</v>
      </c>
      <c r="Z20" s="83">
        <f>'P&amp;L'!Z85</f>
        <v>102.81818287188086</v>
      </c>
      <c r="AA20" s="83">
        <f>'P&amp;L'!AA85</f>
        <v>102.80878338679543</v>
      </c>
      <c r="AB20" s="128">
        <f>'P&amp;L'!AB85</f>
        <v>102.80101944388103</v>
      </c>
    </row>
    <row r="21" spans="2:28" x14ac:dyDescent="0.35">
      <c r="B21" s="20" t="s">
        <v>115</v>
      </c>
      <c r="C21" s="2"/>
      <c r="D21" s="83">
        <f>D20+'P&amp;L'!D45</f>
        <v>103.03671257037253</v>
      </c>
      <c r="E21" s="83">
        <f>E20+'P&amp;L'!E45</f>
        <v>102.83080534074502</v>
      </c>
      <c r="F21" s="83">
        <f>F20+'P&amp;L'!F45</f>
        <v>102.68330248611751</v>
      </c>
      <c r="G21" s="83">
        <f>G20+'P&amp;L'!G45</f>
        <v>102.58544335024003</v>
      </c>
      <c r="H21" s="83">
        <f>H20+'P&amp;L'!H45</f>
        <v>102.5297813753</v>
      </c>
      <c r="I21" s="83">
        <f>I20+'P&amp;L'!I45</f>
        <v>102.50998698715688</v>
      </c>
      <c r="J21" s="83">
        <f>J20+'P&amp;L'!J45</f>
        <v>102.5206800477911</v>
      </c>
      <c r="K21" s="83">
        <f>K20+'P&amp;L'!K45</f>
        <v>102.55728743988608</v>
      </c>
      <c r="L21" s="83">
        <f>L20+'P&amp;L'!L45</f>
        <v>102.61592201372267</v>
      </c>
      <c r="M21" s="83">
        <f>M20+'P&amp;L'!M45</f>
        <v>102.69327969203965</v>
      </c>
      <c r="N21" s="83">
        <f>N20+'P&amp;L'!N45</f>
        <v>102.78655200916495</v>
      </c>
      <c r="O21" s="83">
        <f>O20+'P&amp;L'!O45</f>
        <v>102.89335176927732</v>
      </c>
      <c r="P21" s="83">
        <f>P20+'P&amp;L'!P45</f>
        <v>103.01164985592872</v>
      </c>
      <c r="Q21" s="83">
        <f>Q20+'P&amp;L'!Q45</f>
        <v>103.04579537915392</v>
      </c>
      <c r="R21" s="83">
        <f>R20+'P&amp;L'!R45</f>
        <v>103.00022344330357</v>
      </c>
      <c r="S21" s="83">
        <f>S20+'P&amp;L'!S45</f>
        <v>123.82259584150313</v>
      </c>
      <c r="T21" s="83">
        <f>T20+'P&amp;L'!T45</f>
        <v>123.82440038272502</v>
      </c>
      <c r="U21" s="83">
        <f>U20+'P&amp;L'!U45</f>
        <v>123.56760492394687</v>
      </c>
      <c r="V21" s="83">
        <f>V20+'P&amp;L'!V45</f>
        <v>123.25908946516874</v>
      </c>
      <c r="W21" s="83">
        <f>W20+'P&amp;L'!W45</f>
        <v>123.26089400639063</v>
      </c>
      <c r="X21" s="83">
        <f>X20+'P&amp;L'!X45</f>
        <v>102.84309390276012</v>
      </c>
      <c r="Y21" s="83">
        <f>Y20+'P&amp;L'!Y45</f>
        <v>102.82950652422636</v>
      </c>
      <c r="Z21" s="83">
        <f>Z20+'P&amp;L'!Z45</f>
        <v>102.81818287188086</v>
      </c>
      <c r="AA21" s="83">
        <f>AA20+'P&amp;L'!AA45</f>
        <v>102.80878338679543</v>
      </c>
      <c r="AB21" s="83">
        <f>AB20+'P&amp;L'!AB45</f>
        <v>102.80101944388103</v>
      </c>
    </row>
    <row r="22" spans="2:28" x14ac:dyDescent="0.35">
      <c r="B22" s="20" t="s">
        <v>116</v>
      </c>
      <c r="C22" s="2"/>
      <c r="D22" s="83">
        <f>D21+Determination_of_Cost!D$10</f>
        <v>106.40209718575714</v>
      </c>
      <c r="E22" s="83">
        <f>E21+Determination_of_Cost!E$10</f>
        <v>105.92695918689886</v>
      </c>
      <c r="F22" s="83">
        <f>F21+Determination_of_Cost!F$10</f>
        <v>105.51022556304059</v>
      </c>
      <c r="G22" s="83">
        <f>G21+Determination_of_Cost!G$10</f>
        <v>105.14313565793233</v>
      </c>
      <c r="H22" s="83">
        <f>H21+Determination_of_Cost!H$10</f>
        <v>104.81824291376154</v>
      </c>
      <c r="I22" s="83">
        <f>I21+Determination_of_Cost!I$10</f>
        <v>104.52921775638765</v>
      </c>
      <c r="J22" s="83">
        <f>J21+Determination_of_Cost!J$10</f>
        <v>104.2706800477911</v>
      </c>
      <c r="K22" s="83">
        <f>K21+Determination_of_Cost!K$10</f>
        <v>104.03805667065531</v>
      </c>
      <c r="L22" s="83">
        <f>L21+Determination_of_Cost!L$10</f>
        <v>103.82746047526113</v>
      </c>
      <c r="M22" s="83">
        <f>M21+Determination_of_Cost!M$10</f>
        <v>103.63558738434735</v>
      </c>
      <c r="N22" s="83">
        <f>N21+Determination_of_Cost!N$10</f>
        <v>103.45962893224187</v>
      </c>
      <c r="O22" s="83">
        <f>O21+Determination_of_Cost!O$10</f>
        <v>103.29719792312348</v>
      </c>
      <c r="P22" s="83">
        <f>P21+Determination_of_Cost!P$10</f>
        <v>103.14626524054411</v>
      </c>
      <c r="Q22" s="83">
        <f>Q21+Determination_of_Cost!Q$10</f>
        <v>103.04579537915392</v>
      </c>
      <c r="R22" s="83">
        <f>R21+Determination_of_Cost!R$10</f>
        <v>103.00022344330357</v>
      </c>
      <c r="S22" s="83">
        <f>S21+Determination_of_Cost!S$10</f>
        <v>123.82259584150313</v>
      </c>
      <c r="T22" s="83">
        <f>T21+Determination_of_Cost!T$10</f>
        <v>123.82440038272502</v>
      </c>
      <c r="U22" s="83">
        <f>U21+Determination_of_Cost!U$10</f>
        <v>123.56760492394687</v>
      </c>
      <c r="V22" s="83">
        <f>V21+Determination_of_Cost!V$10</f>
        <v>123.25908946516874</v>
      </c>
      <c r="W22" s="83">
        <f>W21+Determination_of_Cost!W$10</f>
        <v>123.26089400639063</v>
      </c>
      <c r="X22" s="83">
        <f>X21+Determination_of_Cost!X$10</f>
        <v>102.84309390276012</v>
      </c>
      <c r="Y22" s="83">
        <f>Y21+Determination_of_Cost!Y$10</f>
        <v>102.82950652422636</v>
      </c>
      <c r="Z22" s="83">
        <f>Z21+Determination_of_Cost!Z$10</f>
        <v>102.81818287188086</v>
      </c>
      <c r="AA22" s="83">
        <f>AA21+Determination_of_Cost!AA$10</f>
        <v>102.80878338679543</v>
      </c>
      <c r="AB22" s="83">
        <f>AB21+Determination_of_Cost!AB$10</f>
        <v>102.80101944388103</v>
      </c>
    </row>
    <row r="23" spans="2:28" x14ac:dyDescent="0.35">
      <c r="B23" s="20" t="s">
        <v>117</v>
      </c>
      <c r="C23" s="114">
        <f>-C5</f>
        <v>-50</v>
      </c>
      <c r="D23" s="83">
        <f t="shared" ref="D23:AB23" si="3">D22-D5</f>
        <v>106.40209718575714</v>
      </c>
      <c r="E23" s="83">
        <f t="shared" si="3"/>
        <v>105.92695918689886</v>
      </c>
      <c r="F23" s="83">
        <f t="shared" si="3"/>
        <v>105.51022556304059</v>
      </c>
      <c r="G23" s="83">
        <f t="shared" si="3"/>
        <v>105.14313565793233</v>
      </c>
      <c r="H23" s="83">
        <f t="shared" si="3"/>
        <v>104.81824291376154</v>
      </c>
      <c r="I23" s="83">
        <f t="shared" si="3"/>
        <v>104.52921775638765</v>
      </c>
      <c r="J23" s="83">
        <f t="shared" si="3"/>
        <v>104.2706800477911</v>
      </c>
      <c r="K23" s="83">
        <f t="shared" si="3"/>
        <v>104.03805667065531</v>
      </c>
      <c r="L23" s="83">
        <f t="shared" si="3"/>
        <v>103.82746047526113</v>
      </c>
      <c r="M23" s="83">
        <f t="shared" si="3"/>
        <v>103.63558738434735</v>
      </c>
      <c r="N23" s="83">
        <f t="shared" si="3"/>
        <v>103.45962893224187</v>
      </c>
      <c r="O23" s="83">
        <f t="shared" si="3"/>
        <v>103.29719792312348</v>
      </c>
      <c r="P23" s="83">
        <f t="shared" si="3"/>
        <v>103.14626524054411</v>
      </c>
      <c r="Q23" s="83">
        <f t="shared" si="3"/>
        <v>103.04579537915392</v>
      </c>
      <c r="R23" s="83">
        <f t="shared" si="3"/>
        <v>103.00022344330357</v>
      </c>
      <c r="S23" s="83">
        <f t="shared" si="3"/>
        <v>123.82259584150313</v>
      </c>
      <c r="T23" s="83">
        <f t="shared" si="3"/>
        <v>123.82440038272502</v>
      </c>
      <c r="U23" s="83">
        <f t="shared" si="3"/>
        <v>123.56760492394687</v>
      </c>
      <c r="V23" s="83">
        <f t="shared" si="3"/>
        <v>123.25908946516874</v>
      </c>
      <c r="W23" s="83">
        <f t="shared" si="3"/>
        <v>123.26089400639063</v>
      </c>
      <c r="X23" s="83">
        <f t="shared" si="3"/>
        <v>102.84309390276012</v>
      </c>
      <c r="Y23" s="83">
        <f t="shared" si="3"/>
        <v>102.82950652422636</v>
      </c>
      <c r="Z23" s="83">
        <f t="shared" si="3"/>
        <v>102.81818287188086</v>
      </c>
      <c r="AA23" s="83">
        <f t="shared" si="3"/>
        <v>102.80878338679543</v>
      </c>
      <c r="AB23" s="83">
        <f t="shared" si="3"/>
        <v>102.80101944388103</v>
      </c>
    </row>
    <row r="24" spans="2:28" x14ac:dyDescent="0.35">
      <c r="B24" s="20" t="s">
        <v>122</v>
      </c>
      <c r="C24" s="114">
        <f>C23</f>
        <v>-50</v>
      </c>
      <c r="D24" s="83">
        <f>C24+D23</f>
        <v>56.402097185757142</v>
      </c>
      <c r="E24" s="83">
        <f>D24+E23</f>
        <v>162.329056372656</v>
      </c>
      <c r="F24" s="83">
        <f t="shared" ref="F24" si="4">E24+F23</f>
        <v>267.83928193569659</v>
      </c>
      <c r="G24" s="83">
        <f t="shared" ref="G24" si="5">F24+G23</f>
        <v>372.98241759362895</v>
      </c>
      <c r="H24" s="83">
        <f t="shared" ref="H24" si="6">G24+H23</f>
        <v>477.80066050739049</v>
      </c>
      <c r="I24" s="83">
        <f t="shared" ref="I24" si="7">H24+I23</f>
        <v>582.32987826377814</v>
      </c>
      <c r="J24" s="83">
        <f t="shared" ref="J24" si="8">I24+J23</f>
        <v>686.60055831156922</v>
      </c>
      <c r="K24" s="83">
        <f t="shared" ref="K24" si="9">J24+K23</f>
        <v>790.63861498222457</v>
      </c>
      <c r="L24" s="83">
        <f t="shared" ref="L24" si="10">K24+L23</f>
        <v>894.46607545748566</v>
      </c>
      <c r="M24" s="83">
        <f t="shared" ref="M24" si="11">L24+M23</f>
        <v>998.10166284183299</v>
      </c>
      <c r="N24" s="83">
        <f t="shared" ref="N24" si="12">M24+N23</f>
        <v>1101.5612917740748</v>
      </c>
      <c r="O24" s="83">
        <f t="shared" ref="O24" si="13">N24+O23</f>
        <v>1204.8584896971984</v>
      </c>
      <c r="P24" s="83">
        <f t="shared" ref="P24" si="14">O24+P23</f>
        <v>1308.0047549377425</v>
      </c>
      <c r="Q24" s="83">
        <f t="shared" ref="Q24" si="15">P24+Q23</f>
        <v>1411.0505503168965</v>
      </c>
      <c r="R24" s="83">
        <f t="shared" ref="R24" si="16">Q24+R23</f>
        <v>1514.0507737602002</v>
      </c>
      <c r="S24" s="83">
        <f t="shared" ref="S24" si="17">R24+S23</f>
        <v>1637.8733696017034</v>
      </c>
      <c r="T24" s="83">
        <f t="shared" ref="T24" si="18">S24+T23</f>
        <v>1761.6977699844285</v>
      </c>
      <c r="U24" s="83">
        <f t="shared" ref="U24" si="19">T24+U23</f>
        <v>1885.2653749083754</v>
      </c>
      <c r="V24" s="83">
        <f t="shared" ref="V24" si="20">U24+V23</f>
        <v>2008.5244643735441</v>
      </c>
      <c r="W24" s="83">
        <f t="shared" ref="W24" si="21">V24+W23</f>
        <v>2131.7853583799347</v>
      </c>
      <c r="X24" s="83">
        <f t="shared" ref="X24" si="22">W24+X23</f>
        <v>2234.628452282695</v>
      </c>
      <c r="Y24" s="83">
        <f t="shared" ref="Y24" si="23">X24+Y23</f>
        <v>2337.4579588069214</v>
      </c>
      <c r="Z24" s="83">
        <f t="shared" ref="Z24" si="24">Y24+Z23</f>
        <v>2440.2761416788021</v>
      </c>
      <c r="AA24" s="83">
        <f t="shared" ref="AA24" si="25">Z24+AA23</f>
        <v>2543.0849250655974</v>
      </c>
      <c r="AB24" s="128">
        <f t="shared" ref="AB24" si="26">AA24+AB23</f>
        <v>2645.8859445094786</v>
      </c>
    </row>
    <row r="25" spans="2:28" x14ac:dyDescent="0.35">
      <c r="B25" s="20"/>
      <c r="C25" s="114">
        <f>IF(AND(D24&gt;0,C24&lt;=0),C$8,"")</f>
        <v>0</v>
      </c>
      <c r="D25" s="114" t="str">
        <f t="shared" ref="D25" si="27">IF(AND(E24&gt;0,D24&lt;=0),D$8,"")</f>
        <v/>
      </c>
      <c r="E25" s="114" t="str">
        <f t="shared" ref="E25" si="28">IF(AND(F24&gt;0,E24&lt;=0),E$8,"")</f>
        <v/>
      </c>
      <c r="F25" s="114" t="str">
        <f t="shared" ref="F25" si="29">IF(AND(G24&gt;0,F24&lt;=0),F$8,"")</f>
        <v/>
      </c>
      <c r="G25" s="114" t="str">
        <f t="shared" ref="G25" si="30">IF(AND(H24&gt;0,G24&lt;=0),G$8,"")</f>
        <v/>
      </c>
      <c r="H25" s="114" t="str">
        <f t="shared" ref="H25" si="31">IF(AND(I24&gt;0,H24&lt;=0),H$8,"")</f>
        <v/>
      </c>
      <c r="I25" s="114" t="str">
        <f t="shared" ref="I25" si="32">IF(AND(J24&gt;0,I24&lt;=0),I$8,"")</f>
        <v/>
      </c>
      <c r="J25" s="114" t="str">
        <f t="shared" ref="J25" si="33">IF(AND(K24&gt;0,J24&lt;=0),J$8,"")</f>
        <v/>
      </c>
      <c r="K25" s="114" t="str">
        <f t="shared" ref="K25" si="34">IF(AND(L24&gt;0,K24&lt;=0),K$8,"")</f>
        <v/>
      </c>
      <c r="L25" s="114" t="str">
        <f t="shared" ref="L25" si="35">IF(AND(M24&gt;0,L24&lt;=0),L$8,"")</f>
        <v/>
      </c>
      <c r="M25" s="114" t="str">
        <f t="shared" ref="M25" si="36">IF(AND(N24&gt;0,M24&lt;=0),M$8,"")</f>
        <v/>
      </c>
      <c r="N25" s="114" t="str">
        <f t="shared" ref="N25" si="37">IF(AND(O24&gt;0,N24&lt;=0),N$8,"")</f>
        <v/>
      </c>
      <c r="O25" s="114" t="str">
        <f t="shared" ref="O25" si="38">IF(AND(P24&gt;0,O24&lt;=0),O$8,"")</f>
        <v/>
      </c>
      <c r="P25" s="114" t="str">
        <f t="shared" ref="P25" si="39">IF(AND(Q24&gt;0,P24&lt;=0),P$8,"")</f>
        <v/>
      </c>
      <c r="Q25" s="114" t="str">
        <f t="shared" ref="Q25" si="40">IF(AND(R24&gt;0,Q24&lt;=0),Q$8,"")</f>
        <v/>
      </c>
      <c r="R25" s="114" t="str">
        <f t="shared" ref="R25" si="41">IF(AND(S24&gt;0,R24&lt;=0),R$8,"")</f>
        <v/>
      </c>
      <c r="S25" s="114" t="str">
        <f t="shared" ref="S25" si="42">IF(AND(T24&gt;0,S24&lt;=0),S$8,"")</f>
        <v/>
      </c>
      <c r="T25" s="114" t="str">
        <f t="shared" ref="T25" si="43">IF(AND(U24&gt;0,T24&lt;=0),T$8,"")</f>
        <v/>
      </c>
      <c r="U25" s="114" t="str">
        <f t="shared" ref="U25" si="44">IF(AND(V24&gt;0,U24&lt;=0),U$8,"")</f>
        <v/>
      </c>
      <c r="V25" s="114" t="str">
        <f t="shared" ref="V25" si="45">IF(AND(W24&gt;0,V24&lt;=0),V$8,"")</f>
        <v/>
      </c>
      <c r="W25" s="114" t="str">
        <f t="shared" ref="W25" si="46">IF(AND(X24&gt;0,W24&lt;=0),W$8,"")</f>
        <v/>
      </c>
      <c r="X25" s="114" t="str">
        <f t="shared" ref="X25" si="47">IF(AND(Y24&gt;0,X24&lt;=0),X$8,"")</f>
        <v/>
      </c>
      <c r="Y25" s="114" t="str">
        <f t="shared" ref="Y25" si="48">IF(AND(Z24&gt;0,Y24&lt;=0),Y$8,"")</f>
        <v/>
      </c>
      <c r="Z25" s="114" t="str">
        <f t="shared" ref="Z25" si="49">IF(AND(AA24&gt;0,Z24&lt;=0),Z$8,"")</f>
        <v/>
      </c>
      <c r="AA25" s="114" t="str">
        <f t="shared" ref="AA25" si="50">IF(AND(AB24&gt;0,AA24&lt;=0),AA$8,"")</f>
        <v/>
      </c>
      <c r="AB25" s="115" t="str">
        <f>IF(AND(AC36&gt;0,AB24&lt;=0),AB$8,"")</f>
        <v/>
      </c>
    </row>
    <row r="26" spans="2:28" x14ac:dyDescent="0.35">
      <c r="B26" s="138" t="s">
        <v>113</v>
      </c>
      <c r="C26" s="103">
        <f>IRR(C23:AB23,$C$2)</f>
        <v>2.1238094494674109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8"/>
    </row>
    <row r="27" spans="2:28" ht="15" thickBot="1" x14ac:dyDescent="0.4">
      <c r="B27" s="139" t="s">
        <v>118</v>
      </c>
      <c r="C27" s="104">
        <f>NPV($C$2,D23:AB23)+C23</f>
        <v>1115.573324389755</v>
      </c>
      <c r="D27" s="31"/>
      <c r="E27" s="108" t="str">
        <f>IF(AND(C26&gt;$C$2,C27&gt;0),"Accept The Project","Reject The Project")</f>
        <v>Accept The Project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"/>
    </row>
    <row r="28" spans="2:28" ht="15" thickBot="1" x14ac:dyDescent="0.4">
      <c r="B28" s="138" t="s">
        <v>121</v>
      </c>
      <c r="C28" s="111">
        <f>MIN(C25:AB25)</f>
        <v>0</v>
      </c>
      <c r="D28" s="112" t="s">
        <v>16</v>
      </c>
      <c r="E28" s="110">
        <f>(ABS(INDEX(C24:AB24,,MATCH(C28,C25:AB25,0))))/(ABS(INDEX(C23:AB23,,(MATCH(C28,C25:AB25,0))+1)))*10</f>
        <v>4.6991554981016801</v>
      </c>
      <c r="F28" s="113" t="s">
        <v>41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30" spans="2:28" ht="15" thickBot="1" x14ac:dyDescent="0.4"/>
    <row r="31" spans="2:28" ht="16" thickBot="1" x14ac:dyDescent="0.4">
      <c r="B31" s="129" t="s">
        <v>127</v>
      </c>
      <c r="C31" s="106">
        <v>0</v>
      </c>
      <c r="D31" s="106">
        <v>1</v>
      </c>
      <c r="E31" s="106">
        <v>2</v>
      </c>
      <c r="F31" s="106">
        <v>3</v>
      </c>
      <c r="G31" s="106">
        <v>4</v>
      </c>
      <c r="H31" s="106">
        <v>5</v>
      </c>
      <c r="I31" s="106">
        <v>6</v>
      </c>
      <c r="J31" s="106">
        <v>7</v>
      </c>
      <c r="K31" s="106">
        <v>8</v>
      </c>
      <c r="L31" s="106">
        <v>9</v>
      </c>
      <c r="M31" s="106">
        <v>10</v>
      </c>
      <c r="N31" s="106">
        <v>11</v>
      </c>
      <c r="O31" s="106">
        <v>12</v>
      </c>
      <c r="P31" s="106">
        <v>13</v>
      </c>
      <c r="Q31" s="106">
        <v>14</v>
      </c>
      <c r="R31" s="106">
        <v>15</v>
      </c>
      <c r="S31" s="106">
        <v>16</v>
      </c>
      <c r="T31" s="106">
        <v>17</v>
      </c>
      <c r="U31" s="106">
        <v>18</v>
      </c>
      <c r="V31" s="106">
        <v>19</v>
      </c>
      <c r="W31" s="106">
        <v>20</v>
      </c>
      <c r="X31" s="106">
        <v>21</v>
      </c>
      <c r="Y31" s="106">
        <v>22</v>
      </c>
      <c r="Z31" s="106">
        <v>23</v>
      </c>
      <c r="AA31" s="106">
        <v>24</v>
      </c>
      <c r="AB31" s="107">
        <v>25</v>
      </c>
    </row>
    <row r="32" spans="2:28" x14ac:dyDescent="0.35">
      <c r="B32" s="20" t="s">
        <v>128</v>
      </c>
      <c r="C32" s="2">
        <f>-'Assumption for Botlling Plant'!$F$27</f>
        <v>-10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128"/>
    </row>
    <row r="33" spans="2:28" ht="15" thickBot="1" x14ac:dyDescent="0.4">
      <c r="B33" s="29" t="s">
        <v>149</v>
      </c>
      <c r="C33" s="132"/>
      <c r="D33" s="133">
        <f>IF(D31&lt;='Assumption for Botlling Plant'!$F$24,'Interest(onLOAN)'!$C$12,0)</f>
        <v>3.0769230769230771</v>
      </c>
      <c r="E33" s="133">
        <f>IF(E31&lt;='Assumption for Botlling Plant'!$F$24,'Interest(onLOAN)'!$C$12,0)</f>
        <v>3.0769230769230771</v>
      </c>
      <c r="F33" s="133">
        <f>IF(F31&lt;='Assumption for Botlling Plant'!$F$24,'Interest(onLOAN)'!$C$12,0)</f>
        <v>3.0769230769230771</v>
      </c>
      <c r="G33" s="133">
        <f>IF(G31&lt;='Assumption for Botlling Plant'!$F$24,'Interest(onLOAN)'!$C$12,0)</f>
        <v>3.0769230769230771</v>
      </c>
      <c r="H33" s="133">
        <f>IF(H31&lt;='Assumption for Botlling Plant'!$F$24,'Interest(onLOAN)'!$C$12,0)</f>
        <v>3.0769230769230771</v>
      </c>
      <c r="I33" s="133">
        <f>IF(I31&lt;='Assumption for Botlling Plant'!$F$24,'Interest(onLOAN)'!$C$12,0)</f>
        <v>3.0769230769230771</v>
      </c>
      <c r="J33" s="133">
        <f>IF(J31&lt;='Assumption for Botlling Plant'!$F$24,'Interest(onLOAN)'!$C$12,0)</f>
        <v>3.0769230769230771</v>
      </c>
      <c r="K33" s="133">
        <f>IF(K31&lt;='Assumption for Botlling Plant'!$F$24,'Interest(onLOAN)'!$C$12,0)</f>
        <v>3.0769230769230771</v>
      </c>
      <c r="L33" s="133">
        <f>IF(L31&lt;='Assumption for Botlling Plant'!$F$24,'Interest(onLOAN)'!$C$12,0)</f>
        <v>3.0769230769230771</v>
      </c>
      <c r="M33" s="133">
        <f>IF(M31&lt;='Assumption for Botlling Plant'!$F$24,'Interest(onLOAN)'!$C$12,0)</f>
        <v>3.0769230769230771</v>
      </c>
      <c r="N33" s="133">
        <f>IF(N31&lt;='Assumption for Botlling Plant'!$F$24,'Interest(onLOAN)'!$C$12,0)</f>
        <v>3.0769230769230771</v>
      </c>
      <c r="O33" s="133">
        <f>IF(O31&lt;='Assumption for Botlling Plant'!$F$24,'Interest(onLOAN)'!$C$12,0)</f>
        <v>3.0769230769230771</v>
      </c>
      <c r="P33" s="133">
        <f>IF(P31&lt;='Assumption for Botlling Plant'!$F$24,'Interest(onLOAN)'!$C$12,0)</f>
        <v>3.0769230769230771</v>
      </c>
      <c r="Q33" s="133">
        <f>IF(Q31&lt;='Assumption for Botlling Plant'!$F$24,'Interest(onLOAN)'!$C$12,0)</f>
        <v>0</v>
      </c>
      <c r="R33" s="133">
        <f>IF(R31&lt;='Assumption for Botlling Plant'!$F$24,'Interest(onLOAN)'!$C$12,0)</f>
        <v>0</v>
      </c>
      <c r="S33" s="133">
        <f>IF(S31&lt;='Assumption for Botlling Plant'!$F$24,'Interest(onLOAN)'!$C$12,0)</f>
        <v>0</v>
      </c>
      <c r="T33" s="133">
        <f>IF(T31&lt;='Assumption for Botlling Plant'!$F$24,'Interest(onLOAN)'!$C$12,0)</f>
        <v>0</v>
      </c>
      <c r="U33" s="133">
        <f>IF(U31&lt;='Assumption for Botlling Plant'!$F$24,'Interest(onLOAN)'!$C$12,0)</f>
        <v>0</v>
      </c>
      <c r="V33" s="133">
        <f>IF(V31&lt;='Assumption for Botlling Plant'!$F$24,'Interest(onLOAN)'!$C$12,0)</f>
        <v>0</v>
      </c>
      <c r="W33" s="133">
        <f>IF(W31&lt;='Assumption for Botlling Plant'!$F$24,'Interest(onLOAN)'!$C$12,0)</f>
        <v>0</v>
      </c>
      <c r="X33" s="133">
        <f>IF(X31&lt;='Assumption for Botlling Plant'!$F$24,'Interest(onLOAN)'!$C$12,0)</f>
        <v>0</v>
      </c>
      <c r="Y33" s="133">
        <f>IF(Y31&lt;='Assumption for Botlling Plant'!$F$24,'Interest(onLOAN)'!$C$12,0)</f>
        <v>0</v>
      </c>
      <c r="Z33" s="133">
        <f>IF(Z31&lt;='Assumption for Botlling Plant'!$F$24,'Interest(onLOAN)'!$C$12,0)</f>
        <v>0</v>
      </c>
      <c r="AA33" s="133">
        <f>IF(AA31&lt;='Assumption for Botlling Plant'!$F$24,'Interest(onLOAN)'!$C$12,0)</f>
        <v>0</v>
      </c>
      <c r="AB33" s="133">
        <f>IF(AB31&lt;='Assumption for Botlling Plant'!$F$24,'Interest(onLOAN)'!$C$12,0)</f>
        <v>0</v>
      </c>
    </row>
    <row r="34" spans="2:28" x14ac:dyDescent="0.35">
      <c r="B34" s="57" t="s">
        <v>239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7"/>
    </row>
    <row r="35" spans="2:28" x14ac:dyDescent="0.35">
      <c r="B35" s="20" t="s">
        <v>148</v>
      </c>
      <c r="C35" s="83">
        <f t="shared" ref="C35:AB35" si="51">C11</f>
        <v>0</v>
      </c>
      <c r="D35" s="83">
        <f t="shared" si="51"/>
        <v>4.1893875000000076</v>
      </c>
      <c r="E35" s="83">
        <f t="shared" si="51"/>
        <v>4.1893874999999987</v>
      </c>
      <c r="F35" s="83">
        <f t="shared" si="51"/>
        <v>4.1893874999999996</v>
      </c>
      <c r="G35" s="83">
        <f t="shared" si="51"/>
        <v>4.1893875000000191</v>
      </c>
      <c r="H35" s="83">
        <f t="shared" si="51"/>
        <v>4.1893875000000111</v>
      </c>
      <c r="I35" s="83">
        <f t="shared" si="51"/>
        <v>4.1694965649218849</v>
      </c>
      <c r="J35" s="83">
        <f t="shared" si="51"/>
        <v>3.9967343551835945</v>
      </c>
      <c r="K35" s="83">
        <f t="shared" si="51"/>
        <v>3.8498864769060486</v>
      </c>
      <c r="L35" s="83">
        <f t="shared" si="51"/>
        <v>3.7250657803701555</v>
      </c>
      <c r="M35" s="83">
        <f t="shared" si="51"/>
        <v>3.6189681883146356</v>
      </c>
      <c r="N35" s="83">
        <f t="shared" si="51"/>
        <v>3.8557352350674341</v>
      </c>
      <c r="O35" s="83">
        <f t="shared" si="51"/>
        <v>3.779079724807322</v>
      </c>
      <c r="P35" s="83">
        <f t="shared" si="51"/>
        <v>3.7139225410862213</v>
      </c>
      <c r="Q35" s="83">
        <f t="shared" si="51"/>
        <v>2.1395837265899584</v>
      </c>
      <c r="R35" s="83">
        <f t="shared" si="51"/>
        <v>2.0925076613514642</v>
      </c>
      <c r="S35" s="83">
        <f t="shared" si="51"/>
        <v>2.7593093750000093</v>
      </c>
      <c r="T35" s="83">
        <f t="shared" si="51"/>
        <v>2.759309374999996</v>
      </c>
      <c r="U35" s="83">
        <f t="shared" si="51"/>
        <v>2.5007093750000058</v>
      </c>
      <c r="V35" s="83">
        <f t="shared" si="51"/>
        <v>2.1903893749999992</v>
      </c>
      <c r="W35" s="83">
        <f t="shared" si="51"/>
        <v>2.1903893750000085</v>
      </c>
      <c r="X35" s="83">
        <f t="shared" si="51"/>
        <v>1.9263533444792997</v>
      </c>
      <c r="Y35" s="83">
        <f t="shared" si="51"/>
        <v>1.9112618365574092</v>
      </c>
      <c r="Z35" s="83">
        <f t="shared" si="51"/>
        <v>1.8984340548237979</v>
      </c>
      <c r="AA35" s="83">
        <f t="shared" si="51"/>
        <v>1.887530440350218</v>
      </c>
      <c r="AB35" s="128">
        <f t="shared" si="51"/>
        <v>1.8782623680476975</v>
      </c>
    </row>
    <row r="36" spans="2:28" x14ac:dyDescent="0.35">
      <c r="B36" s="20" t="s">
        <v>130</v>
      </c>
      <c r="C36" s="83">
        <f>C35-C33</f>
        <v>0</v>
      </c>
      <c r="D36" s="83">
        <f>D35-D33</f>
        <v>1.1124644230769305</v>
      </c>
      <c r="E36" s="83">
        <f t="shared" ref="E36:AB36" si="52">E35-E33</f>
        <v>1.1124644230769216</v>
      </c>
      <c r="F36" s="83">
        <f t="shared" si="52"/>
        <v>1.1124644230769225</v>
      </c>
      <c r="G36" s="83">
        <f t="shared" si="52"/>
        <v>1.112464423076942</v>
      </c>
      <c r="H36" s="83">
        <f t="shared" si="52"/>
        <v>1.1124644230769341</v>
      </c>
      <c r="I36" s="83">
        <f t="shared" si="52"/>
        <v>1.0925734879988078</v>
      </c>
      <c r="J36" s="83">
        <f t="shared" si="52"/>
        <v>0.91981127826051745</v>
      </c>
      <c r="K36" s="83">
        <f t="shared" si="52"/>
        <v>0.77296339998297148</v>
      </c>
      <c r="L36" s="83">
        <f t="shared" si="52"/>
        <v>0.64814270344707836</v>
      </c>
      <c r="M36" s="83">
        <f t="shared" si="52"/>
        <v>0.54204511139155853</v>
      </c>
      <c r="N36" s="83">
        <f t="shared" si="52"/>
        <v>0.778812158144357</v>
      </c>
      <c r="O36" s="83">
        <f t="shared" si="52"/>
        <v>0.70215664788424492</v>
      </c>
      <c r="P36" s="83">
        <f t="shared" si="52"/>
        <v>0.63699946416314424</v>
      </c>
      <c r="Q36" s="83">
        <f t="shared" si="52"/>
        <v>2.1395837265899584</v>
      </c>
      <c r="R36" s="83">
        <f t="shared" si="52"/>
        <v>2.0925076613514642</v>
      </c>
      <c r="S36" s="83">
        <f t="shared" si="52"/>
        <v>2.7593093750000093</v>
      </c>
      <c r="T36" s="83">
        <f t="shared" si="52"/>
        <v>2.759309374999996</v>
      </c>
      <c r="U36" s="83">
        <f t="shared" si="52"/>
        <v>2.5007093750000058</v>
      </c>
      <c r="V36" s="83">
        <f t="shared" si="52"/>
        <v>2.1903893749999992</v>
      </c>
      <c r="W36" s="83">
        <f t="shared" si="52"/>
        <v>2.1903893750000085</v>
      </c>
      <c r="X36" s="83">
        <f t="shared" si="52"/>
        <v>1.9263533444792997</v>
      </c>
      <c r="Y36" s="83">
        <f t="shared" si="52"/>
        <v>1.9112618365574092</v>
      </c>
      <c r="Z36" s="83">
        <f t="shared" si="52"/>
        <v>1.8984340548237979</v>
      </c>
      <c r="AA36" s="83">
        <f t="shared" si="52"/>
        <v>1.887530440350218</v>
      </c>
      <c r="AB36" s="128">
        <f t="shared" si="52"/>
        <v>1.8782623680476975</v>
      </c>
    </row>
    <row r="37" spans="2:28" x14ac:dyDescent="0.35">
      <c r="B37" s="20" t="s">
        <v>131</v>
      </c>
      <c r="C37" s="77">
        <f>C32+C36</f>
        <v>-10</v>
      </c>
      <c r="D37" s="83">
        <f>D32+D36</f>
        <v>1.1124644230769305</v>
      </c>
      <c r="E37" s="83">
        <f t="shared" ref="E37:AB37" si="53">E32+E36</f>
        <v>1.1124644230769216</v>
      </c>
      <c r="F37" s="83">
        <f t="shared" si="53"/>
        <v>1.1124644230769225</v>
      </c>
      <c r="G37" s="83">
        <f t="shared" si="53"/>
        <v>1.112464423076942</v>
      </c>
      <c r="H37" s="83">
        <f t="shared" si="53"/>
        <v>1.1124644230769341</v>
      </c>
      <c r="I37" s="83">
        <f t="shared" si="53"/>
        <v>1.0925734879988078</v>
      </c>
      <c r="J37" s="83">
        <f t="shared" si="53"/>
        <v>0.91981127826051745</v>
      </c>
      <c r="K37" s="83">
        <f t="shared" si="53"/>
        <v>0.77296339998297148</v>
      </c>
      <c r="L37" s="83">
        <f t="shared" si="53"/>
        <v>0.64814270344707836</v>
      </c>
      <c r="M37" s="83">
        <f t="shared" si="53"/>
        <v>0.54204511139155853</v>
      </c>
      <c r="N37" s="83">
        <f t="shared" si="53"/>
        <v>0.778812158144357</v>
      </c>
      <c r="O37" s="83">
        <f t="shared" si="53"/>
        <v>0.70215664788424492</v>
      </c>
      <c r="P37" s="83">
        <f t="shared" si="53"/>
        <v>0.63699946416314424</v>
      </c>
      <c r="Q37" s="83">
        <f t="shared" si="53"/>
        <v>2.1395837265899584</v>
      </c>
      <c r="R37" s="83">
        <f t="shared" si="53"/>
        <v>2.0925076613514642</v>
      </c>
      <c r="S37" s="83">
        <f t="shared" si="53"/>
        <v>2.7593093750000093</v>
      </c>
      <c r="T37" s="83">
        <f t="shared" si="53"/>
        <v>2.759309374999996</v>
      </c>
      <c r="U37" s="83">
        <f t="shared" si="53"/>
        <v>2.5007093750000058</v>
      </c>
      <c r="V37" s="83">
        <f t="shared" si="53"/>
        <v>2.1903893749999992</v>
      </c>
      <c r="W37" s="83">
        <f t="shared" si="53"/>
        <v>2.1903893750000085</v>
      </c>
      <c r="X37" s="83">
        <f t="shared" si="53"/>
        <v>1.9263533444792997</v>
      </c>
      <c r="Y37" s="83">
        <f t="shared" si="53"/>
        <v>1.9112618365574092</v>
      </c>
      <c r="Z37" s="83">
        <f t="shared" si="53"/>
        <v>1.8984340548237979</v>
      </c>
      <c r="AA37" s="83">
        <f t="shared" si="53"/>
        <v>1.887530440350218</v>
      </c>
      <c r="AB37" s="128">
        <f t="shared" si="53"/>
        <v>1.8782623680476975</v>
      </c>
    </row>
    <row r="38" spans="2:28" x14ac:dyDescent="0.35">
      <c r="B38" s="20" t="s">
        <v>122</v>
      </c>
      <c r="C38" s="77">
        <f>C37</f>
        <v>-10</v>
      </c>
      <c r="D38" s="83">
        <f>C38+D37</f>
        <v>-8.8875355769230691</v>
      </c>
      <c r="E38" s="83">
        <f t="shared" ref="E38:AB38" si="54">D38+E37</f>
        <v>-7.775071153846147</v>
      </c>
      <c r="F38" s="83">
        <f t="shared" si="54"/>
        <v>-6.6626067307692249</v>
      </c>
      <c r="G38" s="83">
        <f t="shared" si="54"/>
        <v>-5.5501423076922833</v>
      </c>
      <c r="H38" s="83">
        <f t="shared" si="54"/>
        <v>-4.4376778846153488</v>
      </c>
      <c r="I38" s="83">
        <f t="shared" si="54"/>
        <v>-3.345104396616541</v>
      </c>
      <c r="J38" s="83">
        <f t="shared" si="54"/>
        <v>-2.4252931183560236</v>
      </c>
      <c r="K38" s="83">
        <f t="shared" si="54"/>
        <v>-1.6523297183730521</v>
      </c>
      <c r="L38" s="83">
        <f t="shared" si="54"/>
        <v>-1.0041870149259737</v>
      </c>
      <c r="M38" s="83">
        <f t="shared" si="54"/>
        <v>-0.4621419035344152</v>
      </c>
      <c r="N38" s="83">
        <f t="shared" si="54"/>
        <v>0.3166702546099418</v>
      </c>
      <c r="O38" s="83">
        <f t="shared" si="54"/>
        <v>1.0188269024941867</v>
      </c>
      <c r="P38" s="83">
        <f t="shared" si="54"/>
        <v>1.655826366657331</v>
      </c>
      <c r="Q38" s="83">
        <f t="shared" si="54"/>
        <v>3.7954100932472894</v>
      </c>
      <c r="R38" s="83">
        <f t="shared" si="54"/>
        <v>5.8879177545987531</v>
      </c>
      <c r="S38" s="83">
        <f t="shared" si="54"/>
        <v>8.6472271295987628</v>
      </c>
      <c r="T38" s="83">
        <f t="shared" si="54"/>
        <v>11.406536504598758</v>
      </c>
      <c r="U38" s="83">
        <f t="shared" si="54"/>
        <v>13.907245879598765</v>
      </c>
      <c r="V38" s="83">
        <f t="shared" si="54"/>
        <v>16.097635254598764</v>
      </c>
      <c r="W38" s="83">
        <f t="shared" si="54"/>
        <v>18.288024629598773</v>
      </c>
      <c r="X38" s="83">
        <f t="shared" si="54"/>
        <v>20.214377974078072</v>
      </c>
      <c r="Y38" s="83">
        <f t="shared" si="54"/>
        <v>22.12563981063548</v>
      </c>
      <c r="Z38" s="83">
        <f t="shared" si="54"/>
        <v>24.024073865459279</v>
      </c>
      <c r="AA38" s="83">
        <f t="shared" si="54"/>
        <v>25.911604305809497</v>
      </c>
      <c r="AB38" s="128">
        <f t="shared" si="54"/>
        <v>27.789866673857194</v>
      </c>
    </row>
    <row r="39" spans="2:28" x14ac:dyDescent="0.35">
      <c r="B39" s="20"/>
      <c r="C39" s="77" t="str">
        <f>IF(AND(D38&gt;0,C38&lt;=0),C$8,"")</f>
        <v/>
      </c>
      <c r="D39" s="77" t="str">
        <f t="shared" ref="D39" si="55">IF(AND(E38&gt;0,D38&lt;=0),D$8,"")</f>
        <v/>
      </c>
      <c r="E39" s="77" t="str">
        <f t="shared" ref="E39" si="56">IF(AND(F38&gt;0,E38&lt;=0),E$8,"")</f>
        <v/>
      </c>
      <c r="F39" s="77" t="str">
        <f t="shared" ref="F39" si="57">IF(AND(G38&gt;0,F38&lt;=0),F$8,"")</f>
        <v/>
      </c>
      <c r="G39" s="77" t="str">
        <f t="shared" ref="G39" si="58">IF(AND(H38&gt;0,G38&lt;=0),G$8,"")</f>
        <v/>
      </c>
      <c r="H39" s="77" t="str">
        <f t="shared" ref="H39" si="59">IF(AND(I38&gt;0,H38&lt;=0),H$8,"")</f>
        <v/>
      </c>
      <c r="I39" s="77" t="str">
        <f t="shared" ref="I39" si="60">IF(AND(J38&gt;0,I38&lt;=0),I$8,"")</f>
        <v/>
      </c>
      <c r="J39" s="77" t="str">
        <f t="shared" ref="J39" si="61">IF(AND(K38&gt;0,J38&lt;=0),J$8,"")</f>
        <v/>
      </c>
      <c r="K39" s="77" t="str">
        <f t="shared" ref="K39" si="62">IF(AND(L38&gt;0,K38&lt;=0),K$8,"")</f>
        <v/>
      </c>
      <c r="L39" s="77" t="str">
        <f t="shared" ref="L39" si="63">IF(AND(M38&gt;0,L38&lt;=0),L$8,"")</f>
        <v/>
      </c>
      <c r="M39" s="77">
        <f t="shared" ref="M39" si="64">IF(AND(N38&gt;0,M38&lt;=0),M$8,"")</f>
        <v>10</v>
      </c>
      <c r="N39" s="77" t="str">
        <f t="shared" ref="N39" si="65">IF(AND(O38&gt;0,N38&lt;=0),N$8,"")</f>
        <v/>
      </c>
      <c r="O39" s="77" t="str">
        <f t="shared" ref="O39" si="66">IF(AND(P38&gt;0,O38&lt;=0),O$8,"")</f>
        <v/>
      </c>
      <c r="P39" s="77" t="str">
        <f t="shared" ref="P39" si="67">IF(AND(Q38&gt;0,P38&lt;=0),P$8,"")</f>
        <v/>
      </c>
      <c r="Q39" s="77" t="str">
        <f t="shared" ref="Q39" si="68">IF(AND(R38&gt;0,Q38&lt;=0),Q$8,"")</f>
        <v/>
      </c>
      <c r="R39" s="77" t="str">
        <f t="shared" ref="R39" si="69">IF(AND(S38&gt;0,R38&lt;=0),R$8,"")</f>
        <v/>
      </c>
      <c r="S39" s="77" t="str">
        <f t="shared" ref="S39" si="70">IF(AND(T38&gt;0,S38&lt;=0),S$8,"")</f>
        <v/>
      </c>
      <c r="T39" s="77" t="str">
        <f t="shared" ref="T39" si="71">IF(AND(U38&gt;0,T38&lt;=0),T$8,"")</f>
        <v/>
      </c>
      <c r="U39" s="77" t="str">
        <f t="shared" ref="U39" si="72">IF(AND(V38&gt;0,U38&lt;=0),U$8,"")</f>
        <v/>
      </c>
      <c r="V39" s="77" t="str">
        <f t="shared" ref="V39" si="73">IF(AND(W38&gt;0,V38&lt;=0),V$8,"")</f>
        <v/>
      </c>
      <c r="W39" s="77" t="str">
        <f t="shared" ref="W39" si="74">IF(AND(X38&gt;0,W38&lt;=0),W$8,"")</f>
        <v/>
      </c>
      <c r="X39" s="77" t="str">
        <f t="shared" ref="X39" si="75">IF(AND(Y38&gt;0,X38&lt;=0),X$8,"")</f>
        <v/>
      </c>
      <c r="Y39" s="77" t="str">
        <f t="shared" ref="Y39" si="76">IF(AND(Z38&gt;0,Y38&lt;=0),Y$8,"")</f>
        <v/>
      </c>
      <c r="Z39" s="77" t="str">
        <f t="shared" ref="Z39" si="77">IF(AND(AA38&gt;0,Z38&lt;=0),Z$8,"")</f>
        <v/>
      </c>
      <c r="AA39" s="77" t="str">
        <f t="shared" ref="AA39" si="78">IF(AND(AB38&gt;0,AA38&lt;=0),AA$8,"")</f>
        <v/>
      </c>
      <c r="AB39" s="92"/>
    </row>
    <row r="40" spans="2:28" x14ac:dyDescent="0.35">
      <c r="B40" s="138" t="s">
        <v>132</v>
      </c>
      <c r="C40" s="125">
        <f>IRR(C37:AB37)</f>
        <v>0.1131740898141973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8"/>
    </row>
    <row r="41" spans="2:28" ht="15" thickBot="1" x14ac:dyDescent="0.4">
      <c r="B41" s="139" t="s">
        <v>133</v>
      </c>
      <c r="C41" s="104">
        <f>NPV($C$2,D37:AB37)+C37</f>
        <v>4.0593295615316514</v>
      </c>
      <c r="D41" s="31"/>
      <c r="E41" s="108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"/>
    </row>
    <row r="42" spans="2:28" ht="15" thickBot="1" x14ac:dyDescent="0.4">
      <c r="B42" s="138" t="s">
        <v>121</v>
      </c>
      <c r="C42" s="111">
        <f>MIN(C39:AB39)</f>
        <v>10</v>
      </c>
      <c r="D42" s="112" t="s">
        <v>16</v>
      </c>
      <c r="E42" s="110">
        <f>(ABS(INDEX(C38:AB38,,MATCH(C42,C39:AB39,0))))/(ABS(INDEX(C37:AB37,,(MATCH(C42,C39:AB39,0))+1)))*10</f>
        <v>5.9339328322190195</v>
      </c>
      <c r="F42" s="113" t="s">
        <v>41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8"/>
    </row>
    <row r="43" spans="2:28" x14ac:dyDescent="0.35">
      <c r="B43" s="57" t="s">
        <v>241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17"/>
    </row>
    <row r="44" spans="2:28" x14ac:dyDescent="0.35">
      <c r="B44" s="20" t="s">
        <v>129</v>
      </c>
      <c r="C44" s="83">
        <f t="shared" ref="C44:AB44" si="79">C21</f>
        <v>0</v>
      </c>
      <c r="D44" s="83">
        <f t="shared" si="79"/>
        <v>103.03671257037253</v>
      </c>
      <c r="E44" s="83">
        <f t="shared" si="79"/>
        <v>102.83080534074502</v>
      </c>
      <c r="F44" s="83">
        <f t="shared" si="79"/>
        <v>102.68330248611751</v>
      </c>
      <c r="G44" s="83">
        <f t="shared" si="79"/>
        <v>102.58544335024003</v>
      </c>
      <c r="H44" s="83">
        <f t="shared" si="79"/>
        <v>102.5297813753</v>
      </c>
      <c r="I44" s="83">
        <f t="shared" si="79"/>
        <v>102.50998698715688</v>
      </c>
      <c r="J44" s="83">
        <f t="shared" si="79"/>
        <v>102.5206800477911</v>
      </c>
      <c r="K44" s="83">
        <f t="shared" si="79"/>
        <v>102.55728743988608</v>
      </c>
      <c r="L44" s="83">
        <f t="shared" si="79"/>
        <v>102.61592201372267</v>
      </c>
      <c r="M44" s="83">
        <f t="shared" si="79"/>
        <v>102.69327969203965</v>
      </c>
      <c r="N44" s="83">
        <f t="shared" si="79"/>
        <v>102.78655200916495</v>
      </c>
      <c r="O44" s="83">
        <f t="shared" si="79"/>
        <v>102.89335176927732</v>
      </c>
      <c r="P44" s="83">
        <f t="shared" si="79"/>
        <v>103.01164985592872</v>
      </c>
      <c r="Q44" s="83">
        <f t="shared" si="79"/>
        <v>103.04579537915392</v>
      </c>
      <c r="R44" s="83">
        <f t="shared" si="79"/>
        <v>103.00022344330357</v>
      </c>
      <c r="S44" s="83">
        <f t="shared" si="79"/>
        <v>123.82259584150313</v>
      </c>
      <c r="T44" s="83">
        <f t="shared" si="79"/>
        <v>123.82440038272502</v>
      </c>
      <c r="U44" s="83">
        <f t="shared" si="79"/>
        <v>123.56760492394687</v>
      </c>
      <c r="V44" s="83">
        <f t="shared" si="79"/>
        <v>123.25908946516874</v>
      </c>
      <c r="W44" s="83">
        <f t="shared" si="79"/>
        <v>123.26089400639063</v>
      </c>
      <c r="X44" s="83">
        <f t="shared" si="79"/>
        <v>102.84309390276012</v>
      </c>
      <c r="Y44" s="83">
        <f t="shared" si="79"/>
        <v>102.82950652422636</v>
      </c>
      <c r="Z44" s="83">
        <f t="shared" si="79"/>
        <v>102.81818287188086</v>
      </c>
      <c r="AA44" s="83">
        <f t="shared" si="79"/>
        <v>102.80878338679543</v>
      </c>
      <c r="AB44" s="128">
        <f t="shared" si="79"/>
        <v>102.80101944388103</v>
      </c>
    </row>
    <row r="45" spans="2:28" x14ac:dyDescent="0.35">
      <c r="B45" s="20" t="s">
        <v>130</v>
      </c>
      <c r="C45" s="83">
        <f>C44-C$33</f>
        <v>0</v>
      </c>
      <c r="D45" s="83">
        <f>D44-D$33</f>
        <v>99.959789493449449</v>
      </c>
      <c r="E45" s="83">
        <f t="shared" ref="E45:AB45" si="80">E44-E$33</f>
        <v>99.753882263821936</v>
      </c>
      <c r="F45" s="83">
        <f t="shared" si="80"/>
        <v>99.606379409194432</v>
      </c>
      <c r="G45" s="83">
        <f t="shared" si="80"/>
        <v>99.508520273316947</v>
      </c>
      <c r="H45" s="83">
        <f t="shared" si="80"/>
        <v>99.452858298376924</v>
      </c>
      <c r="I45" s="83">
        <f t="shared" si="80"/>
        <v>99.433063910233798</v>
      </c>
      <c r="J45" s="83">
        <f t="shared" si="80"/>
        <v>99.443756970868023</v>
      </c>
      <c r="K45" s="83">
        <f t="shared" si="80"/>
        <v>99.480364362963002</v>
      </c>
      <c r="L45" s="83">
        <f t="shared" si="80"/>
        <v>99.538998936799587</v>
      </c>
      <c r="M45" s="83">
        <f t="shared" si="80"/>
        <v>99.616356615116572</v>
      </c>
      <c r="N45" s="83">
        <f t="shared" si="80"/>
        <v>99.70962893224187</v>
      </c>
      <c r="O45" s="83">
        <f t="shared" si="80"/>
        <v>99.816428692354236</v>
      </c>
      <c r="P45" s="83">
        <f t="shared" si="80"/>
        <v>99.934726779005643</v>
      </c>
      <c r="Q45" s="83">
        <f t="shared" si="80"/>
        <v>103.04579537915392</v>
      </c>
      <c r="R45" s="83">
        <f t="shared" si="80"/>
        <v>103.00022344330357</v>
      </c>
      <c r="S45" s="83">
        <f t="shared" si="80"/>
        <v>123.82259584150313</v>
      </c>
      <c r="T45" s="83">
        <f t="shared" si="80"/>
        <v>123.82440038272502</v>
      </c>
      <c r="U45" s="83">
        <f t="shared" si="80"/>
        <v>123.56760492394687</v>
      </c>
      <c r="V45" s="83">
        <f t="shared" si="80"/>
        <v>123.25908946516874</v>
      </c>
      <c r="W45" s="83">
        <f t="shared" si="80"/>
        <v>123.26089400639063</v>
      </c>
      <c r="X45" s="83">
        <f t="shared" si="80"/>
        <v>102.84309390276012</v>
      </c>
      <c r="Y45" s="83">
        <f t="shared" si="80"/>
        <v>102.82950652422636</v>
      </c>
      <c r="Z45" s="83">
        <f t="shared" si="80"/>
        <v>102.81818287188086</v>
      </c>
      <c r="AA45" s="83">
        <f t="shared" si="80"/>
        <v>102.80878338679543</v>
      </c>
      <c r="AB45" s="128">
        <f t="shared" si="80"/>
        <v>102.80101944388103</v>
      </c>
    </row>
    <row r="46" spans="2:28" x14ac:dyDescent="0.35">
      <c r="B46" s="20" t="s">
        <v>131</v>
      </c>
      <c r="C46" s="77">
        <f t="shared" ref="C46:AB46" si="81">C45+C32</f>
        <v>-10</v>
      </c>
      <c r="D46" s="83">
        <f t="shared" si="81"/>
        <v>99.959789493449449</v>
      </c>
      <c r="E46" s="83">
        <f t="shared" si="81"/>
        <v>99.753882263821936</v>
      </c>
      <c r="F46" s="83">
        <f t="shared" si="81"/>
        <v>99.606379409194432</v>
      </c>
      <c r="G46" s="83">
        <f t="shared" si="81"/>
        <v>99.508520273316947</v>
      </c>
      <c r="H46" s="83">
        <f t="shared" si="81"/>
        <v>99.452858298376924</v>
      </c>
      <c r="I46" s="83">
        <f t="shared" si="81"/>
        <v>99.433063910233798</v>
      </c>
      <c r="J46" s="83">
        <f t="shared" si="81"/>
        <v>99.443756970868023</v>
      </c>
      <c r="K46" s="83">
        <f t="shared" si="81"/>
        <v>99.480364362963002</v>
      </c>
      <c r="L46" s="83">
        <f t="shared" si="81"/>
        <v>99.538998936799587</v>
      </c>
      <c r="M46" s="83">
        <f t="shared" si="81"/>
        <v>99.616356615116572</v>
      </c>
      <c r="N46" s="83">
        <f t="shared" si="81"/>
        <v>99.70962893224187</v>
      </c>
      <c r="O46" s="83">
        <f t="shared" si="81"/>
        <v>99.816428692354236</v>
      </c>
      <c r="P46" s="83">
        <f t="shared" si="81"/>
        <v>99.934726779005643</v>
      </c>
      <c r="Q46" s="83">
        <f t="shared" si="81"/>
        <v>103.04579537915392</v>
      </c>
      <c r="R46" s="83">
        <f t="shared" si="81"/>
        <v>103.00022344330357</v>
      </c>
      <c r="S46" s="83">
        <f t="shared" si="81"/>
        <v>123.82259584150313</v>
      </c>
      <c r="T46" s="83">
        <f t="shared" si="81"/>
        <v>123.82440038272502</v>
      </c>
      <c r="U46" s="83">
        <f t="shared" si="81"/>
        <v>123.56760492394687</v>
      </c>
      <c r="V46" s="83">
        <f t="shared" si="81"/>
        <v>123.25908946516874</v>
      </c>
      <c r="W46" s="83">
        <f t="shared" si="81"/>
        <v>123.26089400639063</v>
      </c>
      <c r="X46" s="83">
        <f t="shared" si="81"/>
        <v>102.84309390276012</v>
      </c>
      <c r="Y46" s="83">
        <f t="shared" si="81"/>
        <v>102.82950652422636</v>
      </c>
      <c r="Z46" s="83">
        <f t="shared" si="81"/>
        <v>102.81818287188086</v>
      </c>
      <c r="AA46" s="83">
        <f t="shared" si="81"/>
        <v>102.80878338679543</v>
      </c>
      <c r="AB46" s="128">
        <f t="shared" si="81"/>
        <v>102.80101944388103</v>
      </c>
    </row>
    <row r="47" spans="2:28" x14ac:dyDescent="0.35">
      <c r="B47" s="20" t="s">
        <v>122</v>
      </c>
      <c r="C47" s="114">
        <f>C46</f>
        <v>-10</v>
      </c>
      <c r="D47" s="83">
        <f>C47+D46</f>
        <v>89.959789493449449</v>
      </c>
      <c r="E47" s="83">
        <f>D47+E46</f>
        <v>189.71367175727138</v>
      </c>
      <c r="F47" s="83">
        <f t="shared" ref="F47" si="82">E47+F46</f>
        <v>289.32005116646582</v>
      </c>
      <c r="G47" s="83">
        <f t="shared" ref="G47" si="83">F47+G46</f>
        <v>388.82857143978276</v>
      </c>
      <c r="H47" s="83">
        <f t="shared" ref="H47" si="84">G47+H46</f>
        <v>488.28142973815966</v>
      </c>
      <c r="I47" s="83">
        <f t="shared" ref="I47" si="85">H47+I46</f>
        <v>587.7144936483935</v>
      </c>
      <c r="J47" s="83">
        <f t="shared" ref="J47" si="86">I47+J46</f>
        <v>687.15825061926148</v>
      </c>
      <c r="K47" s="83">
        <f t="shared" ref="K47" si="87">J47+K46</f>
        <v>786.63861498222445</v>
      </c>
      <c r="L47" s="83">
        <f t="shared" ref="L47" si="88">K47+L46</f>
        <v>886.177613919024</v>
      </c>
      <c r="M47" s="83">
        <f t="shared" ref="M47" si="89">L47+M46</f>
        <v>985.79397053414061</v>
      </c>
      <c r="N47" s="83">
        <f t="shared" ref="N47" si="90">M47+N46</f>
        <v>1085.5035994663824</v>
      </c>
      <c r="O47" s="83">
        <f t="shared" ref="O47" si="91">N47+O46</f>
        <v>1185.3200281587367</v>
      </c>
      <c r="P47" s="83">
        <f t="shared" ref="P47" si="92">O47+P46</f>
        <v>1285.2547549377423</v>
      </c>
      <c r="Q47" s="83">
        <f t="shared" ref="Q47" si="93">P47+Q46</f>
        <v>1388.3005503168963</v>
      </c>
      <c r="R47" s="83">
        <f t="shared" ref="R47" si="94">Q47+R46</f>
        <v>1491.3007737601999</v>
      </c>
      <c r="S47" s="83">
        <f t="shared" ref="S47" si="95">R47+S46</f>
        <v>1615.123369601703</v>
      </c>
      <c r="T47" s="83">
        <f t="shared" ref="T47" si="96">S47+T46</f>
        <v>1738.9477699844281</v>
      </c>
      <c r="U47" s="83">
        <f t="shared" ref="U47" si="97">T47+U46</f>
        <v>1862.515374908375</v>
      </c>
      <c r="V47" s="83">
        <f t="shared" ref="V47" si="98">U47+V46</f>
        <v>1985.7744643735437</v>
      </c>
      <c r="W47" s="83">
        <f t="shared" ref="W47" si="99">V47+W46</f>
        <v>2109.0353583799342</v>
      </c>
      <c r="X47" s="83">
        <f t="shared" ref="X47" si="100">W47+X46</f>
        <v>2211.8784522826945</v>
      </c>
      <c r="Y47" s="83">
        <f t="shared" ref="Y47" si="101">X47+Y46</f>
        <v>2314.7079588069209</v>
      </c>
      <c r="Z47" s="83">
        <f t="shared" ref="Z47" si="102">Y47+Z46</f>
        <v>2417.5261416788017</v>
      </c>
      <c r="AA47" s="83">
        <f t="shared" ref="AA47" si="103">Z47+AA46</f>
        <v>2520.334925065597</v>
      </c>
      <c r="AB47" s="128">
        <f t="shared" ref="AB47" si="104">AA47+AB46</f>
        <v>2623.1359445094781</v>
      </c>
    </row>
    <row r="48" spans="2:28" x14ac:dyDescent="0.35">
      <c r="B48" s="20"/>
      <c r="C48" s="114">
        <f>IF(AND(D47&gt;0,C47&lt;=0),C$8,"")</f>
        <v>0</v>
      </c>
      <c r="D48" s="114" t="str">
        <f t="shared" ref="D48" si="105">IF(AND(E47&gt;0,D47&lt;=0),D$8,"")</f>
        <v/>
      </c>
      <c r="E48" s="114" t="str">
        <f t="shared" ref="E48" si="106">IF(AND(F47&gt;0,E47&lt;=0),E$8,"")</f>
        <v/>
      </c>
      <c r="F48" s="114" t="str">
        <f t="shared" ref="F48" si="107">IF(AND(G47&gt;0,F47&lt;=0),F$8,"")</f>
        <v/>
      </c>
      <c r="G48" s="114" t="str">
        <f t="shared" ref="G48" si="108">IF(AND(H47&gt;0,G47&lt;=0),G$8,"")</f>
        <v/>
      </c>
      <c r="H48" s="114" t="str">
        <f t="shared" ref="H48" si="109">IF(AND(I47&gt;0,H47&lt;=0),H$8,"")</f>
        <v/>
      </c>
      <c r="I48" s="114" t="str">
        <f t="shared" ref="I48" si="110">IF(AND(J47&gt;0,I47&lt;=0),I$8,"")</f>
        <v/>
      </c>
      <c r="J48" s="114" t="str">
        <f t="shared" ref="J48" si="111">IF(AND(K47&gt;0,J47&lt;=0),J$8,"")</f>
        <v/>
      </c>
      <c r="K48" s="114" t="str">
        <f t="shared" ref="K48" si="112">IF(AND(L47&gt;0,K47&lt;=0),K$8,"")</f>
        <v/>
      </c>
      <c r="L48" s="114" t="str">
        <f t="shared" ref="L48" si="113">IF(AND(M47&gt;0,L47&lt;=0),L$8,"")</f>
        <v/>
      </c>
      <c r="M48" s="114" t="str">
        <f t="shared" ref="M48" si="114">IF(AND(N47&gt;0,M47&lt;=0),M$8,"")</f>
        <v/>
      </c>
      <c r="N48" s="114" t="str">
        <f t="shared" ref="N48" si="115">IF(AND(O47&gt;0,N47&lt;=0),N$8,"")</f>
        <v/>
      </c>
      <c r="O48" s="114" t="str">
        <f t="shared" ref="O48" si="116">IF(AND(P47&gt;0,O47&lt;=0),O$8,"")</f>
        <v/>
      </c>
      <c r="P48" s="114" t="str">
        <f t="shared" ref="P48" si="117">IF(AND(Q47&gt;0,P47&lt;=0),P$8,"")</f>
        <v/>
      </c>
      <c r="Q48" s="114" t="str">
        <f t="shared" ref="Q48" si="118">IF(AND(R47&gt;0,Q47&lt;=0),Q$8,"")</f>
        <v/>
      </c>
      <c r="R48" s="114" t="str">
        <f t="shared" ref="R48" si="119">IF(AND(S47&gt;0,R47&lt;=0),R$8,"")</f>
        <v/>
      </c>
      <c r="S48" s="114" t="str">
        <f t="shared" ref="S48" si="120">IF(AND(T47&gt;0,S47&lt;=0),S$8,"")</f>
        <v/>
      </c>
      <c r="T48" s="114" t="str">
        <f t="shared" ref="T48" si="121">IF(AND(U47&gt;0,T47&lt;=0),T$8,"")</f>
        <v/>
      </c>
      <c r="U48" s="114" t="str">
        <f t="shared" ref="U48" si="122">IF(AND(V47&gt;0,U47&lt;=0),U$8,"")</f>
        <v/>
      </c>
      <c r="V48" s="114" t="str">
        <f t="shared" ref="V48" si="123">IF(AND(W47&gt;0,V47&lt;=0),V$8,"")</f>
        <v/>
      </c>
      <c r="W48" s="114" t="str">
        <f t="shared" ref="W48" si="124">IF(AND(X47&gt;0,W47&lt;=0),W$8,"")</f>
        <v/>
      </c>
      <c r="X48" s="114" t="str">
        <f t="shared" ref="X48" si="125">IF(AND(Y47&gt;0,X47&lt;=0),X$8,"")</f>
        <v/>
      </c>
      <c r="Y48" s="114" t="str">
        <f t="shared" ref="Y48" si="126">IF(AND(Z47&gt;0,Y47&lt;=0),Y$8,"")</f>
        <v/>
      </c>
      <c r="Z48" s="114" t="str">
        <f t="shared" ref="Z48" si="127">IF(AND(AA47&gt;0,Z47&lt;=0),Z$8,"")</f>
        <v/>
      </c>
      <c r="AA48" s="114" t="str">
        <f t="shared" ref="AA48" si="128">IF(AND(AB47&gt;0,AA47&lt;=0),AA$8,"")</f>
        <v/>
      </c>
      <c r="AB48" s="115" t="str">
        <f>IF(AND(AC59&gt;0,AB47&lt;=0),AB$8,"")</f>
        <v/>
      </c>
    </row>
    <row r="49" spans="2:28" x14ac:dyDescent="0.35">
      <c r="B49" s="138" t="s">
        <v>132</v>
      </c>
      <c r="C49" s="103">
        <f>IRR(C46:AB46,$C$2)</f>
        <v>9.9939762460951602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8"/>
    </row>
    <row r="50" spans="2:28" ht="15" thickBot="1" x14ac:dyDescent="0.4">
      <c r="B50" s="139" t="s">
        <v>133</v>
      </c>
      <c r="C50" s="104">
        <f>NPV($C$2,D46:AB46)+C46</f>
        <v>1114.6448957653272</v>
      </c>
      <c r="D50" s="31"/>
      <c r="E50" s="108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"/>
    </row>
    <row r="51" spans="2:28" ht="15" thickBot="1" x14ac:dyDescent="0.4">
      <c r="B51" s="138" t="s">
        <v>121</v>
      </c>
      <c r="C51" s="111">
        <f>MIN(C48:AB48)</f>
        <v>0</v>
      </c>
      <c r="D51" s="112" t="s">
        <v>16</v>
      </c>
      <c r="E51" s="110">
        <f>(ABS(INDEX(C47:AB47,,MATCH(C51,C48:AB48,0))))/(ABS(INDEX(C46:AB46,,(MATCH(C51,C48:AB48,0))+1)))*10</f>
        <v>1.0004022668190311</v>
      </c>
      <c r="F51" s="113" t="s">
        <v>41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</sheetData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A2F9-7C5A-49B7-8988-DAF341779B83}">
  <sheetPr>
    <tabColor rgb="FFFFFF00"/>
  </sheetPr>
  <dimension ref="B1:L5"/>
  <sheetViews>
    <sheetView workbookViewId="0">
      <selection activeCell="C5" sqref="C5"/>
    </sheetView>
  </sheetViews>
  <sheetFormatPr defaultRowHeight="14.5" x14ac:dyDescent="0.35"/>
  <cols>
    <col min="1" max="1" width="8.7265625" style="150"/>
    <col min="2" max="2" width="24.7265625" style="150" bestFit="1" customWidth="1"/>
    <col min="3" max="3" width="18.36328125" style="150" customWidth="1"/>
    <col min="4" max="4" width="10.7265625" style="150" bestFit="1" customWidth="1"/>
    <col min="5" max="5" width="17.54296875" style="150" customWidth="1"/>
    <col min="6" max="6" width="14.6328125" style="150" bestFit="1" customWidth="1"/>
    <col min="7" max="7" width="10" style="150" bestFit="1" customWidth="1"/>
    <col min="8" max="8" width="19.1796875" style="150" customWidth="1"/>
    <col min="9" max="9" width="14.6328125" style="150" bestFit="1" customWidth="1"/>
    <col min="10" max="16384" width="8.7265625" style="150"/>
  </cols>
  <sheetData>
    <row r="1" spans="2:12" ht="15.5" x14ac:dyDescent="0.35">
      <c r="D1" s="391" t="s">
        <v>113</v>
      </c>
      <c r="E1" s="392"/>
      <c r="F1" s="392"/>
      <c r="G1" s="393" t="s">
        <v>139</v>
      </c>
      <c r="H1" s="394"/>
      <c r="I1" s="394"/>
      <c r="J1" s="170"/>
      <c r="K1" s="170"/>
      <c r="L1" s="170"/>
    </row>
    <row r="2" spans="2:12" ht="15" thickBot="1" x14ac:dyDescent="0.4"/>
    <row r="3" spans="2:12" ht="15" thickBot="1" x14ac:dyDescent="0.4">
      <c r="C3" s="179" t="s">
        <v>137</v>
      </c>
      <c r="D3" s="180" t="s">
        <v>138</v>
      </c>
      <c r="E3" s="180" t="s">
        <v>133</v>
      </c>
      <c r="F3" s="180" t="s">
        <v>121</v>
      </c>
      <c r="G3" s="180" t="s">
        <v>127</v>
      </c>
      <c r="H3" s="180" t="s">
        <v>133</v>
      </c>
      <c r="I3" s="181" t="s">
        <v>121</v>
      </c>
    </row>
    <row r="4" spans="2:12" ht="15" thickBot="1" x14ac:dyDescent="0.4">
      <c r="B4" s="151" t="s">
        <v>284</v>
      </c>
      <c r="C4" s="172">
        <f>Determination_of_Cost!$B$25</f>
        <v>4.9084196746232847</v>
      </c>
      <c r="D4" s="173">
        <f>'Payback&amp;IRR'!C16</f>
        <v>9.299808093128914E-2</v>
      </c>
      <c r="E4" s="174">
        <f>'Payback&amp;IRR'!$C$17</f>
        <v>4.9877581859595779</v>
      </c>
      <c r="F4" s="155">
        <f>'Payback&amp;IRR'!$C$18</f>
        <v>7</v>
      </c>
      <c r="G4" s="175">
        <f>'Payback&amp;IRR'!C40</f>
        <v>0.1131740898141973</v>
      </c>
      <c r="H4" s="174">
        <f>'Payback&amp;IRR'!$C$41</f>
        <v>4.0593295615316514</v>
      </c>
      <c r="I4" s="158">
        <f>'Payback&amp;IRR'!C42</f>
        <v>10</v>
      </c>
    </row>
    <row r="5" spans="2:12" ht="15" thickBot="1" x14ac:dyDescent="0.4">
      <c r="B5" s="182" t="s">
        <v>283</v>
      </c>
      <c r="C5" s="176">
        <f>'P&amp;L'!$D$27</f>
        <v>15</v>
      </c>
      <c r="D5" s="177">
        <f>'Payback&amp;IRR'!C26</f>
        <v>2.1238094494674109</v>
      </c>
      <c r="E5" s="178">
        <f>'Payback&amp;IRR'!C27</f>
        <v>1115.573324389755</v>
      </c>
      <c r="F5" s="154">
        <f>'Payback&amp;IRR'!C28</f>
        <v>0</v>
      </c>
      <c r="G5" s="177">
        <f>'Payback&amp;IRR'!C49</f>
        <v>9.9939762460951602</v>
      </c>
      <c r="H5" s="178">
        <f>'Payback&amp;IRR'!C50</f>
        <v>1114.6448957653272</v>
      </c>
      <c r="I5" s="159">
        <f>'Payback&amp;IRR'!C51</f>
        <v>0</v>
      </c>
    </row>
  </sheetData>
  <mergeCells count="2">
    <mergeCell ref="D1:F1"/>
    <mergeCell ref="G1:I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699F-7373-48E2-A4C1-B9509F4FB247}">
  <sheetPr>
    <tabColor theme="4" tint="0.39997558519241921"/>
  </sheetPr>
  <dimension ref="B1:F12"/>
  <sheetViews>
    <sheetView topLeftCell="A3" workbookViewId="0">
      <selection activeCell="C6" sqref="C6:F12"/>
    </sheetView>
  </sheetViews>
  <sheetFormatPr defaultRowHeight="14.5" x14ac:dyDescent="0.35"/>
  <cols>
    <col min="2" max="2" width="13.453125" bestFit="1" customWidth="1"/>
    <col min="3" max="3" width="36.6328125" style="15" customWidth="1"/>
    <col min="4" max="4" width="16" bestFit="1" customWidth="1"/>
    <col min="5" max="5" width="12.08984375" bestFit="1" customWidth="1"/>
    <col min="6" max="6" width="20.6328125" bestFit="1" customWidth="1"/>
  </cols>
  <sheetData>
    <row r="1" spans="2:6" x14ac:dyDescent="0.35">
      <c r="C1" s="102" t="s">
        <v>266</v>
      </c>
    </row>
    <row r="2" spans="2:6" x14ac:dyDescent="0.35">
      <c r="C2" s="102"/>
    </row>
    <row r="5" spans="2:6" ht="15" thickBot="1" x14ac:dyDescent="0.4">
      <c r="B5" s="1" t="s">
        <v>261</v>
      </c>
    </row>
    <row r="6" spans="2:6" ht="15" thickBot="1" x14ac:dyDescent="0.4">
      <c r="B6" s="24" t="s">
        <v>186</v>
      </c>
      <c r="C6" s="267" t="s">
        <v>187</v>
      </c>
      <c r="D6" s="268" t="s">
        <v>188</v>
      </c>
      <c r="E6" s="268" t="s">
        <v>189</v>
      </c>
      <c r="F6" s="209" t="s">
        <v>294</v>
      </c>
    </row>
    <row r="7" spans="2:6" ht="15" thickBot="1" x14ac:dyDescent="0.4">
      <c r="B7" s="19">
        <v>1</v>
      </c>
      <c r="C7" s="269" t="s">
        <v>190</v>
      </c>
      <c r="D7" s="8">
        <v>1</v>
      </c>
      <c r="E7" s="8">
        <v>40000</v>
      </c>
      <c r="F7" s="270">
        <f>E7*D7</f>
        <v>40000</v>
      </c>
    </row>
    <row r="8" spans="2:6" ht="15" thickBot="1" x14ac:dyDescent="0.4">
      <c r="B8" s="20">
        <v>2</v>
      </c>
      <c r="C8" s="15" t="s">
        <v>191</v>
      </c>
      <c r="D8">
        <v>1</v>
      </c>
      <c r="E8">
        <v>30000</v>
      </c>
      <c r="F8" s="270">
        <f t="shared" ref="F8:F11" si="0">E8*D8</f>
        <v>30000</v>
      </c>
    </row>
    <row r="9" spans="2:6" ht="15" thickBot="1" x14ac:dyDescent="0.4">
      <c r="B9" s="20">
        <v>3</v>
      </c>
      <c r="C9" s="15" t="s">
        <v>192</v>
      </c>
      <c r="D9">
        <v>2</v>
      </c>
      <c r="E9">
        <v>20000</v>
      </c>
      <c r="F9" s="270">
        <f t="shared" si="0"/>
        <v>40000</v>
      </c>
    </row>
    <row r="10" spans="2:6" ht="29.5" thickBot="1" x14ac:dyDescent="0.4">
      <c r="B10" s="20">
        <v>4</v>
      </c>
      <c r="C10" s="15" t="s">
        <v>193</v>
      </c>
      <c r="D10">
        <v>3</v>
      </c>
      <c r="E10">
        <v>15000</v>
      </c>
      <c r="F10" s="270">
        <f t="shared" si="0"/>
        <v>45000</v>
      </c>
    </row>
    <row r="11" spans="2:6" x14ac:dyDescent="0.35">
      <c r="B11" s="20">
        <v>5</v>
      </c>
      <c r="C11" s="15" t="s">
        <v>194</v>
      </c>
      <c r="D11">
        <v>3</v>
      </c>
      <c r="E11">
        <v>9000</v>
      </c>
      <c r="F11" s="270">
        <f t="shared" si="0"/>
        <v>27000</v>
      </c>
    </row>
    <row r="12" spans="2:6" ht="15" thickBot="1" x14ac:dyDescent="0.4">
      <c r="B12" s="29"/>
      <c r="C12" s="271" t="s">
        <v>181</v>
      </c>
      <c r="D12" s="395">
        <f>SUM(D7:D11)</f>
        <v>10</v>
      </c>
      <c r="E12" s="272" t="s">
        <v>260</v>
      </c>
      <c r="F12" s="375">
        <f>SUM(F7:F11)/10^5</f>
        <v>1.82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CE68-D540-41E6-ADCF-1CC7E374D698}">
  <sheetPr>
    <tabColor theme="5" tint="-0.249977111117893"/>
  </sheetPr>
  <dimension ref="B1:C15"/>
  <sheetViews>
    <sheetView workbookViewId="0">
      <selection activeCell="E20" sqref="E20"/>
    </sheetView>
  </sheetViews>
  <sheetFormatPr defaultRowHeight="14.5" x14ac:dyDescent="0.35"/>
  <cols>
    <col min="2" max="2" width="45.08984375" bestFit="1" customWidth="1"/>
    <col min="3" max="3" width="5.08984375" bestFit="1" customWidth="1"/>
  </cols>
  <sheetData>
    <row r="1" spans="2:3" ht="15" thickBot="1" x14ac:dyDescent="0.4"/>
    <row r="2" spans="2:3" x14ac:dyDescent="0.35">
      <c r="B2" s="39" t="s">
        <v>267</v>
      </c>
      <c r="C2" s="265"/>
    </row>
    <row r="3" spans="2:3" ht="15" thickBot="1" x14ac:dyDescent="0.4">
      <c r="B3" s="70" t="s">
        <v>268</v>
      </c>
      <c r="C3" s="264" t="s">
        <v>73</v>
      </c>
    </row>
    <row r="4" spans="2:3" x14ac:dyDescent="0.35">
      <c r="B4" s="19" t="s">
        <v>269</v>
      </c>
      <c r="C4" s="17">
        <v>1</v>
      </c>
    </row>
    <row r="5" spans="2:3" x14ac:dyDescent="0.35">
      <c r="B5" s="20" t="s">
        <v>270</v>
      </c>
      <c r="C5" s="18">
        <v>1</v>
      </c>
    </row>
    <row r="6" spans="2:3" x14ac:dyDescent="0.35">
      <c r="B6" s="20" t="s">
        <v>271</v>
      </c>
      <c r="C6" s="18">
        <v>1</v>
      </c>
    </row>
    <row r="7" spans="2:3" x14ac:dyDescent="0.35">
      <c r="B7" s="20" t="s">
        <v>272</v>
      </c>
      <c r="C7" s="18">
        <v>1</v>
      </c>
    </row>
    <row r="8" spans="2:3" x14ac:dyDescent="0.35">
      <c r="B8" s="20" t="s">
        <v>273</v>
      </c>
      <c r="C8" s="18">
        <v>1</v>
      </c>
    </row>
    <row r="9" spans="2:3" x14ac:dyDescent="0.35">
      <c r="B9" s="20" t="s">
        <v>274</v>
      </c>
      <c r="C9" s="18">
        <v>1</v>
      </c>
    </row>
    <row r="10" spans="2:3" ht="15" thickBot="1" x14ac:dyDescent="0.4">
      <c r="B10" s="29" t="s">
        <v>275</v>
      </c>
      <c r="C10" s="3">
        <v>1</v>
      </c>
    </row>
    <row r="11" spans="2:3" ht="15" thickBot="1" x14ac:dyDescent="0.4">
      <c r="B11" s="70" t="s">
        <v>276</v>
      </c>
      <c r="C11" s="264" t="s">
        <v>73</v>
      </c>
    </row>
    <row r="12" spans="2:3" x14ac:dyDescent="0.35">
      <c r="B12" s="19" t="s">
        <v>277</v>
      </c>
      <c r="C12" s="17">
        <v>1</v>
      </c>
    </row>
    <row r="13" spans="2:3" x14ac:dyDescent="0.35">
      <c r="B13" s="20" t="s">
        <v>278</v>
      </c>
      <c r="C13" s="18">
        <v>1</v>
      </c>
    </row>
    <row r="14" spans="2:3" x14ac:dyDescent="0.35">
      <c r="B14" s="20" t="s">
        <v>279</v>
      </c>
      <c r="C14" s="18">
        <v>1</v>
      </c>
    </row>
    <row r="15" spans="2:3" ht="15" thickBot="1" x14ac:dyDescent="0.4">
      <c r="B15" s="29" t="s">
        <v>280</v>
      </c>
      <c r="C15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d A e v T k m X k W C o A A A A + A A A A B I A H A B D b 2 5 m a W c v U G F j a 2 F n Z S 5 4 b W w g o h g A K K A U A A A A A A A A A A A A A A A A A A A A A A A A A A A A h Y / R C o I w G I V f R X b v N q e F y O + 8 6 C r I C I L o d u j S k c 5 w s / l u X f R I v U J C W d 1 1 e Q 7 f g e 8 8 b n f I x r b x r r I 3 q t M p C j B F n t R F V y p d p W i w J z 9 G G Y e d K M 6 i k t 4 E a 5 O M R q W o t v a S E O K c w y 7 E X V 8 R R m l A j v l m X 9 S y F b 7 S x g p d S P R Z l f 9 X i M P h J c M Z X s Z 4 E Y U M s y g A M t e Q K / 1 F 2 G S M K Z C f E l Z D Y 4 d e c q n 9 9 R b I H I G 8 X / A n U E s D B B Q A A g A I A H Q H r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B 6 9 O K I p H u A 4 A A A A R A A A A E w A c A E Z v c m 1 1 b G F z L 1 N l Y 3 R p b 2 4 x L m 0 g o h g A K K A U A A A A A A A A A A A A A A A A A A A A A A A A A A A A K 0 5 N L s n M z 1 M I h t C G 1 g B Q S w E C L Q A U A A I A C A B 0 B 6 9 O S Z e R Y K g A A A D 4 A A A A E g A A A A A A A A A A A A A A A A A A A A A A Q 2 9 u Z m l n L 1 B h Y 2 t h Z 2 U u e G 1 s U E s B A i 0 A F A A C A A g A d A e v T g / K 6 a u k A A A A 6 Q A A A B M A A A A A A A A A A A A A A A A A 9 A A A A F t D b 2 5 0 Z W 5 0 X 1 R 5 c G V z X S 5 4 b W x Q S w E C L Q A U A A I A C A B 0 B 6 9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j G U V Q E r Z U a 2 S l R 9 b c 6 f u Q A A A A A C A A A A A A A Q Z g A A A A E A A C A A A A B h b r 2 4 o L j 0 I V j c o 9 T m s a O f T u H k v S g 8 d f q S t x l y l a v t I w A A A A A O g A A A A A I A A C A A A A A T W B G 7 7 + T 0 J r / c b k 7 3 O V e 5 x E O a v V 5 x Y a 6 r Q L o t V i E F P 1 A A A A A e d 3 Z R 8 f P A v T O X 3 H X 7 y R 3 I N B C O K O N 9 Q c I Z d g H b A W c q j u N i 2 o q 0 N u v 5 2 R 8 U 3 B b T V I j g v B O O t T W V f l f + l / T X S 6 U e 1 H v k Q T K i T B d 1 0 2 x Q e r 5 3 O 0 A A A A C y z 9 0 m F 7 K T k w 2 j / O A i 4 7 m q Y v t I n T I B 7 d w v x D 3 J z e i D X r R 1 O c S i N S w E 7 7 o G H q Z z o T j I x 6 K s q U 3 P b V H p W O C v X 6 c v < / D a t a M a s h u p > 
</file>

<file path=customXml/itemProps1.xml><?xml version="1.0" encoding="utf-8"?>
<ds:datastoreItem xmlns:ds="http://schemas.openxmlformats.org/officeDocument/2006/customXml" ds:itemID="{3D87E7E6-C6E4-4784-9926-63C58C359D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Assumption for Botlling Plant</vt:lpstr>
      <vt:lpstr>Determination_of_Cost</vt:lpstr>
      <vt:lpstr>Interest(onLOAN)</vt:lpstr>
      <vt:lpstr>P&amp;L</vt:lpstr>
      <vt:lpstr>Payback&amp;IRR</vt:lpstr>
      <vt:lpstr>RESULT</vt:lpstr>
      <vt:lpstr>Cost Breakup for Salary</vt:lpstr>
      <vt:lpstr>Euipments 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2019-07-27T14:58:38Z</dcterms:modified>
</cp:coreProperties>
</file>